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6. PPT/"/>
    </mc:Choice>
  </mc:AlternateContent>
  <xr:revisionPtr revIDLastSave="2084" documentId="8_{E23D4C0E-C2BC-4F66-9F31-F89AD37509AC}" xr6:coauthVersionLast="47" xr6:coauthVersionMax="47" xr10:uidLastSave="{28418E47-2CF0-476A-8025-D593F3B96D07}"/>
  <bookViews>
    <workbookView xWindow="-120" yWindow="-120" windowWidth="24240" windowHeight="13140" firstSheet="3" activeTab="8" xr2:uid="{EE857EC7-C484-4236-8A71-EC374657645B}"/>
  </bookViews>
  <sheets>
    <sheet name="Indice" sheetId="17" r:id="rId1"/>
    <sheet name="PUNTOS DE INYECCIÓN" sheetId="6" r:id="rId2"/>
    <sheet name="Servicio" sheetId="7" r:id="rId3"/>
    <sheet name="Base" sheetId="8" r:id="rId4"/>
    <sheet name="Optimización_Scio" sheetId="14" r:id="rId5"/>
    <sheet name="Optimizacion_consumo" sheetId="15" r:id="rId6"/>
    <sheet name="Nuevas_Tec_ME" sheetId="12" r:id="rId7"/>
    <sheet name="Areas_Integrales." sheetId="16" r:id="rId8"/>
    <sheet name="Optimización_Estructura" sheetId="19" r:id="rId9"/>
    <sheet name="Resumen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7">#REF!</definedName>
    <definedName name="\0" localSheetId="3">#REF!</definedName>
    <definedName name="\0" localSheetId="6">#REF!</definedName>
    <definedName name="\0" localSheetId="5">#REF!</definedName>
    <definedName name="\0" localSheetId="8">#REF!</definedName>
    <definedName name="\0" localSheetId="4">#REF!</definedName>
    <definedName name="\0">#REF!</definedName>
    <definedName name="\00" localSheetId="7">#REF!</definedName>
    <definedName name="\00" localSheetId="3">#REF!</definedName>
    <definedName name="\00" localSheetId="6">#REF!</definedName>
    <definedName name="\00" localSheetId="5">#REF!</definedName>
    <definedName name="\00" localSheetId="8">#REF!</definedName>
    <definedName name="\00" localSheetId="4">#REF!</definedName>
    <definedName name="\00">#REF!</definedName>
    <definedName name="\1" localSheetId="7">#REF!</definedName>
    <definedName name="\1" localSheetId="3">#REF!</definedName>
    <definedName name="\1" localSheetId="6">#REF!</definedName>
    <definedName name="\1" localSheetId="5">#REF!</definedName>
    <definedName name="\1" localSheetId="8">#REF!</definedName>
    <definedName name="\1" localSheetId="4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 localSheetId="7">#REF!</definedName>
    <definedName name="_GOR2" localSheetId="3">#REF!</definedName>
    <definedName name="_GOR2" localSheetId="6">#REF!</definedName>
    <definedName name="_GOR2" localSheetId="5">#REF!</definedName>
    <definedName name="_GOR2" localSheetId="8">#REF!</definedName>
    <definedName name="_GOR2" localSheetId="4">#REF!</definedName>
    <definedName name="_GOR2">#REF!</definedName>
    <definedName name="_Key1" localSheetId="7" hidden="1">#REF!</definedName>
    <definedName name="_Key1" localSheetId="3" hidden="1">#REF!</definedName>
    <definedName name="_Key1" localSheetId="6" hidden="1">#REF!</definedName>
    <definedName name="_Key1" localSheetId="5" hidden="1">#REF!</definedName>
    <definedName name="_Key1" localSheetId="8" hidden="1">#REF!</definedName>
    <definedName name="_Key1" localSheetId="4" hidden="1">#REF!</definedName>
    <definedName name="_Key1" hidden="1">#REF!</definedName>
    <definedName name="_Key2" localSheetId="7" hidden="1">#REF!</definedName>
    <definedName name="_Key2" localSheetId="3" hidden="1">#REF!</definedName>
    <definedName name="_Key2" localSheetId="6" hidden="1">#REF!</definedName>
    <definedName name="_Key2" localSheetId="5" hidden="1">#REF!</definedName>
    <definedName name="_Key2" localSheetId="8" hidden="1">#REF!</definedName>
    <definedName name="_Key2" localSheetId="4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 localSheetId="7">#REF!</definedName>
    <definedName name="_PCO1" localSheetId="3">#REF!</definedName>
    <definedName name="_PCO1" localSheetId="6">#REF!</definedName>
    <definedName name="_PCO1" localSheetId="5">#REF!</definedName>
    <definedName name="_PCO1" localSheetId="8">#REF!</definedName>
    <definedName name="_PCO1" localSheetId="4">#REF!</definedName>
    <definedName name="_PCO1">#REF!</definedName>
    <definedName name="_PCO2" localSheetId="7">#REF!</definedName>
    <definedName name="_PCO2" localSheetId="3">#REF!</definedName>
    <definedName name="_PCO2" localSheetId="6">#REF!</definedName>
    <definedName name="_PCO2" localSheetId="5">#REF!</definedName>
    <definedName name="_PCO2" localSheetId="8">#REF!</definedName>
    <definedName name="_PCO2" localSheetId="4">#REF!</definedName>
    <definedName name="_PCO2">#REF!</definedName>
    <definedName name="_PCO3" localSheetId="7">#REF!</definedName>
    <definedName name="_PCO3" localSheetId="3">#REF!</definedName>
    <definedName name="_PCO3" localSheetId="6">#REF!</definedName>
    <definedName name="_PCO3" localSheetId="5">#REF!</definedName>
    <definedName name="_PCO3" localSheetId="8">#REF!</definedName>
    <definedName name="_PCO3" localSheetId="4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7">#REF!</definedName>
    <definedName name="_PDG1" localSheetId="3">#REF!</definedName>
    <definedName name="_PDG1" localSheetId="6">#REF!</definedName>
    <definedName name="_PDG1" localSheetId="5">#REF!</definedName>
    <definedName name="_PDG1" localSheetId="8">#REF!</definedName>
    <definedName name="_PDG1" localSheetId="4">#REF!</definedName>
    <definedName name="_PDG1">#REF!</definedName>
    <definedName name="_PDG2" localSheetId="7">#REF!</definedName>
    <definedName name="_PDG2" localSheetId="3">#REF!</definedName>
    <definedName name="_PDG2" localSheetId="6">#REF!</definedName>
    <definedName name="_PDG2" localSheetId="5">#REF!</definedName>
    <definedName name="_PDG2" localSheetId="8">#REF!</definedName>
    <definedName name="_PDG2" localSheetId="4">#REF!</definedName>
    <definedName name="_PDG2">#REF!</definedName>
    <definedName name="_PDG3" localSheetId="7">#REF!</definedName>
    <definedName name="_PDG3" localSheetId="3">#REF!</definedName>
    <definedName name="_PDG3" localSheetId="6">#REF!</definedName>
    <definedName name="_PDG3" localSheetId="5">#REF!</definedName>
    <definedName name="_PDG3" localSheetId="8">#REF!</definedName>
    <definedName name="_PDG3" localSheetId="4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7" hidden="1">#REF!</definedName>
    <definedName name="_Sort" localSheetId="3" hidden="1">#REF!</definedName>
    <definedName name="_Sort" localSheetId="6" hidden="1">#REF!</definedName>
    <definedName name="_Sort" localSheetId="5" hidden="1">#REF!</definedName>
    <definedName name="_Sort" localSheetId="8" hidden="1">#REF!</definedName>
    <definedName name="_Sort" localSheetId="4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7">#REF!</definedName>
    <definedName name="_TP" localSheetId="3">#REF!</definedName>
    <definedName name="_TP" localSheetId="6">#REF!</definedName>
    <definedName name="_TP" localSheetId="5">#REF!</definedName>
    <definedName name="_TP" localSheetId="8">#REF!</definedName>
    <definedName name="_TP" localSheetId="4">#REF!</definedName>
    <definedName name="_TP">#REF!</definedName>
    <definedName name="_TPF" localSheetId="7">#REF!</definedName>
    <definedName name="_TPF" localSheetId="3">#REF!</definedName>
    <definedName name="_TPF" localSheetId="6">#REF!</definedName>
    <definedName name="_TPF" localSheetId="5">#REF!</definedName>
    <definedName name="_TPF" localSheetId="8">#REF!</definedName>
    <definedName name="_TPF" localSheetId="4">#REF!</definedName>
    <definedName name="_TPF">#REF!</definedName>
    <definedName name="_WO2006" localSheetId="7">[6]InfRep.11_2003!#REF!</definedName>
    <definedName name="_WO2006" localSheetId="3">[6]InfRep.11_2003!#REF!</definedName>
    <definedName name="_WO2006" localSheetId="6">[6]InfRep.11_2003!#REF!</definedName>
    <definedName name="_WO2006" localSheetId="5">[6]InfRep.11_2003!#REF!</definedName>
    <definedName name="_WO2006" localSheetId="8">[6]InfRep.11_2003!#REF!</definedName>
    <definedName name="_WO2006" localSheetId="4">[6]InfRep.11_2003!#REF!</definedName>
    <definedName name="_WO2006">[6]InfRep.11_2003!#REF!</definedName>
    <definedName name="_WTI1" localSheetId="7">#REF!</definedName>
    <definedName name="_WTI1" localSheetId="3">#REF!</definedName>
    <definedName name="_WTI1" localSheetId="6">#REF!</definedName>
    <definedName name="_WTI1" localSheetId="5">#REF!</definedName>
    <definedName name="_WTI1" localSheetId="8">#REF!</definedName>
    <definedName name="_WTI1" localSheetId="4">#REF!</definedName>
    <definedName name="_WTI1">#REF!</definedName>
    <definedName name="_WTI2" localSheetId="7">#REF!</definedName>
    <definedName name="_WTI2" localSheetId="3">#REF!</definedName>
    <definedName name="_WTI2" localSheetId="6">#REF!</definedName>
    <definedName name="_WTI2" localSheetId="5">#REF!</definedName>
    <definedName name="_WTI2" localSheetId="8">#REF!</definedName>
    <definedName name="_WTI2" localSheetId="4">#REF!</definedName>
    <definedName name="_WTI2">#REF!</definedName>
    <definedName name="_WTI3" localSheetId="7">#REF!</definedName>
    <definedName name="_WTI3" localSheetId="3">#REF!</definedName>
    <definedName name="_WTI3" localSheetId="6">#REF!</definedName>
    <definedName name="_WTI3" localSheetId="5">#REF!</definedName>
    <definedName name="_WTI3" localSheetId="8">#REF!</definedName>
    <definedName name="_WTI3" localSheetId="4">#REF!</definedName>
    <definedName name="_WTI3">#REF!</definedName>
    <definedName name="_WTI4">#REF!</definedName>
    <definedName name="_x002">'[7]500'!$A$1:$N$60</definedName>
    <definedName name="_X01">'[7]500'!$A$1:$N$60</definedName>
    <definedName name="_xlcn.WorksheetConnection_Tabla11" hidden="1">Tabla1[]</definedName>
    <definedName name="A" localSheetId="7">#REF!</definedName>
    <definedName name="A" localSheetId="3">#REF!</definedName>
    <definedName name="A" localSheetId="6">#REF!</definedName>
    <definedName name="A" localSheetId="5">#REF!</definedName>
    <definedName name="A" localSheetId="8">#REF!</definedName>
    <definedName name="A" localSheetId="4">#REF!</definedName>
    <definedName name="A">#REF!</definedName>
    <definedName name="A_IMPRESION_IM" localSheetId="6">#REF!</definedName>
    <definedName name="A_IMPRESION_IM">#REF!</definedName>
    <definedName name="A_impresión_IM" localSheetId="6">#REF!</definedName>
    <definedName name="A_impresión_IM">#REF!</definedName>
    <definedName name="A_IMPRESIÚN_IM">#REF!</definedName>
    <definedName name="A_pozo">[4]MiniDB!$D$39</definedName>
    <definedName name="aa" localSheetId="7" hidden="1">#REF!</definedName>
    <definedName name="aa" localSheetId="3" hidden="1">#REF!</definedName>
    <definedName name="aa" localSheetId="6" hidden="1">#REF!</definedName>
    <definedName name="aa" localSheetId="5" hidden="1">#REF!</definedName>
    <definedName name="aa" localSheetId="8" hidden="1">#REF!</definedName>
    <definedName name="aa" localSheetId="4" hidden="1">#REF!</definedName>
    <definedName name="aa" hidden="1">#REF!</definedName>
    <definedName name="aaaa" localSheetId="7" hidden="1">#REF!</definedName>
    <definedName name="aaaa" localSheetId="3" hidden="1">#REF!</definedName>
    <definedName name="aaaa" localSheetId="6" hidden="1">#REF!</definedName>
    <definedName name="aaaa" localSheetId="5" hidden="1">#REF!</definedName>
    <definedName name="aaaa" localSheetId="8" hidden="1">#REF!</definedName>
    <definedName name="aaaa" localSheetId="4" hidden="1">#REF!</definedName>
    <definedName name="aaaa" hidden="1">#REF!</definedName>
    <definedName name="AbrirImprimir" localSheetId="7">[8]!AbrirImprimir</definedName>
    <definedName name="AbrirImprimir" localSheetId="5">[8]!AbrirImprimir</definedName>
    <definedName name="AbrirImprimir" localSheetId="8">[8]!AbrirImprimir</definedName>
    <definedName name="AbrirImprimir" localSheetId="4">[8]!AbrirImprimir</definedName>
    <definedName name="AbrirImprimir">[8]!AbrirImprimir</definedName>
    <definedName name="ACT" localSheetId="7">#REF!</definedName>
    <definedName name="ACT" localSheetId="3">#REF!</definedName>
    <definedName name="ACT" localSheetId="6">#REF!</definedName>
    <definedName name="ACT" localSheetId="5">#REF!</definedName>
    <definedName name="ACT" localSheetId="8">#REF!</definedName>
    <definedName name="ACT" localSheetId="4">#REF!</definedName>
    <definedName name="ACT">#REF!</definedName>
    <definedName name="Actual" localSheetId="7">#REF!</definedName>
    <definedName name="Actual" localSheetId="3">#REF!</definedName>
    <definedName name="Actual" localSheetId="6">#REF!</definedName>
    <definedName name="Actual" localSheetId="5">#REF!</definedName>
    <definedName name="Actual" localSheetId="8">#REF!</definedName>
    <definedName name="Actual" localSheetId="4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 localSheetId="7">#REF!</definedName>
    <definedName name="Adic_Intern" localSheetId="3">#REF!</definedName>
    <definedName name="Adic_Intern" localSheetId="6">#REF!</definedName>
    <definedName name="Adic_Intern" localSheetId="5">#REF!</definedName>
    <definedName name="Adic_Intern" localSheetId="8">#REF!</definedName>
    <definedName name="Adic_Intern" localSheetId="4">#REF!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 localSheetId="7">#REF!</definedName>
    <definedName name="Administración" localSheetId="3">#REF!</definedName>
    <definedName name="Administración" localSheetId="6">#REF!</definedName>
    <definedName name="Administración" localSheetId="5">#REF!</definedName>
    <definedName name="Administración" localSheetId="8">#REF!</definedName>
    <definedName name="Administración" localSheetId="4">#REF!</definedName>
    <definedName name="Administración">#REF!</definedName>
    <definedName name="Afe_Buscado" localSheetId="6">[12]Cotizaciones!#REF!</definedName>
    <definedName name="Afe_Buscado">[12]Cotizaciones!#REF!</definedName>
    <definedName name="Agua" localSheetId="7">#REF!</definedName>
    <definedName name="Agua" localSheetId="3">#REF!</definedName>
    <definedName name="Agua" localSheetId="6">#REF!</definedName>
    <definedName name="Agua" localSheetId="5">#REF!</definedName>
    <definedName name="Agua" localSheetId="8">#REF!</definedName>
    <definedName name="Agua" localSheetId="4">#REF!</definedName>
    <definedName name="Agua">#REF!</definedName>
    <definedName name="AGUA.INY" localSheetId="7">#REF!</definedName>
    <definedName name="AGUA.INY" localSheetId="3">#REF!</definedName>
    <definedName name="AGUA.INY" localSheetId="6">#REF!</definedName>
    <definedName name="AGUA.INY" localSheetId="5">#REF!</definedName>
    <definedName name="AGUA.INY" localSheetId="8">#REF!</definedName>
    <definedName name="AGUA.INY" localSheetId="4">#REF!</definedName>
    <definedName name="AGUA.INY">#REF!</definedName>
    <definedName name="AGUA_ACTUAL_YAC11" localSheetId="7">'[13]producción por yac-bloques'!#REF!</definedName>
    <definedName name="AGUA_ACTUAL_YAC11" localSheetId="3">'[13]producción por yac-bloques'!#REF!</definedName>
    <definedName name="AGUA_ACTUAL_YAC11" localSheetId="6">'[13]producción por yac-bloques'!#REF!</definedName>
    <definedName name="AGUA_ACTUAL_YAC11" localSheetId="5">'[13]producción por yac-bloques'!#REF!</definedName>
    <definedName name="AGUA_ACTUAL_YAC11" localSheetId="8">'[13]producción por yac-bloques'!#REF!</definedName>
    <definedName name="AGUA_ACTUAL_YAC11" localSheetId="4">'[13]producción por yac-bloques'!#REF!</definedName>
    <definedName name="AGUA_ACTUAL_YAC11">'[13]producción por yac-bloques'!#REF!</definedName>
    <definedName name="aisla150" localSheetId="7">#REF!</definedName>
    <definedName name="aisla150" localSheetId="3">#REF!</definedName>
    <definedName name="aisla150" localSheetId="6">#REF!</definedName>
    <definedName name="aisla150" localSheetId="5">#REF!</definedName>
    <definedName name="aisla150" localSheetId="8">#REF!</definedName>
    <definedName name="aisla150" localSheetId="4">#REF!</definedName>
    <definedName name="aisla150">#REF!</definedName>
    <definedName name="aisla600" localSheetId="7">#REF!</definedName>
    <definedName name="aisla600" localSheetId="3">#REF!</definedName>
    <definedName name="aisla600" localSheetId="6">#REF!</definedName>
    <definedName name="aisla600" localSheetId="5">#REF!</definedName>
    <definedName name="aisla600" localSheetId="8">#REF!</definedName>
    <definedName name="aisla600" localSheetId="4">#REF!</definedName>
    <definedName name="aisla600">#REF!</definedName>
    <definedName name="amamam">#N/A</definedName>
    <definedName name="amamama">#N/A</definedName>
    <definedName name="AMORT">#N/A</definedName>
    <definedName name="Amperaje" localSheetId="7">#REF!</definedName>
    <definedName name="Amperaje" localSheetId="3">#REF!</definedName>
    <definedName name="Amperaje" localSheetId="6">#REF!</definedName>
    <definedName name="Amperaje" localSheetId="5">#REF!</definedName>
    <definedName name="Amperaje" localSheetId="8">#REF!</definedName>
    <definedName name="Amperaje" localSheetId="4">#REF!</definedName>
    <definedName name="Amperaje">#REF!</definedName>
    <definedName name="Analisis" localSheetId="6">#REF!</definedName>
    <definedName name="Analisis">#REF!</definedName>
    <definedName name="Analisis_Final" localSheetId="6">#REF!</definedName>
    <definedName name="Analisis_Final">#REF!</definedName>
    <definedName name="anioIni">[14]TABLERO!$C$6</definedName>
    <definedName name="anlisis" localSheetId="7">#REF!</definedName>
    <definedName name="anlisis" localSheetId="3">#REF!</definedName>
    <definedName name="anlisis" localSheetId="6">#REF!</definedName>
    <definedName name="anlisis" localSheetId="5">#REF!</definedName>
    <definedName name="anlisis" localSheetId="8">#REF!</definedName>
    <definedName name="anlisis" localSheetId="4">#REF!</definedName>
    <definedName name="anlisis">#REF!</definedName>
    <definedName name="ANSW" localSheetId="7">#REF!</definedName>
    <definedName name="ANSW" localSheetId="3">#REF!</definedName>
    <definedName name="ANSW" localSheetId="6">#REF!</definedName>
    <definedName name="ANSW" localSheetId="5">#REF!</definedName>
    <definedName name="ANSW" localSheetId="8">#REF!</definedName>
    <definedName name="ANSW" localSheetId="4">#REF!</definedName>
    <definedName name="ANSW">#REF!</definedName>
    <definedName name="AOF">[4]MiniDB!$D$43</definedName>
    <definedName name="API" localSheetId="7">#REF!</definedName>
    <definedName name="API" localSheetId="3">#REF!</definedName>
    <definedName name="API" localSheetId="6">#REF!</definedName>
    <definedName name="API" localSheetId="5">#REF!</definedName>
    <definedName name="API" localSheetId="8">#REF!</definedName>
    <definedName name="API" localSheetId="4">#REF!</definedName>
    <definedName name="API">#REF!</definedName>
    <definedName name="APIDB">[15]API!$A$2:$M$102</definedName>
    <definedName name="aqerqwer" localSheetId="7" hidden="1">#REF!</definedName>
    <definedName name="aqerqwer" localSheetId="3" hidden="1">#REF!</definedName>
    <definedName name="aqerqwer" localSheetId="6" hidden="1">#REF!</definedName>
    <definedName name="aqerqwer" localSheetId="5" hidden="1">#REF!</definedName>
    <definedName name="aqerqwer" localSheetId="8" hidden="1">#REF!</definedName>
    <definedName name="aqerqwer" localSheetId="4" hidden="1">#REF!</definedName>
    <definedName name="aqerqwer" hidden="1">#REF!</definedName>
    <definedName name="areaniv" localSheetId="7">#REF!</definedName>
    <definedName name="areaniv" localSheetId="3">#REF!</definedName>
    <definedName name="areaniv" localSheetId="6">#REF!</definedName>
    <definedName name="areaniv" localSheetId="5">#REF!</definedName>
    <definedName name="areaniv" localSheetId="8">#REF!</definedName>
    <definedName name="areaniv" localSheetId="4">#REF!</definedName>
    <definedName name="areaniv">#REF!</definedName>
    <definedName name="ary" localSheetId="7">#REF!</definedName>
    <definedName name="ary" localSheetId="3">#REF!</definedName>
    <definedName name="ary" localSheetId="6">#REF!</definedName>
    <definedName name="ary" localSheetId="5">#REF!</definedName>
    <definedName name="ary" localSheetId="8">#REF!</definedName>
    <definedName name="ary" localSheetId="4">#REF!</definedName>
    <definedName name="ary">#REF!</definedName>
    <definedName name="asd" localSheetId="7">#REF!</definedName>
    <definedName name="asd" localSheetId="3">#REF!</definedName>
    <definedName name="asd" localSheetId="5">#REF!</definedName>
    <definedName name="asd" localSheetId="8">#REF!</definedName>
    <definedName name="asd" localSheetId="4">#REF!</definedName>
    <definedName name="asd">#REF!</definedName>
    <definedName name="asdf">#REF!</definedName>
    <definedName name="asdfasd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 localSheetId="7">#REF!</definedName>
    <definedName name="B4450." localSheetId="3">#REF!</definedName>
    <definedName name="B4450." localSheetId="6">#REF!</definedName>
    <definedName name="B4450." localSheetId="5">#REF!</definedName>
    <definedName name="B4450." localSheetId="8">#REF!</definedName>
    <definedName name="B4450." localSheetId="4">#REF!</definedName>
    <definedName name="B4450.">#REF!</definedName>
    <definedName name="Bacterias">'[16]Ultima Medicion'!$V$1:$W$5</definedName>
    <definedName name="BAJADAS" localSheetId="7">#REF!</definedName>
    <definedName name="BAJADAS" localSheetId="3">#REF!</definedName>
    <definedName name="BAJADAS" localSheetId="6">#REF!</definedName>
    <definedName name="BAJADAS" localSheetId="5">#REF!</definedName>
    <definedName name="BAJADAS" localSheetId="8">#REF!</definedName>
    <definedName name="BAJADAS" localSheetId="4">#REF!</definedName>
    <definedName name="BAJADAS">#REF!</definedName>
    <definedName name="BAKER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 localSheetId="7">#REF!</definedName>
    <definedName name="Base6" localSheetId="3">#REF!</definedName>
    <definedName name="Base6" localSheetId="6">#REF!</definedName>
    <definedName name="Base6" localSheetId="5">#REF!</definedName>
    <definedName name="Base6" localSheetId="8">#REF!</definedName>
    <definedName name="Base6" localSheetId="4">#REF!</definedName>
    <definedName name="Base6">#REF!</definedName>
    <definedName name="Base7" localSheetId="7">#REF!</definedName>
    <definedName name="Base7" localSheetId="3">#REF!</definedName>
    <definedName name="Base7" localSheetId="6">#REF!</definedName>
    <definedName name="Base7" localSheetId="5">#REF!</definedName>
    <definedName name="Base7" localSheetId="8">#REF!</definedName>
    <definedName name="Base7" localSheetId="4">#REF!</definedName>
    <definedName name="Base7">#REF!</definedName>
    <definedName name="BaseDatos" localSheetId="7">#REF!</definedName>
    <definedName name="BaseDatos" localSheetId="3">#REF!</definedName>
    <definedName name="BaseDatos" localSheetId="6">#REF!</definedName>
    <definedName name="BaseDatos" localSheetId="5">#REF!</definedName>
    <definedName name="BaseDatos" localSheetId="8">#REF!</definedName>
    <definedName name="BaseDatos" localSheetId="4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 localSheetId="7">#REF!</definedName>
    <definedName name="BHP" localSheetId="3">#REF!</definedName>
    <definedName name="BHP" localSheetId="6">#REF!</definedName>
    <definedName name="BHP" localSheetId="5">#REF!</definedName>
    <definedName name="BHP" localSheetId="8">#REF!</definedName>
    <definedName name="BHP" localSheetId="4">#REF!</definedName>
    <definedName name="BHP">#REF!</definedName>
    <definedName name="BHT" localSheetId="7">#REF!</definedName>
    <definedName name="BHT" localSheetId="3">#REF!</definedName>
    <definedName name="BHT" localSheetId="6">#REF!</definedName>
    <definedName name="BHT" localSheetId="5">#REF!</definedName>
    <definedName name="BHT" localSheetId="8">#REF!</definedName>
    <definedName name="BHT" localSheetId="4">#REF!</definedName>
    <definedName name="BHT">#REF!</definedName>
    <definedName name="bipp" localSheetId="7">[19]SPLITS!#REF!</definedName>
    <definedName name="bipp" localSheetId="3">[19]SPLITS!#REF!</definedName>
    <definedName name="bipp" localSheetId="6">[19]SPLITS!#REF!</definedName>
    <definedName name="bipp" localSheetId="5">[19]SPLITS!#REF!</definedName>
    <definedName name="bipp" localSheetId="8">[19]SPLITS!#REF!</definedName>
    <definedName name="bipp" localSheetId="4">[19]SPLITS!#REF!</definedName>
    <definedName name="bipp">[19]SPLITS!#REF!</definedName>
    <definedName name="BOLIVARES" localSheetId="7">#REF!</definedName>
    <definedName name="BOLIVARES" localSheetId="3">#REF!</definedName>
    <definedName name="BOLIVARES" localSheetId="6">#REF!</definedName>
    <definedName name="BOLIVARES" localSheetId="5">#REF!</definedName>
    <definedName name="BOLIVARES" localSheetId="8">#REF!</definedName>
    <definedName name="BOLIVARES" localSheetId="4">#REF!</definedName>
    <definedName name="BOLIVARES">#REF!</definedName>
    <definedName name="Bolívares" localSheetId="7">#REF!</definedName>
    <definedName name="Bolívares" localSheetId="3">#REF!</definedName>
    <definedName name="Bolívares" localSheetId="6">#REF!</definedName>
    <definedName name="Bolívares" localSheetId="5">#REF!</definedName>
    <definedName name="Bolívares" localSheetId="8">#REF!</definedName>
    <definedName name="Bolívares" localSheetId="4">#REF!</definedName>
    <definedName name="Bolívares">#REF!</definedName>
    <definedName name="Bolívares_MRIL" localSheetId="7">#REF!</definedName>
    <definedName name="Bolívares_MRIL" localSheetId="3">#REF!</definedName>
    <definedName name="Bolívares_MRIL" localSheetId="6">#REF!</definedName>
    <definedName name="Bolívares_MRIL" localSheetId="5">#REF!</definedName>
    <definedName name="Bolívares_MRIL" localSheetId="8">#REF!</definedName>
    <definedName name="Bolívares_MRIL" localSheetId="4">#REF!</definedName>
    <definedName name="Bolívares_MRIL">#REF!</definedName>
    <definedName name="BOMBAS">#N/A</definedName>
    <definedName name="Bono">[17]Dic2001!$F$12:$F$112</definedName>
    <definedName name="BorrarHoja" localSheetId="7">[8]!BorrarHoja</definedName>
    <definedName name="BorrarHoja" localSheetId="5">[8]!BorrarHoja</definedName>
    <definedName name="BorrarHoja" localSheetId="8">[8]!BorrarHoja</definedName>
    <definedName name="BorrarHoja" localSheetId="4">[8]!BorrarHoja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 localSheetId="7">#REF!</definedName>
    <definedName name="BRUTA" localSheetId="3">#REF!</definedName>
    <definedName name="BRUTA" localSheetId="6">#REF!</definedName>
    <definedName name="BRUTA" localSheetId="5">#REF!</definedName>
    <definedName name="BRUTA" localSheetId="8">#REF!</definedName>
    <definedName name="BRUTA" localSheetId="4">#REF!</definedName>
    <definedName name="BRUTA">#REF!</definedName>
    <definedName name="Bruta_Antes" localSheetId="7">#REF!</definedName>
    <definedName name="Bruta_Antes" localSheetId="3">#REF!</definedName>
    <definedName name="Bruta_Antes" localSheetId="6">#REF!</definedName>
    <definedName name="Bruta_Antes" localSheetId="5">#REF!</definedName>
    <definedName name="Bruta_Antes" localSheetId="8">#REF!</definedName>
    <definedName name="Bruta_Antes" localSheetId="4">#REF!</definedName>
    <definedName name="Bruta_Antes">#REF!</definedName>
    <definedName name="Bruta_despues" localSheetId="7">#REF!</definedName>
    <definedName name="Bruta_despues" localSheetId="3">#REF!</definedName>
    <definedName name="Bruta_despues" localSheetId="6">#REF!</definedName>
    <definedName name="Bruta_despues" localSheetId="5">#REF!</definedName>
    <definedName name="Bruta_despues" localSheetId="8">#REF!</definedName>
    <definedName name="Bruta_despues" localSheetId="4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 localSheetId="7">#REF!</definedName>
    <definedName name="CA" localSheetId="3">#REF!</definedName>
    <definedName name="CA" localSheetId="6">#REF!</definedName>
    <definedName name="CA" localSheetId="5">#REF!</definedName>
    <definedName name="CA" localSheetId="8">#REF!</definedName>
    <definedName name="CA" localSheetId="4">#REF!</definedName>
    <definedName name="CA">#REF!</definedName>
    <definedName name="cables" localSheetId="7">#REF!</definedName>
    <definedName name="cables" localSheetId="3">#REF!</definedName>
    <definedName name="cables" localSheetId="6">#REF!</definedName>
    <definedName name="cables" localSheetId="5">#REF!</definedName>
    <definedName name="cables" localSheetId="8">#REF!</definedName>
    <definedName name="cables" localSheetId="4">#REF!</definedName>
    <definedName name="cables">#REF!</definedName>
    <definedName name="CALCULOS" localSheetId="7">#REF!</definedName>
    <definedName name="CALCULOS" localSheetId="3">#REF!</definedName>
    <definedName name="CALCULOS" localSheetId="6">#REF!</definedName>
    <definedName name="CALCULOS" localSheetId="5">#REF!</definedName>
    <definedName name="CALCULOS" localSheetId="8">#REF!</definedName>
    <definedName name="CALCULOS" localSheetId="4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 localSheetId="7">#REF!</definedName>
    <definedName name="CANO" localSheetId="3">#REF!</definedName>
    <definedName name="CANO" localSheetId="6">#REF!</definedName>
    <definedName name="CANO" localSheetId="5">#REF!</definedName>
    <definedName name="CANO" localSheetId="8">#REF!</definedName>
    <definedName name="CANO" localSheetId="4">#REF!</definedName>
    <definedName name="CANO">#REF!</definedName>
    <definedName name="Cant_CV" localSheetId="7">#REF!</definedName>
    <definedName name="Cant_CV" localSheetId="3">#REF!</definedName>
    <definedName name="Cant_CV" localSheetId="6">#REF!</definedName>
    <definedName name="Cant_CV" localSheetId="5">#REF!</definedName>
    <definedName name="Cant_CV" localSheetId="8">#REF!</definedName>
    <definedName name="Cant_CV" localSheetId="4">#REF!</definedName>
    <definedName name="Cant_CV">#REF!</definedName>
    <definedName name="Cant_turnos" localSheetId="7">#REF!</definedName>
    <definedName name="Cant_turnos" localSheetId="3">#REF!</definedName>
    <definedName name="Cant_turnos" localSheetId="6">#REF!</definedName>
    <definedName name="Cant_turnos" localSheetId="5">#REF!</definedName>
    <definedName name="Cant_turnos" localSheetId="8">#REF!</definedName>
    <definedName name="Cant_turnos" localSheetId="4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 localSheetId="7">#REF!</definedName>
    <definedName name="cc" localSheetId="3">#REF!</definedName>
    <definedName name="cc" localSheetId="6">#REF!</definedName>
    <definedName name="cc" localSheetId="5">#REF!</definedName>
    <definedName name="cc" localSheetId="8">#REF!</definedName>
    <definedName name="cc" localSheetId="4">#REF!</definedName>
    <definedName name="cc">#REF!</definedName>
    <definedName name="ccc" localSheetId="7">#REF!</definedName>
    <definedName name="ccc" localSheetId="3">#REF!</definedName>
    <definedName name="ccc" localSheetId="6">#REF!</definedName>
    <definedName name="ccc" localSheetId="5">#REF!</definedName>
    <definedName name="ccc" localSheetId="8">#REF!</definedName>
    <definedName name="ccc" localSheetId="4">#REF!</definedName>
    <definedName name="ccc">#REF!</definedName>
    <definedName name="CCT_1" localSheetId="7">#REF!</definedName>
    <definedName name="CCT_1" localSheetId="3">#REF!</definedName>
    <definedName name="CCT_1" localSheetId="6">#REF!</definedName>
    <definedName name="CCT_1" localSheetId="5">#REF!</definedName>
    <definedName name="CCT_1" localSheetId="8">#REF!</definedName>
    <definedName name="CCT_1" localSheetId="4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 localSheetId="7">#REF!</definedName>
    <definedName name="CENTENARIO" localSheetId="3">#REF!</definedName>
    <definedName name="CENTENARIO" localSheetId="6">#REF!</definedName>
    <definedName name="CENTENARIO" localSheetId="5">#REF!</definedName>
    <definedName name="CENTENARIO" localSheetId="8">#REF!</definedName>
    <definedName name="CENTENARIO" localSheetId="4">#REF!</definedName>
    <definedName name="CENTENARIO">#REF!</definedName>
    <definedName name="CF" localSheetId="7">#REF!</definedName>
    <definedName name="CF" localSheetId="3">#REF!</definedName>
    <definedName name="CF" localSheetId="6">#REF!</definedName>
    <definedName name="CF" localSheetId="5">#REF!</definedName>
    <definedName name="CF" localSheetId="8">#REF!</definedName>
    <definedName name="CF" localSheetId="4">#REF!</definedName>
    <definedName name="CF">#REF!</definedName>
    <definedName name="cftr">'[28]500'!$A$1:$N$61</definedName>
    <definedName name="CH_DATE" localSheetId="7">#REF!</definedName>
    <definedName name="CH_DATE" localSheetId="3">#REF!</definedName>
    <definedName name="CH_DATE" localSheetId="6">#REF!</definedName>
    <definedName name="CH_DATE" localSheetId="5">#REF!</definedName>
    <definedName name="CH_DATE" localSheetId="8">#REF!</definedName>
    <definedName name="CH_DATE" localSheetId="4">#REF!</definedName>
    <definedName name="CH_DATE">#REF!</definedName>
    <definedName name="CH_PAGE" localSheetId="7">#REF!</definedName>
    <definedName name="CH_PAGE" localSheetId="3">#REF!</definedName>
    <definedName name="CH_PAGE" localSheetId="6">#REF!</definedName>
    <definedName name="CH_PAGE" localSheetId="5">#REF!</definedName>
    <definedName name="CH_PAGE" localSheetId="8">#REF!</definedName>
    <definedName name="CH_PAGE" localSheetId="4">#REF!</definedName>
    <definedName name="CH_PAGE">#REF!</definedName>
    <definedName name="chapa" localSheetId="7">#REF!</definedName>
    <definedName name="chapa" localSheetId="3">#REF!</definedName>
    <definedName name="chapa" localSheetId="6">#REF!</definedName>
    <definedName name="chapa" localSheetId="5">#REF!</definedName>
    <definedName name="chapa" localSheetId="8">#REF!</definedName>
    <definedName name="chapa" localSheetId="4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 localSheetId="7">#REF!</definedName>
    <definedName name="cmax" localSheetId="3">#REF!</definedName>
    <definedName name="cmax" localSheetId="6">#REF!</definedName>
    <definedName name="cmax" localSheetId="5">#REF!</definedName>
    <definedName name="cmax" localSheetId="8">#REF!</definedName>
    <definedName name="cmax" localSheetId="4">#REF!</definedName>
    <definedName name="cmax">#REF!</definedName>
    <definedName name="cmin" localSheetId="7">#REF!</definedName>
    <definedName name="cmin" localSheetId="3">#REF!</definedName>
    <definedName name="cmin" localSheetId="6">#REF!</definedName>
    <definedName name="cmin" localSheetId="5">#REF!</definedName>
    <definedName name="cmin" localSheetId="8">#REF!</definedName>
    <definedName name="cmin" localSheetId="4">#REF!</definedName>
    <definedName name="cmin">#REF!</definedName>
    <definedName name="CNT" localSheetId="7">#REF!</definedName>
    <definedName name="CNT" localSheetId="3">#REF!</definedName>
    <definedName name="CNT" localSheetId="6">#REF!</definedName>
    <definedName name="CNT" localSheetId="5">#REF!</definedName>
    <definedName name="CNT" localSheetId="8">#REF!</definedName>
    <definedName name="CNT" localSheetId="4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 localSheetId="7">#REF!</definedName>
    <definedName name="COLOR" localSheetId="3">#REF!</definedName>
    <definedName name="COLOR" localSheetId="6">#REF!</definedName>
    <definedName name="COLOR" localSheetId="5">#REF!</definedName>
    <definedName name="COLOR" localSheetId="8">#REF!</definedName>
    <definedName name="COLOR" localSheetId="4">#REF!</definedName>
    <definedName name="COLOR">#REF!</definedName>
    <definedName name="columna1" localSheetId="7">#REF!</definedName>
    <definedName name="columna1" localSheetId="3">#REF!</definedName>
    <definedName name="columna1" localSheetId="6">#REF!</definedName>
    <definedName name="columna1" localSheetId="5">#REF!</definedName>
    <definedName name="columna1" localSheetId="8">#REF!</definedName>
    <definedName name="columna1" localSheetId="4">#REF!</definedName>
    <definedName name="columna1">#REF!</definedName>
    <definedName name="columna10" localSheetId="7">#REF!</definedName>
    <definedName name="columna10" localSheetId="3">#REF!</definedName>
    <definedName name="columna10" localSheetId="6">#REF!</definedName>
    <definedName name="columna10" localSheetId="5">#REF!</definedName>
    <definedName name="columna10" localSheetId="8">#REF!</definedName>
    <definedName name="columna10" localSheetId="4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 localSheetId="7">Areas_Integrales.!continua</definedName>
    <definedName name="continua" localSheetId="3">Base!continua</definedName>
    <definedName name="continua" localSheetId="6">Nuevas_Tec_ME!continua</definedName>
    <definedName name="continua" localSheetId="5">Optimizacion_consumo!continua</definedName>
    <definedName name="continua" localSheetId="8">Optimización_Estructura!continua</definedName>
    <definedName name="continua" localSheetId="4">Optimización_Scio!continua</definedName>
    <definedName name="continua">[0]!continua</definedName>
    <definedName name="controasist">[32]Hoja1!$H$1:$H$4</definedName>
    <definedName name="Control" localSheetId="7">#REF!</definedName>
    <definedName name="Control" localSheetId="3">#REF!</definedName>
    <definedName name="Control" localSheetId="6">#REF!</definedName>
    <definedName name="Control" localSheetId="5">#REF!</definedName>
    <definedName name="Control" localSheetId="8">#REF!</definedName>
    <definedName name="Control" localSheetId="4">#REF!</definedName>
    <definedName name="Control">#REF!</definedName>
    <definedName name="CONTROLADOR" localSheetId="6">[1]Sheet6!#REF!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 localSheetId="7">#REF!</definedName>
    <definedName name="Conyuge" localSheetId="3">#REF!</definedName>
    <definedName name="Conyuge" localSheetId="6">#REF!</definedName>
    <definedName name="Conyuge" localSheetId="5">#REF!</definedName>
    <definedName name="Conyuge" localSheetId="8">#REF!</definedName>
    <definedName name="Conyuge" localSheetId="4">#REF!</definedName>
    <definedName name="Conyuge">#REF!</definedName>
    <definedName name="Conyuge1" localSheetId="7">#REF!</definedName>
    <definedName name="Conyuge1" localSheetId="3">#REF!</definedName>
    <definedName name="Conyuge1" localSheetId="6">#REF!</definedName>
    <definedName name="Conyuge1" localSheetId="5">#REF!</definedName>
    <definedName name="Conyuge1" localSheetId="8">#REF!</definedName>
    <definedName name="Conyuge1" localSheetId="4">#REF!</definedName>
    <definedName name="Conyuge1">#REF!</definedName>
    <definedName name="CORROSION">#N/A</definedName>
    <definedName name="costos_diectos" localSheetId="7">'[33]Cuadro de Resultados'!#REF!</definedName>
    <definedName name="costos_diectos" localSheetId="3">'[33]Cuadro de Resultados'!#REF!</definedName>
    <definedName name="costos_diectos" localSheetId="6">'[33]Cuadro de Resultados'!#REF!</definedName>
    <definedName name="costos_diectos" localSheetId="5">'[33]Cuadro de Resultados'!#REF!</definedName>
    <definedName name="costos_diectos" localSheetId="8">'[33]Cuadro de Resultados'!#REF!</definedName>
    <definedName name="costos_diectos" localSheetId="4">'[33]Cuadro de Resultados'!#REF!</definedName>
    <definedName name="costos_diectos">'[33]Cuadro de Resultados'!#REF!</definedName>
    <definedName name="COTA" localSheetId="7">#REF!</definedName>
    <definedName name="COTA" localSheetId="3">#REF!</definedName>
    <definedName name="COTA" localSheetId="6">#REF!</definedName>
    <definedName name="COTA" localSheetId="5">#REF!</definedName>
    <definedName name="COTA" localSheetId="8">#REF!</definedName>
    <definedName name="COTA" localSheetId="4">#REF!</definedName>
    <definedName name="COTA">#REF!</definedName>
    <definedName name="Coti" localSheetId="7">#REF!</definedName>
    <definedName name="Coti" localSheetId="3">#REF!</definedName>
    <definedName name="Coti" localSheetId="6">#REF!</definedName>
    <definedName name="Coti" localSheetId="5">#REF!</definedName>
    <definedName name="Coti" localSheetId="8">#REF!</definedName>
    <definedName name="Coti" localSheetId="4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 localSheetId="7">#REF!</definedName>
    <definedName name="CP" localSheetId="3">#REF!</definedName>
    <definedName name="CP" localSheetId="6">#REF!</definedName>
    <definedName name="CP" localSheetId="5">#REF!</definedName>
    <definedName name="CP" localSheetId="8">#REF!</definedName>
    <definedName name="CP" localSheetId="4">#REF!</definedName>
    <definedName name="CP">#REF!</definedName>
    <definedName name="CPG" localSheetId="7">#REF!</definedName>
    <definedName name="CPG" localSheetId="3">#REF!</definedName>
    <definedName name="CPG" localSheetId="6">#REF!</definedName>
    <definedName name="CPG" localSheetId="5">#REF!</definedName>
    <definedName name="CPG" localSheetId="8">#REF!</definedName>
    <definedName name="CPG" localSheetId="4">#REF!</definedName>
    <definedName name="CPG">#REF!</definedName>
    <definedName name="CPL" localSheetId="7">#REF!</definedName>
    <definedName name="CPL" localSheetId="3">#REF!</definedName>
    <definedName name="CPL" localSheetId="6">#REF!</definedName>
    <definedName name="CPL" localSheetId="5">#REF!</definedName>
    <definedName name="CPL" localSheetId="8">#REF!</definedName>
    <definedName name="CPL" localSheetId="4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7">#REF!</definedName>
    <definedName name="Cuenta" localSheetId="3">#REF!</definedName>
    <definedName name="Cuenta" localSheetId="6">#REF!</definedName>
    <definedName name="Cuenta" localSheetId="5">#REF!</definedName>
    <definedName name="Cuenta" localSheetId="8">#REF!</definedName>
    <definedName name="Cuenta" localSheetId="4">#REF!</definedName>
    <definedName name="Cuenta">#REF!</definedName>
    <definedName name="Curvaprog" localSheetId="7">#REF!</definedName>
    <definedName name="Curvaprog" localSheetId="3">#REF!</definedName>
    <definedName name="Curvaprog" localSheetId="6">#REF!</definedName>
    <definedName name="Curvaprog" localSheetId="5">#REF!</definedName>
    <definedName name="Curvaprog" localSheetId="8">#REF!</definedName>
    <definedName name="Curvaprog" localSheetId="4">#REF!</definedName>
    <definedName name="Curvaprog">#REF!</definedName>
    <definedName name="CUST" localSheetId="7">#REF!</definedName>
    <definedName name="CUST" localSheetId="3">#REF!</definedName>
    <definedName name="CUST" localSheetId="6">#REF!</definedName>
    <definedName name="CUST" localSheetId="5">#REF!</definedName>
    <definedName name="CUST" localSheetId="8">#REF!</definedName>
    <definedName name="CUST" localSheetId="4">#REF!</definedName>
    <definedName name="CUST">#REF!</definedName>
    <definedName name="D">#REF!</definedName>
    <definedName name="D_pozo">[4]MiniDB!$D$42</definedName>
    <definedName name="DATA_PRES.DIN" localSheetId="7">#REF!</definedName>
    <definedName name="DATA_PRES.DIN" localSheetId="3">#REF!</definedName>
    <definedName name="DATA_PRES.DIN" localSheetId="6">#REF!</definedName>
    <definedName name="DATA_PRES.DIN" localSheetId="5">#REF!</definedName>
    <definedName name="DATA_PRES.DIN" localSheetId="8">#REF!</definedName>
    <definedName name="DATA_PRES.DIN" localSheetId="4">#REF!</definedName>
    <definedName name="DATA_PRES.DIN">#REF!</definedName>
    <definedName name="DATA_PRES_DIN" localSheetId="7">#REF!</definedName>
    <definedName name="DATA_PRES_DIN" localSheetId="3">#REF!</definedName>
    <definedName name="DATA_PRES_DIN" localSheetId="6">#REF!</definedName>
    <definedName name="DATA_PRES_DIN" localSheetId="5">#REF!</definedName>
    <definedName name="DATA_PRES_DIN" localSheetId="8">#REF!</definedName>
    <definedName name="DATA_PRES_DIN" localSheetId="4">#REF!</definedName>
    <definedName name="DATA_PRES_DIN">#REF!</definedName>
    <definedName name="DATA1" localSheetId="7">#REF!</definedName>
    <definedName name="DATA1" localSheetId="3">#REF!</definedName>
    <definedName name="DATA1" localSheetId="6">#REF!</definedName>
    <definedName name="DATA1" localSheetId="5">#REF!</definedName>
    <definedName name="DATA1" localSheetId="8">#REF!</definedName>
    <definedName name="DATA1" localSheetId="4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 localSheetId="7">#REF!</definedName>
    <definedName name="Datosaingresar" localSheetId="3">#REF!</definedName>
    <definedName name="Datosaingresar" localSheetId="6">#REF!</definedName>
    <definedName name="Datosaingresar" localSheetId="5">#REF!</definedName>
    <definedName name="Datosaingresar" localSheetId="8">#REF!</definedName>
    <definedName name="Datosaingresar" localSheetId="4">#REF!</definedName>
    <definedName name="Datosaingresar">#REF!</definedName>
    <definedName name="datosimp" localSheetId="7">#REF!</definedName>
    <definedName name="datosimp" localSheetId="3">#REF!</definedName>
    <definedName name="datosimp" localSheetId="6">#REF!</definedName>
    <definedName name="datosimp" localSheetId="5">#REF!</definedName>
    <definedName name="datosimp" localSheetId="8">#REF!</definedName>
    <definedName name="datosimp" localSheetId="4">#REF!</definedName>
    <definedName name="datosimp">#REF!</definedName>
    <definedName name="datosparo" localSheetId="7">#REF!</definedName>
    <definedName name="datosparo" localSheetId="3">#REF!</definedName>
    <definedName name="datosparo" localSheetId="6">#REF!</definedName>
    <definedName name="datosparo" localSheetId="5">#REF!</definedName>
    <definedName name="datosparo" localSheetId="8">#REF!</definedName>
    <definedName name="datosparo" localSheetId="4">#REF!</definedName>
    <definedName name="datosparo">#REF!</definedName>
    <definedName name="dd" localSheetId="7" hidden="1">{#N/A,#N/A,FALSE,"SERIE_150";#N/A,#N/A,FALSE,"SERIE_600 "}</definedName>
    <definedName name="dd" localSheetId="3" hidden="1">{#N/A,#N/A,FALSE,"SERIE_150";#N/A,#N/A,FALSE,"SERIE_600 "}</definedName>
    <definedName name="dd" localSheetId="6" hidden="1">{#N/A,#N/A,FALSE,"SERIE_150";#N/A,#N/A,FALSE,"SERIE_600 "}</definedName>
    <definedName name="dd" localSheetId="5" hidden="1">{#N/A,#N/A,FALSE,"SERIE_150";#N/A,#N/A,FALSE,"SERIE_600 "}</definedName>
    <definedName name="dd" localSheetId="8" hidden="1">{#N/A,#N/A,FALSE,"SERIE_150";#N/A,#N/A,FALSE,"SERIE_600 "}</definedName>
    <definedName name="dd" localSheetId="4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 localSheetId="7">#REF!</definedName>
    <definedName name="det" localSheetId="3">#REF!</definedName>
    <definedName name="det" localSheetId="6">#REF!</definedName>
    <definedName name="det" localSheetId="5">#REF!</definedName>
    <definedName name="det" localSheetId="8">#REF!</definedName>
    <definedName name="det" localSheetId="4">#REF!</definedName>
    <definedName name="det">#REF!</definedName>
    <definedName name="dete" localSheetId="7">#REF!</definedName>
    <definedName name="dete" localSheetId="3">#REF!</definedName>
    <definedName name="dete" localSheetId="6">#REF!</definedName>
    <definedName name="dete" localSheetId="5">#REF!</definedName>
    <definedName name="dete" localSheetId="8">#REF!</definedName>
    <definedName name="dete" localSheetId="4">#REF!</definedName>
    <definedName name="dete">#REF!</definedName>
    <definedName name="dhsl" localSheetId="7">#REF!</definedName>
    <definedName name="dhsl" localSheetId="3">#REF!</definedName>
    <definedName name="dhsl" localSheetId="6">#REF!</definedName>
    <definedName name="dhsl" localSheetId="5">#REF!</definedName>
    <definedName name="dhsl" localSheetId="8">#REF!</definedName>
    <definedName name="dhsl" localSheetId="4">#REF!</definedName>
    <definedName name="dhsl">#REF!</definedName>
    <definedName name="diagrama">#REF!</definedName>
    <definedName name="diam">[15]Data!$E$7</definedName>
    <definedName name="Días_a_cubrir" localSheetId="7">#REF!</definedName>
    <definedName name="Días_a_cubrir" localSheetId="3">#REF!</definedName>
    <definedName name="Días_a_cubrir" localSheetId="6">#REF!</definedName>
    <definedName name="Días_a_cubrir" localSheetId="5">#REF!</definedName>
    <definedName name="Días_a_cubrir" localSheetId="8">#REF!</definedName>
    <definedName name="Días_a_cubrir" localSheetId="4">#REF!</definedName>
    <definedName name="Días_a_cubrir">#REF!</definedName>
    <definedName name="Días_descanso_titular" localSheetId="7">#REF!</definedName>
    <definedName name="Días_descanso_titular" localSheetId="3">#REF!</definedName>
    <definedName name="Días_descanso_titular" localSheetId="6">#REF!</definedName>
    <definedName name="Días_descanso_titular" localSheetId="5">#REF!</definedName>
    <definedName name="Días_descanso_titular" localSheetId="8">#REF!</definedName>
    <definedName name="Días_descanso_titular" localSheetId="4">#REF!</definedName>
    <definedName name="Días_descanso_titular">#REF!</definedName>
    <definedName name="Días_trabajdos_titular" localSheetId="7">#REF!</definedName>
    <definedName name="Días_trabajdos_titular" localSheetId="3">#REF!</definedName>
    <definedName name="Días_trabajdos_titular" localSheetId="6">#REF!</definedName>
    <definedName name="Días_trabajdos_titular" localSheetId="5">#REF!</definedName>
    <definedName name="Días_trabajdos_titular" localSheetId="8">#REF!</definedName>
    <definedName name="Días_trabajdos_titular" localSheetId="4">#REF!</definedName>
    <definedName name="Días_trabajdos_titular">#REF!</definedName>
    <definedName name="DIC">'[36]Informe global'!$A$6:$AA$107</definedName>
    <definedName name="DIFF" localSheetId="7">#REF!</definedName>
    <definedName name="DIFF" localSheetId="3">#REF!</definedName>
    <definedName name="DIFF" localSheetId="6">#REF!</definedName>
    <definedName name="DIFF" localSheetId="5">#REF!</definedName>
    <definedName name="DIFF" localSheetId="8">#REF!</definedName>
    <definedName name="DIFF" localSheetId="4">#REF!</definedName>
    <definedName name="DIFF">#REF!</definedName>
    <definedName name="Dirección" localSheetId="7">#REF!</definedName>
    <definedName name="Dirección" localSheetId="3">#REF!</definedName>
    <definedName name="Dirección" localSheetId="6">#REF!</definedName>
    <definedName name="Dirección" localSheetId="5">#REF!</definedName>
    <definedName name="Dirección" localSheetId="8">#REF!</definedName>
    <definedName name="Dirección" localSheetId="4">#REF!</definedName>
    <definedName name="Dirección">#REF!</definedName>
    <definedName name="dlev">[15]Data!$D$11</definedName>
    <definedName name="Do" localSheetId="7">#REF!</definedName>
    <definedName name="Do" localSheetId="3">#REF!</definedName>
    <definedName name="Do" localSheetId="6">#REF!</definedName>
    <definedName name="Do" localSheetId="5">#REF!</definedName>
    <definedName name="Do" localSheetId="8">#REF!</definedName>
    <definedName name="Do" localSheetId="4">#REF!</definedName>
    <definedName name="Do">#REF!</definedName>
    <definedName name="Dolar" localSheetId="7">#REF!</definedName>
    <definedName name="Dolar" localSheetId="3">#REF!</definedName>
    <definedName name="Dolar" localSheetId="6">#REF!</definedName>
    <definedName name="Dolar" localSheetId="5">#REF!</definedName>
    <definedName name="Dolar" localSheetId="8">#REF!</definedName>
    <definedName name="Dolar" localSheetId="4">#REF!</definedName>
    <definedName name="Dolar">#REF!</definedName>
    <definedName name="Dólar" localSheetId="7">#REF!</definedName>
    <definedName name="Dólar" localSheetId="3">#REF!</definedName>
    <definedName name="Dólar" localSheetId="6">#REF!</definedName>
    <definedName name="Dólar" localSheetId="5">#REF!</definedName>
    <definedName name="Dólar" localSheetId="8">#REF!</definedName>
    <definedName name="Dólar" localSheetId="4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 localSheetId="7">#REF!</definedName>
    <definedName name="DR_" localSheetId="3">#REF!</definedName>
    <definedName name="DR_" localSheetId="6">#REF!</definedName>
    <definedName name="DR_" localSheetId="5">#REF!</definedName>
    <definedName name="DR_" localSheetId="8">#REF!</definedName>
    <definedName name="DR_" localSheetId="4">#REF!</definedName>
    <definedName name="DR_">#REF!</definedName>
    <definedName name="DR_1" localSheetId="7">#REF!</definedName>
    <definedName name="DR_1" localSheetId="3">#REF!</definedName>
    <definedName name="DR_1" localSheetId="6">#REF!</definedName>
    <definedName name="DR_1" localSheetId="5">#REF!</definedName>
    <definedName name="DR_1" localSheetId="8">#REF!</definedName>
    <definedName name="DR_1" localSheetId="4">#REF!</definedName>
    <definedName name="DR_1">#REF!</definedName>
    <definedName name="drf" localSheetId="7">#REF!</definedName>
    <definedName name="drf" localSheetId="3">#REF!</definedName>
    <definedName name="drf" localSheetId="6">#REF!</definedName>
    <definedName name="drf" localSheetId="5">#REF!</definedName>
    <definedName name="drf" localSheetId="8">#REF!</definedName>
    <definedName name="drf" localSheetId="4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 localSheetId="7">#REF!</definedName>
    <definedName name="EDIT2" localSheetId="3">#REF!</definedName>
    <definedName name="EDIT2" localSheetId="6">#REF!</definedName>
    <definedName name="EDIT2" localSheetId="5">#REF!</definedName>
    <definedName name="EDIT2" localSheetId="8">#REF!</definedName>
    <definedName name="EDIT2" localSheetId="4">#REF!</definedName>
    <definedName name="EDIT2">#REF!</definedName>
    <definedName name="ee" localSheetId="7">#REF!</definedName>
    <definedName name="ee" localSheetId="3">#REF!</definedName>
    <definedName name="ee" localSheetId="6">#REF!</definedName>
    <definedName name="ee" localSheetId="5">#REF!</definedName>
    <definedName name="ee" localSheetId="8">#REF!</definedName>
    <definedName name="ee" localSheetId="4">#REF!</definedName>
    <definedName name="ee">#REF!</definedName>
    <definedName name="eeeeeee" localSheetId="7">#REF!</definedName>
    <definedName name="eeeeeee" localSheetId="3">#REF!</definedName>
    <definedName name="eeeeeee" localSheetId="6">#REF!</definedName>
    <definedName name="eeeeeee" localSheetId="5">#REF!</definedName>
    <definedName name="eeeeeee" localSheetId="8">#REF!</definedName>
    <definedName name="eeeeeee" localSheetId="4">#REF!</definedName>
    <definedName name="eeeeeee">#REF!</definedName>
    <definedName name="eeerr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 localSheetId="7">#REF!</definedName>
    <definedName name="EMPRESA_DEL_GRUPO" localSheetId="3">#REF!</definedName>
    <definedName name="EMPRESA_DEL_GRUPO" localSheetId="6">#REF!</definedName>
    <definedName name="EMPRESA_DEL_GRUPO" localSheetId="5">#REF!</definedName>
    <definedName name="EMPRESA_DEL_GRUPO" localSheetId="8">#REF!</definedName>
    <definedName name="EMPRESA_DEL_GRUPO" localSheetId="4">#REF!</definedName>
    <definedName name="EMPRESA_DEL_GRUPO">#REF!</definedName>
    <definedName name="END" localSheetId="7">Areas_Integrales.!END</definedName>
    <definedName name="END" localSheetId="3">Base!END</definedName>
    <definedName name="END" localSheetId="6">Nuevas_Tec_ME!END</definedName>
    <definedName name="END" localSheetId="5">Optimizacion_consumo!END</definedName>
    <definedName name="END" localSheetId="8">Optimización_Estructura!END</definedName>
    <definedName name="END" localSheetId="4">Optimización_Scio!END</definedName>
    <definedName name="END">[0]!END</definedName>
    <definedName name="entAPI" localSheetId="7">#REF!</definedName>
    <definedName name="entAPI" localSheetId="3">#REF!</definedName>
    <definedName name="entAPI" localSheetId="6">#REF!</definedName>
    <definedName name="entAPI" localSheetId="5">#REF!</definedName>
    <definedName name="entAPI" localSheetId="8">#REF!</definedName>
    <definedName name="entAPI" localSheetId="4">#REF!</definedName>
    <definedName name="entAPI">#REF!</definedName>
    <definedName name="entBAF">'[16]Entrada Tk Bafle'!$A$7:$P$81</definedName>
    <definedName name="enter150" localSheetId="7">#REF!</definedName>
    <definedName name="enter150" localSheetId="3">#REF!</definedName>
    <definedName name="enter150" localSheetId="6">#REF!</definedName>
    <definedName name="enter150" localSheetId="5">#REF!</definedName>
    <definedName name="enter150" localSheetId="8">#REF!</definedName>
    <definedName name="enter150" localSheetId="4">#REF!</definedName>
    <definedName name="enter150">#REF!</definedName>
    <definedName name="enter600" localSheetId="7">#REF!</definedName>
    <definedName name="enter600" localSheetId="3">#REF!</definedName>
    <definedName name="enter600" localSheetId="6">#REF!</definedName>
    <definedName name="enter600" localSheetId="5">#REF!</definedName>
    <definedName name="enter600" localSheetId="8">#REF!</definedName>
    <definedName name="enter600" localSheetId="4">#REF!</definedName>
    <definedName name="enter600">#REF!</definedName>
    <definedName name="entidad" localSheetId="7">#REF!</definedName>
    <definedName name="entidad" localSheetId="3">#REF!</definedName>
    <definedName name="entidad" localSheetId="6">#REF!</definedName>
    <definedName name="entidad" localSheetId="5">#REF!</definedName>
    <definedName name="entidad" localSheetId="8">#REF!</definedName>
    <definedName name="entidad" localSheetId="4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7">#REF!</definedName>
    <definedName name="et" localSheetId="3">#REF!</definedName>
    <definedName name="et" localSheetId="6">#REF!</definedName>
    <definedName name="et" localSheetId="5">#REF!</definedName>
    <definedName name="et" localSheetId="8">#REF!</definedName>
    <definedName name="et" localSheetId="4">#REF!</definedName>
    <definedName name="et">#REF!</definedName>
    <definedName name="ETAPA">[38]MODELO!$D$7</definedName>
    <definedName name="EVI" localSheetId="7">#REF!</definedName>
    <definedName name="EVI" localSheetId="3">#REF!</definedName>
    <definedName name="EVI" localSheetId="6">#REF!</definedName>
    <definedName name="EVI" localSheetId="5">#REF!</definedName>
    <definedName name="EVI" localSheetId="8">#REF!</definedName>
    <definedName name="EVI" localSheetId="4">#REF!</definedName>
    <definedName name="EVI">#REF!</definedName>
    <definedName name="ex_despues" localSheetId="7">#REF!</definedName>
    <definedName name="ex_despues" localSheetId="3">#REF!</definedName>
    <definedName name="ex_despues" localSheetId="6">#REF!</definedName>
    <definedName name="ex_despues" localSheetId="5">#REF!</definedName>
    <definedName name="ex_despues" localSheetId="8">#REF!</definedName>
    <definedName name="ex_despues" localSheetId="4">#REF!</definedName>
    <definedName name="ex_despues">#REF!</definedName>
    <definedName name="exdesp" localSheetId="7">[21]Sheet1!#REF!</definedName>
    <definedName name="exdesp" localSheetId="3">[21]Sheet1!#REF!</definedName>
    <definedName name="exdesp" localSheetId="6">[21]Sheet1!#REF!</definedName>
    <definedName name="exdesp" localSheetId="5">[21]Sheet1!#REF!</definedName>
    <definedName name="exdesp" localSheetId="8">[21]Sheet1!#REF!</definedName>
    <definedName name="exdesp" localSheetId="4">[21]Sheet1!#REF!</definedName>
    <definedName name="exdesp">[21]Sheet1!#REF!</definedName>
    <definedName name="fab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 localSheetId="7">#REF!</definedName>
    <definedName name="Fecha" localSheetId="3">#REF!</definedName>
    <definedName name="Fecha" localSheetId="6">#REF!</definedName>
    <definedName name="Fecha" localSheetId="5">#REF!</definedName>
    <definedName name="Fecha" localSheetId="8">#REF!</definedName>
    <definedName name="Fecha" localSheetId="4">#REF!</definedName>
    <definedName name="Fecha">#REF!</definedName>
    <definedName name="Fecha_Antes" localSheetId="7">#REF!</definedName>
    <definedName name="Fecha_Antes" localSheetId="3">#REF!</definedName>
    <definedName name="Fecha_Antes" localSheetId="6">#REF!</definedName>
    <definedName name="Fecha_Antes" localSheetId="5">#REF!</definedName>
    <definedName name="Fecha_Antes" localSheetId="8">#REF!</definedName>
    <definedName name="Fecha_Antes" localSheetId="4">#REF!</definedName>
    <definedName name="Fecha_Antes">#REF!</definedName>
    <definedName name="Fecha_Cierre">'[12]Datos Generales'!$C$3</definedName>
    <definedName name="Fecha_despues" localSheetId="7">#REF!</definedName>
    <definedName name="Fecha_despues" localSheetId="3">#REF!</definedName>
    <definedName name="Fecha_despues" localSheetId="6">#REF!</definedName>
    <definedName name="Fecha_despues" localSheetId="5">#REF!</definedName>
    <definedName name="Fecha_despues" localSheetId="8">#REF!</definedName>
    <definedName name="Fecha_despues" localSheetId="4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 localSheetId="7">#REF!</definedName>
    <definedName name="ff" localSheetId="3">#REF!</definedName>
    <definedName name="ff" localSheetId="6">#REF!</definedName>
    <definedName name="ff" localSheetId="5">#REF!</definedName>
    <definedName name="ff" localSheetId="8">#REF!</definedName>
    <definedName name="ff" localSheetId="4">#REF!</definedName>
    <definedName name="ff">#REF!</definedName>
    <definedName name="FG" localSheetId="7">#REF!</definedName>
    <definedName name="FG" localSheetId="3">#REF!</definedName>
    <definedName name="FG" localSheetId="6">#REF!</definedName>
    <definedName name="FG" localSheetId="5">#REF!</definedName>
    <definedName name="FG" localSheetId="8">#REF!</definedName>
    <definedName name="FG" localSheetId="4">#REF!</definedName>
    <definedName name="FG">#REF!</definedName>
    <definedName name="FIEL" localSheetId="7">#REF!</definedName>
    <definedName name="FIEL" localSheetId="3">#REF!</definedName>
    <definedName name="FIEL" localSheetId="6">#REF!</definedName>
    <definedName name="FIEL" localSheetId="5">#REF!</definedName>
    <definedName name="FIEL" localSheetId="8">#REF!</definedName>
    <definedName name="FIEL" localSheetId="4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 localSheetId="7">#REF!</definedName>
    <definedName name="Fluido" localSheetId="3">#REF!</definedName>
    <definedName name="Fluido" localSheetId="6">#REF!</definedName>
    <definedName name="Fluido" localSheetId="5">#REF!</definedName>
    <definedName name="Fluido" localSheetId="8">#REF!</definedName>
    <definedName name="Fluido" localSheetId="4">#REF!</definedName>
    <definedName name="Fluido">#REF!</definedName>
    <definedName name="Fono" localSheetId="7">#REF!</definedName>
    <definedName name="Fono" localSheetId="3">#REF!</definedName>
    <definedName name="Fono" localSheetId="6">#REF!</definedName>
    <definedName name="Fono" localSheetId="5">#REF!</definedName>
    <definedName name="Fono" localSheetId="8">#REF!</definedName>
    <definedName name="Fono" localSheetId="4">#REF!</definedName>
    <definedName name="Fono">#REF!</definedName>
    <definedName name="Ford4000" localSheetId="7">#REF!</definedName>
    <definedName name="Ford4000" localSheetId="3">#REF!</definedName>
    <definedName name="Ford4000" localSheetId="6">#REF!</definedName>
    <definedName name="Ford4000" localSheetId="5">#REF!</definedName>
    <definedName name="Ford4000" localSheetId="8">#REF!</definedName>
    <definedName name="Ford4000" localSheetId="4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 localSheetId="7">#REF!</definedName>
    <definedName name="FPV" localSheetId="3">#REF!</definedName>
    <definedName name="FPV" localSheetId="6">#REF!</definedName>
    <definedName name="FPV" localSheetId="5">#REF!</definedName>
    <definedName name="FPV" localSheetId="8">#REF!</definedName>
    <definedName name="FPV" localSheetId="4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7">#REF!</definedName>
    <definedName name="FS" localSheetId="3">#REF!</definedName>
    <definedName name="FS" localSheetId="6">#REF!</definedName>
    <definedName name="FS" localSheetId="5">#REF!</definedName>
    <definedName name="FS" localSheetId="8">#REF!</definedName>
    <definedName name="FS" localSheetId="4">#REF!</definedName>
    <definedName name="FS">#REF!</definedName>
    <definedName name="FSDFSD">#N/A</definedName>
    <definedName name="Ft">[39]ESPESOR!$C$16</definedName>
    <definedName name="FTF" localSheetId="7">#REF!</definedName>
    <definedName name="FTF" localSheetId="3">#REF!</definedName>
    <definedName name="FTF" localSheetId="6">#REF!</definedName>
    <definedName name="FTF" localSheetId="5">#REF!</definedName>
    <definedName name="FTF" localSheetId="8">#REF!</definedName>
    <definedName name="FTF" localSheetId="4">#REF!</definedName>
    <definedName name="FTF">#REF!</definedName>
    <definedName name="FU" localSheetId="7">#REF!</definedName>
    <definedName name="FU" localSheetId="3">#REF!</definedName>
    <definedName name="FU" localSheetId="6">#REF!</definedName>
    <definedName name="FU" localSheetId="5">#REF!</definedName>
    <definedName name="FU" localSheetId="8">#REF!</definedName>
    <definedName name="FU" localSheetId="4">#REF!</definedName>
    <definedName name="FU">#REF!</definedName>
    <definedName name="fv" localSheetId="7">#REF!</definedName>
    <definedName name="fv" localSheetId="3">#REF!</definedName>
    <definedName name="fv" localSheetId="6">#REF!</definedName>
    <definedName name="fv" localSheetId="5">#REF!</definedName>
    <definedName name="fv" localSheetId="8">#REF!</definedName>
    <definedName name="fv" localSheetId="4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 localSheetId="7">#REF!</definedName>
    <definedName name="GAST" localSheetId="3">#REF!</definedName>
    <definedName name="GAST" localSheetId="6">#REF!</definedName>
    <definedName name="GAST" localSheetId="5">#REF!</definedName>
    <definedName name="GAST" localSheetId="8">#REF!</definedName>
    <definedName name="GAST" localSheetId="4">#REF!</definedName>
    <definedName name="GAST">#REF!</definedName>
    <definedName name="GC3500_PRICES">'[42]MASTER TABLE'!$I$547:$I$564</definedName>
    <definedName name="GDEP" localSheetId="7">#REF!</definedName>
    <definedName name="GDEP" localSheetId="3">#REF!</definedName>
    <definedName name="GDEP" localSheetId="6">#REF!</definedName>
    <definedName name="GDEP" localSheetId="5">#REF!</definedName>
    <definedName name="GDEP" localSheetId="8">#REF!</definedName>
    <definedName name="GDEP" localSheetId="4">#REF!</definedName>
    <definedName name="GDEP">#REF!</definedName>
    <definedName name="GENERAL">#N/A</definedName>
    <definedName name="GETDAT" localSheetId="7">#REF!</definedName>
    <definedName name="GETDAT" localSheetId="3">#REF!</definedName>
    <definedName name="GETDAT" localSheetId="6">#REF!</definedName>
    <definedName name="GETDAT" localSheetId="5">#REF!</definedName>
    <definedName name="GETDAT" localSheetId="8">#REF!</definedName>
    <definedName name="GETDAT" localSheetId="4">#REF!</definedName>
    <definedName name="GETDAT">#REF!</definedName>
    <definedName name="gf" localSheetId="7">#REF!</definedName>
    <definedName name="gf" localSheetId="3">#REF!</definedName>
    <definedName name="gf" localSheetId="6">#REF!</definedName>
    <definedName name="gf" localSheetId="5">#REF!</definedName>
    <definedName name="gf" localSheetId="8">#REF!</definedName>
    <definedName name="gf" localSheetId="4">#REF!</definedName>
    <definedName name="gf">#REF!</definedName>
    <definedName name="GG" localSheetId="6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 localSheetId="7">#REF!</definedName>
    <definedName name="GPM" localSheetId="3">#REF!</definedName>
    <definedName name="GPM" localSheetId="6">#REF!</definedName>
    <definedName name="GPM" localSheetId="5">#REF!</definedName>
    <definedName name="GPM" localSheetId="8">#REF!</definedName>
    <definedName name="GPM" localSheetId="4">#REF!</definedName>
    <definedName name="GPM">#REF!</definedName>
    <definedName name="_xlnm.Recorder" localSheetId="7">#REF!</definedName>
    <definedName name="_xlnm.Recorder" localSheetId="3">#REF!</definedName>
    <definedName name="_xlnm.Recorder" localSheetId="6">#REF!</definedName>
    <definedName name="_xlnm.Recorder" localSheetId="5">#REF!</definedName>
    <definedName name="_xlnm.Recorder" localSheetId="8">#REF!</definedName>
    <definedName name="_xlnm.Recorder" localSheetId="4">#REF!</definedName>
    <definedName name="_xlnm.Recorder">#REF!</definedName>
    <definedName name="GRABAR" localSheetId="7">#REF!</definedName>
    <definedName name="GRABAR" localSheetId="3">#REF!</definedName>
    <definedName name="GRABAR" localSheetId="6">#REF!</definedName>
    <definedName name="GRABAR" localSheetId="5">#REF!</definedName>
    <definedName name="GRABAR" localSheetId="8">#REF!</definedName>
    <definedName name="GRABAR" localSheetId="4">#REF!</definedName>
    <definedName name="GRABAR">#REF!</definedName>
    <definedName name="GrabarCambios" localSheetId="7">[8]!GrabarCambios</definedName>
    <definedName name="GrabarCambios" localSheetId="5">[8]!GrabarCambios</definedName>
    <definedName name="GrabarCambios" localSheetId="8">[8]!GrabarCambios</definedName>
    <definedName name="GrabarCambios" localSheetId="4">[8]!GrabarCambios</definedName>
    <definedName name="GrabarCambios">[8]!GrabarCambios</definedName>
    <definedName name="GRABARDIAS">[1]Sheet6!#REF!</definedName>
    <definedName name="grade">[15]Data!$K$13</definedName>
    <definedName name="Guardias_por_turno" localSheetId="7">#REF!</definedName>
    <definedName name="Guardias_por_turno" localSheetId="3">#REF!</definedName>
    <definedName name="Guardias_por_turno" localSheetId="6">#REF!</definedName>
    <definedName name="Guardias_por_turno" localSheetId="5">#REF!</definedName>
    <definedName name="Guardias_por_turno" localSheetId="8">#REF!</definedName>
    <definedName name="Guardias_por_turno" localSheetId="4">#REF!</definedName>
    <definedName name="Guardias_por_turno">#REF!</definedName>
    <definedName name="h" localSheetId="7">#REF!</definedName>
    <definedName name="h" localSheetId="3">#REF!</definedName>
    <definedName name="h" localSheetId="6">#REF!</definedName>
    <definedName name="h" localSheetId="5">#REF!</definedName>
    <definedName name="h" localSheetId="8">#REF!</definedName>
    <definedName name="h" localSheetId="4">#REF!</definedName>
    <definedName name="h">#REF!</definedName>
    <definedName name="H2O" localSheetId="7">#REF!</definedName>
    <definedName name="H2O" localSheetId="3">#REF!</definedName>
    <definedName name="H2O" localSheetId="6">#REF!</definedName>
    <definedName name="H2O" localSheetId="5">#REF!</definedName>
    <definedName name="H2O" localSheetId="8">#REF!</definedName>
    <definedName name="H2O" localSheetId="4">#REF!</definedName>
    <definedName name="H2O">#REF!</definedName>
    <definedName name="hdp" localSheetId="7">[43]WTPO0197!#REF!</definedName>
    <definedName name="hdp" localSheetId="3">[43]WTPO0197!#REF!</definedName>
    <definedName name="hdp" localSheetId="6">[43]WTPO0197!#REF!</definedName>
    <definedName name="hdp" localSheetId="5">[43]WTPO0197!#REF!</definedName>
    <definedName name="hdp" localSheetId="8">[43]WTPO0197!#REF!</definedName>
    <definedName name="hdp" localSheetId="4">[43]WTPO0197!#REF!</definedName>
    <definedName name="hdp">[43]WTPO0197!#REF!</definedName>
    <definedName name="HeatValue" localSheetId="7">#REF!</definedName>
    <definedName name="HeatValue" localSheetId="3">#REF!</definedName>
    <definedName name="HeatValue" localSheetId="6">#REF!</definedName>
    <definedName name="HeatValue" localSheetId="5">#REF!</definedName>
    <definedName name="HeatValue" localSheetId="8">#REF!</definedName>
    <definedName name="HeatValue" localSheetId="4">#REF!</definedName>
    <definedName name="HeatValue">#REF!</definedName>
    <definedName name="HERRA" localSheetId="7">#REF!</definedName>
    <definedName name="HERRA" localSheetId="3">#REF!</definedName>
    <definedName name="HERRA" localSheetId="6">#REF!</definedName>
    <definedName name="HERRA" localSheetId="5">#REF!</definedName>
    <definedName name="HERRA" localSheetId="8">#REF!</definedName>
    <definedName name="HERRA" localSheetId="4">#REF!</definedName>
    <definedName name="HERRA">#REF!</definedName>
    <definedName name="herramientas" localSheetId="7">[44]Equipos!#REF!</definedName>
    <definedName name="herramientas" localSheetId="3">[44]Equipos!#REF!</definedName>
    <definedName name="herramientas" localSheetId="6">[44]Equipos!#REF!</definedName>
    <definedName name="herramientas" localSheetId="5">[44]Equipos!#REF!</definedName>
    <definedName name="herramientas" localSheetId="8">[44]Equipos!#REF!</definedName>
    <definedName name="herramientas" localSheetId="4">[44]Equipos!#REF!</definedName>
    <definedName name="herramientas">[44]Equipos!#REF!</definedName>
    <definedName name="hh" localSheetId="7">#REF!</definedName>
    <definedName name="hh" localSheetId="3">#REF!</definedName>
    <definedName name="hh" localSheetId="6">#REF!</definedName>
    <definedName name="hh" localSheetId="5">#REF!</definedName>
    <definedName name="hh" localSheetId="8">#REF!</definedName>
    <definedName name="hh" localSheetId="4">#REF!</definedName>
    <definedName name="hh">#REF!</definedName>
    <definedName name="hi" localSheetId="7">#REF!</definedName>
    <definedName name="hi" localSheetId="3">#REF!</definedName>
    <definedName name="hi" localSheetId="6">#REF!</definedName>
    <definedName name="hi" localSheetId="5">#REF!</definedName>
    <definedName name="hi" localSheetId="8">#REF!</definedName>
    <definedName name="hi" localSheetId="4">#REF!</definedName>
    <definedName name="hi">#REF!</definedName>
    <definedName name="Hijo1" localSheetId="7">#REF!</definedName>
    <definedName name="Hijo1" localSheetId="3">#REF!</definedName>
    <definedName name="Hijo1" localSheetId="6">#REF!</definedName>
    <definedName name="Hijo1" localSheetId="5">#REF!</definedName>
    <definedName name="Hijo1" localSheetId="8">#REF!</definedName>
    <definedName name="Hijo1" localSheetId="4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 localSheetId="7">#REF!</definedName>
    <definedName name="Horas_por_turno" localSheetId="3">#REF!</definedName>
    <definedName name="Horas_por_turno" localSheetId="6">#REF!</definedName>
    <definedName name="Horas_por_turno" localSheetId="5">#REF!</definedName>
    <definedName name="Horas_por_turno" localSheetId="8">#REF!</definedName>
    <definedName name="Horas_por_turno" localSheetId="4">#REF!</definedName>
    <definedName name="Horas_por_turno">#REF!</definedName>
    <definedName name="horasp" localSheetId="7">#REF!</definedName>
    <definedName name="horasp" localSheetId="3">#REF!</definedName>
    <definedName name="horasp" localSheetId="6">#REF!</definedName>
    <definedName name="horasp" localSheetId="5">#REF!</definedName>
    <definedName name="horasp" localSheetId="8">#REF!</definedName>
    <definedName name="horasp" localSheetId="4">#REF!</definedName>
    <definedName name="horasp">#REF!</definedName>
    <definedName name="HP" localSheetId="7">#REF!</definedName>
    <definedName name="HP" localSheetId="3">#REF!</definedName>
    <definedName name="HP" localSheetId="6">#REF!</definedName>
    <definedName name="HP" localSheetId="5">#REF!</definedName>
    <definedName name="HP" localSheetId="8">#REF!</definedName>
    <definedName name="HP" localSheetId="4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 localSheetId="7">#REF!</definedName>
    <definedName name="Income" localSheetId="3">#REF!</definedName>
    <definedName name="Income" localSheetId="6">#REF!</definedName>
    <definedName name="Income" localSheetId="5">#REF!</definedName>
    <definedName name="Income" localSheetId="8">#REF!</definedName>
    <definedName name="Income" localSheetId="4">#REF!</definedName>
    <definedName name="Income">#REF!</definedName>
    <definedName name="Indices">[46]Validaciones!$B$79:$B$83</definedName>
    <definedName name="InfoGlob">'[47]Informe global'!$A$6:$AA$90</definedName>
    <definedName name="INI" localSheetId="7">#REF!</definedName>
    <definedName name="INI" localSheetId="3">#REF!</definedName>
    <definedName name="INI" localSheetId="6">#REF!</definedName>
    <definedName name="INI" localSheetId="5">#REF!</definedName>
    <definedName name="INI" localSheetId="8">#REF!</definedName>
    <definedName name="INI" localSheetId="4">#REF!</definedName>
    <definedName name="INI">#REF!</definedName>
    <definedName name="INICIAL" localSheetId="6">[1]Sheet5!#REF!</definedName>
    <definedName name="INICIAL">[1]Sheet5!#REF!</definedName>
    <definedName name="inicio" localSheetId="6">#REF!</definedName>
    <definedName name="inicio">#REF!</definedName>
    <definedName name="InjectionVC">[20]Datos!$F$66</definedName>
    <definedName name="Insumos_Directo_Indirecto">[48]Validaciones!$B$61:$B$63</definedName>
    <definedName name="INT" localSheetId="7">#REF!</definedName>
    <definedName name="INT" localSheetId="3">#REF!</definedName>
    <definedName name="INT" localSheetId="6">#REF!</definedName>
    <definedName name="INT" localSheetId="5">#REF!</definedName>
    <definedName name="INT" localSheetId="8">#REF!</definedName>
    <definedName name="INT" localSheetId="4">#REF!</definedName>
    <definedName name="INT">#REF!</definedName>
    <definedName name="INV" localSheetId="7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localSheetId="8" hidden="1">{#N/A,#N/A,FALSE,"RES-ANUAL";#N/A,#N/A,FALSE,"RES-CUENTA";#N/A,#N/A,FALSE,"AREA-RESP"}</definedName>
    <definedName name="INV" localSheetId="4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 localSheetId="7">#REF!</definedName>
    <definedName name="j" localSheetId="3">#REF!</definedName>
    <definedName name="j" localSheetId="6">#REF!</definedName>
    <definedName name="j" localSheetId="5">#REF!</definedName>
    <definedName name="j" localSheetId="8">#REF!</definedName>
    <definedName name="j" localSheetId="4">#REF!</definedName>
    <definedName name="j">#REF!</definedName>
    <definedName name="jj" localSheetId="7">#REF!</definedName>
    <definedName name="jj" localSheetId="3">#REF!</definedName>
    <definedName name="jj" localSheetId="6">#REF!</definedName>
    <definedName name="jj" localSheetId="5">#REF!</definedName>
    <definedName name="jj" localSheetId="8">#REF!</definedName>
    <definedName name="jj" localSheetId="4">#REF!</definedName>
    <definedName name="jj">#REF!</definedName>
    <definedName name="JJJF">'[7]PROD DIA Y MES'!$A$1:$P$55</definedName>
    <definedName name="k" localSheetId="7">#REF!</definedName>
    <definedName name="k" localSheetId="3">#REF!</definedName>
    <definedName name="k" localSheetId="6">#REF!</definedName>
    <definedName name="k" localSheetId="5">#REF!</definedName>
    <definedName name="k" localSheetId="8">#REF!</definedName>
    <definedName name="k" localSheetId="4">#REF!</definedName>
    <definedName name="k">#REF!</definedName>
    <definedName name="KFAC" localSheetId="7">#REF!</definedName>
    <definedName name="KFAC" localSheetId="3">#REF!</definedName>
    <definedName name="KFAC" localSheetId="6">#REF!</definedName>
    <definedName name="KFAC" localSheetId="5">#REF!</definedName>
    <definedName name="KFAC" localSheetId="8">#REF!</definedName>
    <definedName name="KFAC" localSheetId="4">#REF!</definedName>
    <definedName name="KFAC">#REF!</definedName>
    <definedName name="kk" localSheetId="7">#REF!</definedName>
    <definedName name="kk" localSheetId="3">#REF!</definedName>
    <definedName name="kk" localSheetId="6">#REF!</definedName>
    <definedName name="kk" localSheetId="5">#REF!</definedName>
    <definedName name="kk" localSheetId="8">#REF!</definedName>
    <definedName name="kk" localSheetId="4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 localSheetId="7">#REF!</definedName>
    <definedName name="LIN" localSheetId="3">#REF!</definedName>
    <definedName name="LIN" localSheetId="6">#REF!</definedName>
    <definedName name="LIN" localSheetId="5">#REF!</definedName>
    <definedName name="LIN" localSheetId="8">#REF!</definedName>
    <definedName name="LIN" localSheetId="4">#REF!</definedName>
    <definedName name="LIN">#REF!</definedName>
    <definedName name="ListaActividades">[50]Datos!$G$6:$G$29</definedName>
    <definedName name="ListaCombustibles" localSheetId="7">#REF!</definedName>
    <definedName name="ListaCombustibles" localSheetId="3">#REF!</definedName>
    <definedName name="ListaCombustibles" localSheetId="6">#REF!</definedName>
    <definedName name="ListaCombustibles" localSheetId="5">#REF!</definedName>
    <definedName name="ListaCombustibles" localSheetId="8">#REF!</definedName>
    <definedName name="ListaCombustibles" localSheetId="4">#REF!</definedName>
    <definedName name="ListaCombustibles">#REF!</definedName>
    <definedName name="ListaModelos">'[51]Controles procesos'!$B$29:$B$37</definedName>
    <definedName name="ListaNeumaticos" localSheetId="7">#REF!</definedName>
    <definedName name="ListaNeumaticos" localSheetId="3">#REF!</definedName>
    <definedName name="ListaNeumaticos" localSheetId="6">#REF!</definedName>
    <definedName name="ListaNeumaticos" localSheetId="5">#REF!</definedName>
    <definedName name="ListaNeumaticos" localSheetId="8">#REF!</definedName>
    <definedName name="ListaNeumaticos" localSheetId="4">#REF!</definedName>
    <definedName name="ListaNeumaticos">#REF!</definedName>
    <definedName name="ListaSueldos" localSheetId="7">#REF!</definedName>
    <definedName name="ListaSueldos" localSheetId="3">#REF!</definedName>
    <definedName name="ListaSueldos" localSheetId="6">#REF!</definedName>
    <definedName name="ListaSueldos" localSheetId="5">#REF!</definedName>
    <definedName name="ListaSueldos" localSheetId="8">#REF!</definedName>
    <definedName name="ListaSueldos" localSheetId="4">#REF!</definedName>
    <definedName name="ListaSueldos">#REF!</definedName>
    <definedName name="ListaTiemposUnidades">[50]Datos!$K$6:$K$10</definedName>
    <definedName name="ll" localSheetId="7">#REF!</definedName>
    <definedName name="ll" localSheetId="3">#REF!</definedName>
    <definedName name="ll" localSheetId="6">#REF!</definedName>
    <definedName name="ll" localSheetId="5">#REF!</definedName>
    <definedName name="ll" localSheetId="8">#REF!</definedName>
    <definedName name="ll" localSheetId="4">#REF!</definedName>
    <definedName name="ll">#REF!</definedName>
    <definedName name="LOC" localSheetId="7">#REF!</definedName>
    <definedName name="LOC" localSheetId="3">#REF!</definedName>
    <definedName name="LOC" localSheetId="6">#REF!</definedName>
    <definedName name="LOC" localSheetId="5">#REF!</definedName>
    <definedName name="LOC" localSheetId="8">#REF!</definedName>
    <definedName name="LOC" localSheetId="4">#REF!</definedName>
    <definedName name="LOC">#REF!</definedName>
    <definedName name="LTW_Seguimiento_Laboratorio" localSheetId="7">#REF!</definedName>
    <definedName name="LTW_Seguimiento_Laboratorio" localSheetId="3">#REF!</definedName>
    <definedName name="LTW_Seguimiento_Laboratorio" localSheetId="6">#REF!</definedName>
    <definedName name="LTW_Seguimiento_Laboratorio" localSheetId="5">#REF!</definedName>
    <definedName name="LTW_Seguimiento_Laboratorio" localSheetId="8">#REF!</definedName>
    <definedName name="LTW_Seguimiento_Laboratorio" localSheetId="4">#REF!</definedName>
    <definedName name="LTW_Seguimiento_Laboratorio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7">Areas_Integrales.!Macro1</definedName>
    <definedName name="Macro1" localSheetId="3">Base!Macro1</definedName>
    <definedName name="Macro1" localSheetId="6">Nuevas_Tec_ME!Macro1</definedName>
    <definedName name="Macro1" localSheetId="5">Optimizacion_consumo!Macro1</definedName>
    <definedName name="Macro1" localSheetId="8">Optimización_Estructura!Macro1</definedName>
    <definedName name="Macro1" localSheetId="4">Optimización_Scio!Macro1</definedName>
    <definedName name="Macro1">[0]!Macro1</definedName>
    <definedName name="Macro10" localSheetId="7">Areas_Integrales.!Macro10</definedName>
    <definedName name="Macro10" localSheetId="3">Base!Macro10</definedName>
    <definedName name="Macro10" localSheetId="6">Nuevas_Tec_ME!Macro10</definedName>
    <definedName name="Macro10" localSheetId="5">Optimizacion_consumo!Macro10</definedName>
    <definedName name="Macro10" localSheetId="8">Optimización_Estructura!Macro10</definedName>
    <definedName name="Macro10" localSheetId="4">Optimización_Scio!Macro10</definedName>
    <definedName name="Macro10">[0]!Macro10</definedName>
    <definedName name="Macro2" localSheetId="7">Areas_Integrales.!Macro2</definedName>
    <definedName name="Macro2" localSheetId="3">Base!Macro2</definedName>
    <definedName name="Macro2" localSheetId="6">Nuevas_Tec_ME!Macro2</definedName>
    <definedName name="Macro2" localSheetId="5">Optimizacion_consumo!Macro2</definedName>
    <definedName name="Macro2" localSheetId="8">Optimización_Estructura!Macro2</definedName>
    <definedName name="Macro2" localSheetId="4">Optimización_Scio!Macro2</definedName>
    <definedName name="Macro2">[0]!Macro2</definedName>
    <definedName name="Macro20" localSheetId="7">Areas_Integrales.!Macro20</definedName>
    <definedName name="Macro20" localSheetId="3">Base!Macro20</definedName>
    <definedName name="Macro20" localSheetId="6">Nuevas_Tec_ME!Macro20</definedName>
    <definedName name="Macro20" localSheetId="5">Optimizacion_consumo!Macro20</definedName>
    <definedName name="Macro20" localSheetId="8">Optimización_Estructura!Macro20</definedName>
    <definedName name="Macro20" localSheetId="4">Optimización_Scio!Macro20</definedName>
    <definedName name="Macro20">[0]!Macro20</definedName>
    <definedName name="Macro4" localSheetId="7">[8]!Macro4</definedName>
    <definedName name="Macro4" localSheetId="5">[8]!Macro4</definedName>
    <definedName name="Macro4" localSheetId="8">[8]!Macro4</definedName>
    <definedName name="Macro4" localSheetId="4">[8]!Macro4</definedName>
    <definedName name="Macro4">[8]!Macro4</definedName>
    <definedName name="Macro6" localSheetId="7">Areas_Integrales.!Macro6</definedName>
    <definedName name="Macro6" localSheetId="3">Base!Macro6</definedName>
    <definedName name="Macro6" localSheetId="6">Nuevas_Tec_ME!Macro6</definedName>
    <definedName name="Macro6" localSheetId="5">Optimizacion_consumo!Macro6</definedName>
    <definedName name="Macro6" localSheetId="8">Optimización_Estructura!Macro6</definedName>
    <definedName name="Macro6" localSheetId="4">Optimización_Scio!Macro6</definedName>
    <definedName name="Macro6">[0]!Macro6</definedName>
    <definedName name="Macro60" localSheetId="7">Areas_Integrales.!Macro60</definedName>
    <definedName name="Macro60" localSheetId="3">Base!Macro60</definedName>
    <definedName name="Macro60" localSheetId="6">Nuevas_Tec_ME!Macro60</definedName>
    <definedName name="Macro60" localSheetId="5">Optimizacion_consumo!Macro60</definedName>
    <definedName name="Macro60" localSheetId="8">Optimización_Estructura!Macro60</definedName>
    <definedName name="Macro60" localSheetId="4">Optimización_Scio!Macro60</definedName>
    <definedName name="Macro60">[0]!Macro60</definedName>
    <definedName name="Macro7" localSheetId="7">Areas_Integrales.!Macro7</definedName>
    <definedName name="Macro7" localSheetId="3">Base!Macro7</definedName>
    <definedName name="Macro7" localSheetId="6">Nuevas_Tec_ME!Macro7</definedName>
    <definedName name="Macro7" localSheetId="5">Optimizacion_consumo!Macro7</definedName>
    <definedName name="Macro7" localSheetId="8">Optimización_Estructura!Macro7</definedName>
    <definedName name="Macro7" localSheetId="4">Optimización_Scio!Macro7</definedName>
    <definedName name="Macro7">[0]!Macro7</definedName>
    <definedName name="Macro70" localSheetId="7">Areas_Integrales.!Macro70</definedName>
    <definedName name="Macro70" localSheetId="3">Base!Macro70</definedName>
    <definedName name="Macro70" localSheetId="6">Nuevas_Tec_ME!Macro70</definedName>
    <definedName name="Macro70" localSheetId="5">Optimizacion_consumo!Macro70</definedName>
    <definedName name="Macro70" localSheetId="8">Optimización_Estructura!Macro70</definedName>
    <definedName name="Macro70" localSheetId="4">Optimización_Scio!Macro70</definedName>
    <definedName name="Macro70">[0]!Macro70</definedName>
    <definedName name="ManejoDefensivo" localSheetId="7">#REF!</definedName>
    <definedName name="ManejoDefensivo" localSheetId="3">#REF!</definedName>
    <definedName name="ManejoDefensivo" localSheetId="6">#REF!</definedName>
    <definedName name="ManejoDefensivo" localSheetId="5">#REF!</definedName>
    <definedName name="ManejoDefensivo" localSheetId="8">#REF!</definedName>
    <definedName name="ManejoDefensivo" localSheetId="4">#REF!</definedName>
    <definedName name="ManejoDefensivo">#REF!</definedName>
    <definedName name="maquina1">[32]Hoja1!$E$1:$E$14</definedName>
    <definedName name="Máquinas">[9]Maq!$A$6:$A$33</definedName>
    <definedName name="mas" localSheetId="7">#REF!</definedName>
    <definedName name="mas" localSheetId="3">#REF!</definedName>
    <definedName name="mas" localSheetId="6">#REF!</definedName>
    <definedName name="mas" localSheetId="5">#REF!</definedName>
    <definedName name="mas" localSheetId="8">#REF!</definedName>
    <definedName name="mas" localSheetId="4">#REF!</definedName>
    <definedName name="mas">#REF!</definedName>
    <definedName name="MATE" localSheetId="6">'[52]1240-18-P-RI-002'!#REF!</definedName>
    <definedName name="MATE">'[52]1240-18-P-RI-002'!#REF!</definedName>
    <definedName name="Materiales">[9]Mat!$A$4:$A$305</definedName>
    <definedName name="Maxima">[4]MiniDB!$D$49</definedName>
    <definedName name="MedicinaLaboral" localSheetId="7">#REF!</definedName>
    <definedName name="MedicinaLaboral" localSheetId="3">#REF!</definedName>
    <definedName name="MedicinaLaboral" localSheetId="6">#REF!</definedName>
    <definedName name="MedicinaLaboral" localSheetId="5">#REF!</definedName>
    <definedName name="MedicinaLaboral" localSheetId="8">#REF!</definedName>
    <definedName name="MedicinaLaboral" localSheetId="4">#REF!</definedName>
    <definedName name="MedicinaLaboral">#REF!</definedName>
    <definedName name="Menor" localSheetId="6">'[45]Sop Dif '!#REF!</definedName>
    <definedName name="Menor">'[45]Sop Dif '!#REF!</definedName>
    <definedName name="menos" localSheetId="7">#REF!</definedName>
    <definedName name="menos" localSheetId="3">#REF!</definedName>
    <definedName name="menos" localSheetId="6">#REF!</definedName>
    <definedName name="menos" localSheetId="5">#REF!</definedName>
    <definedName name="menos" localSheetId="8">#REF!</definedName>
    <definedName name="menos" localSheetId="4">#REF!</definedName>
    <definedName name="menos">#REF!</definedName>
    <definedName name="MENSAJE_DIAS" localSheetId="6">[1]Sheet6!#REF!</definedName>
    <definedName name="MENSAJE_DIAS">[1]Sheet6!#REF!</definedName>
    <definedName name="MENU" localSheetId="6">#REF!</definedName>
    <definedName name="MENU">#REF!</definedName>
    <definedName name="MENUS" localSheetId="6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 localSheetId="7">#REF!</definedName>
    <definedName name="mm" localSheetId="3">#REF!</definedName>
    <definedName name="mm" localSheetId="6">#REF!</definedName>
    <definedName name="mm" localSheetId="5">#REF!</definedName>
    <definedName name="mm" localSheetId="8">#REF!</definedName>
    <definedName name="mm" localSheetId="4">#REF!</definedName>
    <definedName name="mm">#REF!</definedName>
    <definedName name="mm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 localSheetId="7">[8]!Módulo3.Sector2</definedName>
    <definedName name="Módulo3.Sector2" localSheetId="5">[8]!Módulo3.Sector2</definedName>
    <definedName name="Módulo3.Sector2" localSheetId="8">[8]!Módulo3.Sector2</definedName>
    <definedName name="Módulo3.Sector2" localSheetId="4">[8]!Módulo3.Sector2</definedName>
    <definedName name="Módulo3.Sector2">[8]!Módulo3.Sector2</definedName>
    <definedName name="Módulo4.Sector3" localSheetId="7">[8]!Módulo4.Sector3</definedName>
    <definedName name="Módulo4.Sector3" localSheetId="5">[8]!Módulo4.Sector3</definedName>
    <definedName name="Módulo4.Sector3" localSheetId="8">[8]!Módulo4.Sector3</definedName>
    <definedName name="Módulo4.Sector3" localSheetId="4">[8]!Módulo4.Sector3</definedName>
    <definedName name="Módulo4.Sector3">[8]!Módulo4.Sector3</definedName>
    <definedName name="Módulo5.Sector4" localSheetId="7">[8]!Módulo5.Sector4</definedName>
    <definedName name="Módulo5.Sector4" localSheetId="5">[8]!Módulo5.Sector4</definedName>
    <definedName name="Módulo5.Sector4" localSheetId="8">[8]!Módulo5.Sector4</definedName>
    <definedName name="Módulo5.Sector4" localSheetId="4">[8]!Módulo5.Sector4</definedName>
    <definedName name="Módulo5.Sector4">[8]!Módulo5.Sector4</definedName>
    <definedName name="Módulo6.Sector5" localSheetId="7">[8]!Módulo6.Sector5</definedName>
    <definedName name="Módulo6.Sector5" localSheetId="5">[8]!Módulo6.Sector5</definedName>
    <definedName name="Módulo6.Sector5" localSheetId="8">[8]!Módulo6.Sector5</definedName>
    <definedName name="Módulo6.Sector5" localSheetId="4">[8]!Módulo6.Sector5</definedName>
    <definedName name="Módulo6.Sector5">[8]!Módulo6.Sector5</definedName>
    <definedName name="MOI" localSheetId="7">#REF!</definedName>
    <definedName name="MOI" localSheetId="3">#REF!</definedName>
    <definedName name="MOI" localSheetId="6">#REF!</definedName>
    <definedName name="MOI" localSheetId="5">#REF!</definedName>
    <definedName name="MOI" localSheetId="8">#REF!</definedName>
    <definedName name="MOI" localSheetId="4">#REF!</definedName>
    <definedName name="MOI">#REF!</definedName>
    <definedName name="Moneda">[12]Resumen!$X$2</definedName>
    <definedName name="MONTO" localSheetId="7">#REF!</definedName>
    <definedName name="MONTO" localSheetId="3">#REF!</definedName>
    <definedName name="MONTO" localSheetId="6">#REF!</definedName>
    <definedName name="MONTO" localSheetId="5">#REF!</definedName>
    <definedName name="MONTO" localSheetId="8">#REF!</definedName>
    <definedName name="MONTO" localSheetId="4">#REF!</definedName>
    <definedName name="MONTO">#REF!</definedName>
    <definedName name="Monto_Descuento_Bolívares" localSheetId="7">#REF!</definedName>
    <definedName name="Monto_Descuento_Bolívares" localSheetId="3">#REF!</definedName>
    <definedName name="Monto_Descuento_Bolívares" localSheetId="6">#REF!</definedName>
    <definedName name="Monto_Descuento_Bolívares" localSheetId="5">#REF!</definedName>
    <definedName name="Monto_Descuento_Bolívares" localSheetId="8">#REF!</definedName>
    <definedName name="Monto_Descuento_Bolívares" localSheetId="4">#REF!</definedName>
    <definedName name="Monto_Descuento_Bolívares">#REF!</definedName>
    <definedName name="Monto_Descuento_Dólares" localSheetId="7">#REF!</definedName>
    <definedName name="Monto_Descuento_Dólares" localSheetId="3">#REF!</definedName>
    <definedName name="Monto_Descuento_Dólares" localSheetId="6">#REF!</definedName>
    <definedName name="Monto_Descuento_Dólares" localSheetId="5">#REF!</definedName>
    <definedName name="Monto_Descuento_Dólares" localSheetId="8">#REF!</definedName>
    <definedName name="Monto_Descuento_Dólares" localSheetId="4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 localSheetId="7">#REF!</definedName>
    <definedName name="MSG" localSheetId="3">#REF!</definedName>
    <definedName name="MSG" localSheetId="6">#REF!</definedName>
    <definedName name="MSG" localSheetId="5">#REF!</definedName>
    <definedName name="MSG" localSheetId="8">#REF!</definedName>
    <definedName name="MSG" localSheetId="4">#REF!</definedName>
    <definedName name="MSG">#REF!</definedName>
    <definedName name="MSG0" localSheetId="7">#REF!</definedName>
    <definedName name="MSG0" localSheetId="3">#REF!</definedName>
    <definedName name="MSG0" localSheetId="6">#REF!</definedName>
    <definedName name="MSG0" localSheetId="5">#REF!</definedName>
    <definedName name="MSG0" localSheetId="8">#REF!</definedName>
    <definedName name="MSG0" localSheetId="4">#REF!</definedName>
    <definedName name="MSG0">#REF!</definedName>
    <definedName name="MtoF4000" localSheetId="7">#REF!</definedName>
    <definedName name="MtoF4000" localSheetId="3">#REF!</definedName>
    <definedName name="MtoF4000" localSheetId="6">#REF!</definedName>
    <definedName name="MtoF4000" localSheetId="5">#REF!</definedName>
    <definedName name="MtoF4000" localSheetId="8">#REF!</definedName>
    <definedName name="MtoF4000" localSheetId="4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 localSheetId="7">#REF!</definedName>
    <definedName name="nbreTotal1" localSheetId="3">#REF!</definedName>
    <definedName name="nbreTotal1" localSheetId="6">#REF!</definedName>
    <definedName name="nbreTotal1" localSheetId="5">#REF!</definedName>
    <definedName name="nbreTotal1" localSheetId="8">#REF!</definedName>
    <definedName name="nbreTotal1" localSheetId="4">#REF!</definedName>
    <definedName name="nbreTotal1">#REF!</definedName>
    <definedName name="nbreTotal10" localSheetId="7">#REF!</definedName>
    <definedName name="nbreTotal10" localSheetId="3">#REF!</definedName>
    <definedName name="nbreTotal10" localSheetId="6">#REF!</definedName>
    <definedName name="nbreTotal10" localSheetId="5">#REF!</definedName>
    <definedName name="nbreTotal10" localSheetId="8">#REF!</definedName>
    <definedName name="nbreTotal10" localSheetId="4">#REF!</definedName>
    <definedName name="nbreTotal10">#REF!</definedName>
    <definedName name="nbreTotal2" localSheetId="7">#REF!</definedName>
    <definedName name="nbreTotal2" localSheetId="3">#REF!</definedName>
    <definedName name="nbreTotal2" localSheetId="6">#REF!</definedName>
    <definedName name="nbreTotal2" localSheetId="5">#REF!</definedName>
    <definedName name="nbreTotal2" localSheetId="8">#REF!</definedName>
    <definedName name="nbreTotal2" localSheetId="4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 localSheetId="7">#REF!</definedName>
    <definedName name="Neto_Arg" localSheetId="3">#REF!</definedName>
    <definedName name="Neto_Arg" localSheetId="6">#REF!</definedName>
    <definedName name="Neto_Arg" localSheetId="5">#REF!</definedName>
    <definedName name="Neto_Arg" localSheetId="8">#REF!</definedName>
    <definedName name="Neto_Arg" localSheetId="4">#REF!</definedName>
    <definedName name="Neto_Arg">#REF!</definedName>
    <definedName name="Neto_Arg_T" localSheetId="7">#REF!</definedName>
    <definedName name="Neto_Arg_T" localSheetId="3">#REF!</definedName>
    <definedName name="Neto_Arg_T" localSheetId="6">#REF!</definedName>
    <definedName name="Neto_Arg_T" localSheetId="5">#REF!</definedName>
    <definedName name="Neto_Arg_T" localSheetId="8">#REF!</definedName>
    <definedName name="Neto_Arg_T" localSheetId="4">#REF!</definedName>
    <definedName name="Neto_Arg_T">#REF!</definedName>
    <definedName name="Netos_país">'[36]Netos  país'!$A$6:$I$107</definedName>
    <definedName name="NeumaticosF4000" localSheetId="7">#REF!</definedName>
    <definedName name="NeumaticosF4000" localSheetId="3">#REF!</definedName>
    <definedName name="NeumaticosF4000" localSheetId="6">#REF!</definedName>
    <definedName name="NeumaticosF4000" localSheetId="5">#REF!</definedName>
    <definedName name="NeumaticosF4000" localSheetId="8">#REF!</definedName>
    <definedName name="NeumaticosF4000" localSheetId="4">#REF!</definedName>
    <definedName name="NeumaticosF4000">#REF!</definedName>
    <definedName name="NeumaticosPerf" localSheetId="7">#REF!</definedName>
    <definedName name="NeumaticosPerf" localSheetId="3">#REF!</definedName>
    <definedName name="NeumaticosPerf" localSheetId="6">#REF!</definedName>
    <definedName name="NeumaticosPerf" localSheetId="5">#REF!</definedName>
    <definedName name="NeumaticosPerf" localSheetId="8">#REF!</definedName>
    <definedName name="NeumaticosPerf" localSheetId="4">#REF!</definedName>
    <definedName name="NeumaticosPerf">#REF!</definedName>
    <definedName name="NeumaticosRanger" localSheetId="7">#REF!</definedName>
    <definedName name="NeumaticosRanger" localSheetId="3">#REF!</definedName>
    <definedName name="NeumaticosRanger" localSheetId="6">#REF!</definedName>
    <definedName name="NeumaticosRanger" localSheetId="5">#REF!</definedName>
    <definedName name="NeumaticosRanger" localSheetId="8">#REF!</definedName>
    <definedName name="NeumaticosRanger" localSheetId="4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 localSheetId="7">#REF!</definedName>
    <definedName name="NOMBRE" localSheetId="3">#REF!</definedName>
    <definedName name="NOMBRE" localSheetId="6">#REF!</definedName>
    <definedName name="NOMBRE" localSheetId="5">#REF!</definedName>
    <definedName name="NOMBRE" localSheetId="8">#REF!</definedName>
    <definedName name="NOMBRE" localSheetId="4">#REF!</definedName>
    <definedName name="NOMBRE">#REF!</definedName>
    <definedName name="Normal">[4]MiniDB!$D$44</definedName>
    <definedName name="nro" localSheetId="7">#REF!</definedName>
    <definedName name="nro" localSheetId="3">#REF!</definedName>
    <definedName name="nro" localSheetId="6">#REF!</definedName>
    <definedName name="nro" localSheetId="5">#REF!</definedName>
    <definedName name="nro" localSheetId="8">#REF!</definedName>
    <definedName name="nro" localSheetId="4">#REF!</definedName>
    <definedName name="nro">#REF!</definedName>
    <definedName name="NROW" localSheetId="7">#REF!</definedName>
    <definedName name="NROW" localSheetId="3">#REF!</definedName>
    <definedName name="NROW" localSheetId="6">#REF!</definedName>
    <definedName name="NROW" localSheetId="5">#REF!</definedName>
    <definedName name="NROW" localSheetId="8">#REF!</definedName>
    <definedName name="NROW" localSheetId="4">#REF!</definedName>
    <definedName name="NROW">#REF!</definedName>
    <definedName name="NROWF" localSheetId="7">#REF!</definedName>
    <definedName name="NROWF" localSheetId="3">#REF!</definedName>
    <definedName name="NROWF" localSheetId="6">#REF!</definedName>
    <definedName name="NROWF" localSheetId="5">#REF!</definedName>
    <definedName name="NROWF" localSheetId="8">#REF!</definedName>
    <definedName name="NROWF" localSheetId="4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 localSheetId="7">#REF!</definedName>
    <definedName name="OGRA" localSheetId="3">#REF!</definedName>
    <definedName name="OGRA" localSheetId="6">#REF!</definedName>
    <definedName name="OGRA" localSheetId="5">#REF!</definedName>
    <definedName name="OGRA" localSheetId="8">#REF!</definedName>
    <definedName name="OGRA" localSheetId="4">#REF!</definedName>
    <definedName name="OGRA">#REF!</definedName>
    <definedName name="OGRA_C" localSheetId="7">#REF!</definedName>
    <definedName name="OGRA_C" localSheetId="3">#REF!</definedName>
    <definedName name="OGRA_C" localSheetId="6">#REF!</definedName>
    <definedName name="OGRA_C" localSheetId="5">#REF!</definedName>
    <definedName name="OGRA_C" localSheetId="8">#REF!</definedName>
    <definedName name="OGRA_C" localSheetId="4">#REF!</definedName>
    <definedName name="OGRA_C">#REF!</definedName>
    <definedName name="OILMTR" localSheetId="7">#REF!</definedName>
    <definedName name="OILMTR" localSheetId="3">#REF!</definedName>
    <definedName name="OILMTR" localSheetId="6">#REF!</definedName>
    <definedName name="OILMTR" localSheetId="5">#REF!</definedName>
    <definedName name="OILMTR" localSheetId="8">#REF!</definedName>
    <definedName name="OILMTR" localSheetId="4">#REF!</definedName>
    <definedName name="OILMTR">#REF!</definedName>
    <definedName name="OilReserves">[20]Datos!$F$13</definedName>
    <definedName name="OILT" localSheetId="7">#REF!</definedName>
    <definedName name="OILT" localSheetId="3">#REF!</definedName>
    <definedName name="OILT" localSheetId="6">#REF!</definedName>
    <definedName name="OILT" localSheetId="5">#REF!</definedName>
    <definedName name="OILT" localSheetId="8">#REF!</definedName>
    <definedName name="OILT" localSheetId="4">#REF!</definedName>
    <definedName name="OILT">#REF!</definedName>
    <definedName name="OiltransC" localSheetId="7">#REF!</definedName>
    <definedName name="OiltransC" localSheetId="3">#REF!</definedName>
    <definedName name="OiltransC" localSheetId="6">#REF!</definedName>
    <definedName name="OiltransC" localSheetId="5">#REF!</definedName>
    <definedName name="OiltransC" localSheetId="8">#REF!</definedName>
    <definedName name="OiltransC" localSheetId="4">#REF!</definedName>
    <definedName name="OiltransC">#REF!</definedName>
    <definedName name="OPC_ELEG" localSheetId="7">[1]Sheet5!#REF!</definedName>
    <definedName name="OPC_ELEG" localSheetId="3">[1]Sheet5!#REF!</definedName>
    <definedName name="OPC_ELEG" localSheetId="6">[1]Sheet5!#REF!</definedName>
    <definedName name="OPC_ELEG" localSheetId="5">[1]Sheet5!#REF!</definedName>
    <definedName name="OPC_ELEG" localSheetId="8">[1]Sheet5!#REF!</definedName>
    <definedName name="OPC_ELEG" localSheetId="4">[1]Sheet5!#REF!</definedName>
    <definedName name="OPC_ELEG">[1]Sheet5!#REF!</definedName>
    <definedName name="operador" localSheetId="7">#REF!</definedName>
    <definedName name="operador" localSheetId="3">#REF!</definedName>
    <definedName name="operador" localSheetId="6">#REF!</definedName>
    <definedName name="operador" localSheetId="5">#REF!</definedName>
    <definedName name="operador" localSheetId="8">#REF!</definedName>
    <definedName name="operador" localSheetId="4">#REF!</definedName>
    <definedName name="operador">#REF!</definedName>
    <definedName name="Operadores" localSheetId="7">#REF!</definedName>
    <definedName name="Operadores" localSheetId="3">#REF!</definedName>
    <definedName name="Operadores" localSheetId="6">#REF!</definedName>
    <definedName name="Operadores" localSheetId="5">#REF!</definedName>
    <definedName name="Operadores" localSheetId="8">#REF!</definedName>
    <definedName name="Operadores" localSheetId="4">#REF!</definedName>
    <definedName name="Operadores">#REF!</definedName>
    <definedName name="ORDEN" localSheetId="6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 localSheetId="7">#REF!</definedName>
    <definedName name="Orificio" localSheetId="3">#REF!</definedName>
    <definedName name="Orificio" localSheetId="6">#REF!</definedName>
    <definedName name="Orificio" localSheetId="5">#REF!</definedName>
    <definedName name="Orificio" localSheetId="8">#REF!</definedName>
    <definedName name="Orificio" localSheetId="4">#REF!</definedName>
    <definedName name="Orificio">#REF!</definedName>
    <definedName name="orificio_Antes" localSheetId="7">#REF!</definedName>
    <definedName name="orificio_Antes" localSheetId="3">#REF!</definedName>
    <definedName name="orificio_Antes" localSheetId="6">#REF!</definedName>
    <definedName name="orificio_Antes" localSheetId="5">#REF!</definedName>
    <definedName name="orificio_Antes" localSheetId="8">#REF!</definedName>
    <definedName name="orificio_Antes" localSheetId="4">#REF!</definedName>
    <definedName name="orificio_Antes">#REF!</definedName>
    <definedName name="orificio_despues" localSheetId="7">#REF!</definedName>
    <definedName name="orificio_despues" localSheetId="3">#REF!</definedName>
    <definedName name="orificio_despues" localSheetId="6">#REF!</definedName>
    <definedName name="orificio_despues" localSheetId="5">#REF!</definedName>
    <definedName name="orificio_despues" localSheetId="8">#REF!</definedName>
    <definedName name="orificio_despues" localSheetId="4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7">#REF!</definedName>
    <definedName name="Overhead" localSheetId="3">#REF!</definedName>
    <definedName name="Overhead" localSheetId="6">#REF!</definedName>
    <definedName name="Overhead" localSheetId="5">#REF!</definedName>
    <definedName name="Overhead" localSheetId="8">#REF!</definedName>
    <definedName name="Overhead" localSheetId="4">#REF!</definedName>
    <definedName name="Overhead">#REF!</definedName>
    <definedName name="p" localSheetId="7">#REF!</definedName>
    <definedName name="p" localSheetId="3">#REF!</definedName>
    <definedName name="p" localSheetId="6">#REF!</definedName>
    <definedName name="p" localSheetId="5">#REF!</definedName>
    <definedName name="p" localSheetId="8">#REF!</definedName>
    <definedName name="p" localSheetId="4">#REF!</definedName>
    <definedName name="p">#REF!</definedName>
    <definedName name="P.1" localSheetId="7">#REF!</definedName>
    <definedName name="P.1" localSheetId="3">#REF!</definedName>
    <definedName name="P.1" localSheetId="6">#REF!</definedName>
    <definedName name="P.1" localSheetId="5">#REF!</definedName>
    <definedName name="P.1" localSheetId="8">#REF!</definedName>
    <definedName name="P.1" localSheetId="4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ágina_Principal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 localSheetId="7">#REF!</definedName>
    <definedName name="PESOS150" localSheetId="3">#REF!</definedName>
    <definedName name="PESOS150" localSheetId="6">#REF!</definedName>
    <definedName name="PESOS150" localSheetId="5">#REF!</definedName>
    <definedName name="PESOS150" localSheetId="8">#REF!</definedName>
    <definedName name="PESOS150" localSheetId="4">#REF!</definedName>
    <definedName name="PESOS150">#REF!</definedName>
    <definedName name="pesos600" localSheetId="7">#REF!</definedName>
    <definedName name="pesos600" localSheetId="3">#REF!</definedName>
    <definedName name="pesos600" localSheetId="6">#REF!</definedName>
    <definedName name="pesos600" localSheetId="5">#REF!</definedName>
    <definedName name="pesos600" localSheetId="8">#REF!</definedName>
    <definedName name="pesos600" localSheetId="4">#REF!</definedName>
    <definedName name="pesos600">#REF!</definedName>
    <definedName name="PESOS83">'[55]#¡REF'!$K$28</definedName>
    <definedName name="PESOS85">'[55]RESUMEN GRAL'!#REF!</definedName>
    <definedName name="Petróleo_y_Gas_Occidente" localSheetId="7">#REF!</definedName>
    <definedName name="Petróleo_y_Gas_Occidente" localSheetId="3">#REF!</definedName>
    <definedName name="Petróleo_y_Gas_Occidente" localSheetId="6">#REF!</definedName>
    <definedName name="Petróleo_y_Gas_Occidente" localSheetId="5">#REF!</definedName>
    <definedName name="Petróleo_y_Gas_Occidente" localSheetId="8">#REF!</definedName>
    <definedName name="Petróleo_y_Gas_Occidente" localSheetId="4">#REF!</definedName>
    <definedName name="Petróleo_y_Gas_Occidente">#REF!</definedName>
    <definedName name="Pf" localSheetId="7">#REF!</definedName>
    <definedName name="Pf" localSheetId="3">#REF!</definedName>
    <definedName name="Pf" localSheetId="6">#REF!</definedName>
    <definedName name="Pf" localSheetId="5">#REF!</definedName>
    <definedName name="Pf" localSheetId="8">#REF!</definedName>
    <definedName name="Pf" localSheetId="4">#REF!</definedName>
    <definedName name="Pf">#REF!</definedName>
    <definedName name="PGAS1" localSheetId="7">#REF!</definedName>
    <definedName name="PGAS1" localSheetId="3">#REF!</definedName>
    <definedName name="PGAS1" localSheetId="6">#REF!</definedName>
    <definedName name="PGAS1" localSheetId="5">#REF!</definedName>
    <definedName name="PGAS1" localSheetId="8">#REF!</definedName>
    <definedName name="PGAS1" localSheetId="4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 localSheetId="7">#REF!</definedName>
    <definedName name="Pinyeccion" localSheetId="3">#REF!</definedName>
    <definedName name="Pinyeccion" localSheetId="6">#REF!</definedName>
    <definedName name="Pinyeccion" localSheetId="5">#REF!</definedName>
    <definedName name="Pinyeccion" localSheetId="8">#REF!</definedName>
    <definedName name="Pinyeccion" localSheetId="4">#REF!</definedName>
    <definedName name="Pinyeccion">#REF!</definedName>
    <definedName name="PKR" localSheetId="7">#REF!</definedName>
    <definedName name="PKR" localSheetId="3">#REF!</definedName>
    <definedName name="PKR" localSheetId="6">#REF!</definedName>
    <definedName name="PKR" localSheetId="5">#REF!</definedName>
    <definedName name="PKR" localSheetId="8">#REF!</definedName>
    <definedName name="PKR" localSheetId="4">#REF!</definedName>
    <definedName name="PKR">#REF!</definedName>
    <definedName name="PLA" localSheetId="7">#REF!</definedName>
    <definedName name="PLA" localSheetId="3">#REF!</definedName>
    <definedName name="PLA" localSheetId="6">#REF!</definedName>
    <definedName name="PLA" localSheetId="5">#REF!</definedName>
    <definedName name="PLA" localSheetId="8">#REF!</definedName>
    <definedName name="PLA" localSheetId="4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7">#REF!</definedName>
    <definedName name="Plinea" localSheetId="3">#REF!</definedName>
    <definedName name="Plinea" localSheetId="6">#REF!</definedName>
    <definedName name="Plinea" localSheetId="5">#REF!</definedName>
    <definedName name="Plinea" localSheetId="8">#REF!</definedName>
    <definedName name="Plinea" localSheetId="4">#REF!</definedName>
    <definedName name="Plinea">#REF!</definedName>
    <definedName name="PLPG1" localSheetId="7">#REF!</definedName>
    <definedName name="PLPG1" localSheetId="3">#REF!</definedName>
    <definedName name="PLPG1" localSheetId="6">#REF!</definedName>
    <definedName name="PLPG1" localSheetId="5">#REF!</definedName>
    <definedName name="PLPG1" localSheetId="8">#REF!</definedName>
    <definedName name="PLPG1" localSheetId="4">#REF!</definedName>
    <definedName name="PLPG1">#REF!</definedName>
    <definedName name="PLPG2" localSheetId="7">#REF!</definedName>
    <definedName name="PLPG2" localSheetId="3">#REF!</definedName>
    <definedName name="PLPG2" localSheetId="6">#REF!</definedName>
    <definedName name="PLPG2" localSheetId="5">#REF!</definedName>
    <definedName name="PLPG2" localSheetId="8">#REF!</definedName>
    <definedName name="PLPG2" localSheetId="4">#REF!</definedName>
    <definedName name="PLPG2">#REF!</definedName>
    <definedName name="PLPG3">#REF!</definedName>
    <definedName name="PLPG4">#REF!</definedName>
    <definedName name="plunger">[15]Data!$D$7</definedName>
    <definedName name="PM" localSheetId="7">#REF!</definedName>
    <definedName name="PM" localSheetId="3">#REF!</definedName>
    <definedName name="PM" localSheetId="6">#REF!</definedName>
    <definedName name="PM" localSheetId="5">#REF!</definedName>
    <definedName name="PM" localSheetId="8">#REF!</definedName>
    <definedName name="PM" localSheetId="4">#REF!</definedName>
    <definedName name="PM">#REF!</definedName>
    <definedName name="PMED1" localSheetId="7">#REF!</definedName>
    <definedName name="PMED1" localSheetId="3">#REF!</definedName>
    <definedName name="PMED1" localSheetId="6">#REF!</definedName>
    <definedName name="PMED1" localSheetId="5">#REF!</definedName>
    <definedName name="PMED1" localSheetId="8">#REF!</definedName>
    <definedName name="PMED1" localSheetId="4">#REF!</definedName>
    <definedName name="PMED1">#REF!</definedName>
    <definedName name="PMED2" localSheetId="7">#REF!</definedName>
    <definedName name="PMED2" localSheetId="3">#REF!</definedName>
    <definedName name="PMED2" localSheetId="6">#REF!</definedName>
    <definedName name="PMED2" localSheetId="5">#REF!</definedName>
    <definedName name="PMED2" localSheetId="8">#REF!</definedName>
    <definedName name="PMED2" localSheetId="4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tencial" localSheetId="7">#REF!</definedName>
    <definedName name="potencial" localSheetId="3">#REF!</definedName>
    <definedName name="potencial" localSheetId="6">#REF!</definedName>
    <definedName name="potencial" localSheetId="5">#REF!</definedName>
    <definedName name="potencial" localSheetId="8">#REF!</definedName>
    <definedName name="potencial" localSheetId="4">#REF!</definedName>
    <definedName name="potencial">#REF!</definedName>
    <definedName name="Pozo">[4]MiniDB!$D$1</definedName>
    <definedName name="Pozos" localSheetId="7">#REF!</definedName>
    <definedName name="Pozos" localSheetId="3">#REF!</definedName>
    <definedName name="Pozos" localSheetId="6">#REF!</definedName>
    <definedName name="Pozos" localSheetId="5">#REF!</definedName>
    <definedName name="Pozos" localSheetId="8">#REF!</definedName>
    <definedName name="Pozos" localSheetId="4">#REF!</definedName>
    <definedName name="Pozos">#REF!</definedName>
    <definedName name="pp">[39]ESPESOR!$C$13</definedName>
    <definedName name="ppp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6">#REF!,#REF!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 localSheetId="7">#REF!</definedName>
    <definedName name="production" localSheetId="3">#REF!</definedName>
    <definedName name="production" localSheetId="6">#REF!</definedName>
    <definedName name="production" localSheetId="5">#REF!</definedName>
    <definedName name="production" localSheetId="8">#REF!</definedName>
    <definedName name="production" localSheetId="4">#REF!</definedName>
    <definedName name="production">#REF!</definedName>
    <definedName name="prof" localSheetId="7">#REF!</definedName>
    <definedName name="prof" localSheetId="3">#REF!</definedName>
    <definedName name="prof" localSheetId="6">#REF!</definedName>
    <definedName name="prof" localSheetId="5">#REF!</definedName>
    <definedName name="prof" localSheetId="8">#REF!</definedName>
    <definedName name="prof" localSheetId="4">#REF!</definedName>
    <definedName name="prof">#REF!</definedName>
    <definedName name="Proveedores" localSheetId="7">#REF!</definedName>
    <definedName name="Proveedores" localSheetId="3">#REF!</definedName>
    <definedName name="Proveedores" localSheetId="6">#REF!</definedName>
    <definedName name="Proveedores" localSheetId="5">#REF!</definedName>
    <definedName name="Proveedores" localSheetId="8">#REF!</definedName>
    <definedName name="Proveedores" localSheetId="4">#REF!</definedName>
    <definedName name="Proveedores">#REF!</definedName>
    <definedName name="PROVINCIA">'[11]MO - Petrolero Privado'!$E$8</definedName>
    <definedName name="PRTR" localSheetId="7">#REF!</definedName>
    <definedName name="PRTR" localSheetId="3">#REF!</definedName>
    <definedName name="PRTR" localSheetId="6">#REF!</definedName>
    <definedName name="PRTR" localSheetId="5">#REF!</definedName>
    <definedName name="PRTR" localSheetId="8">#REF!</definedName>
    <definedName name="PRTR" localSheetId="4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7">#REF!</definedName>
    <definedName name="PTAN1" localSheetId="3">#REF!</definedName>
    <definedName name="PTAN1" localSheetId="6">#REF!</definedName>
    <definedName name="PTAN1" localSheetId="5">#REF!</definedName>
    <definedName name="PTAN1" localSheetId="8">#REF!</definedName>
    <definedName name="PTAN1" localSheetId="4">#REF!</definedName>
    <definedName name="PTAN1">#REF!</definedName>
    <definedName name="PTAN2" localSheetId="7">#REF!</definedName>
    <definedName name="PTAN2" localSheetId="3">#REF!</definedName>
    <definedName name="PTAN2" localSheetId="6">#REF!</definedName>
    <definedName name="PTAN2" localSheetId="5">#REF!</definedName>
    <definedName name="PTAN2" localSheetId="8">#REF!</definedName>
    <definedName name="PTAN2" localSheetId="4">#REF!</definedName>
    <definedName name="PTAN2">#REF!</definedName>
    <definedName name="PTAN3" localSheetId="7">#REF!</definedName>
    <definedName name="PTAN3" localSheetId="3">#REF!</definedName>
    <definedName name="PTAN3" localSheetId="6">#REF!</definedName>
    <definedName name="PTAN3" localSheetId="5">#REF!</definedName>
    <definedName name="PTAN3" localSheetId="8">#REF!</definedName>
    <definedName name="PTAN3" localSheetId="4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 localSheetId="7">#REF!</definedName>
    <definedName name="Qabg" localSheetId="3">#REF!</definedName>
    <definedName name="Qabg" localSheetId="6">#REF!</definedName>
    <definedName name="Qabg" localSheetId="5">#REF!</definedName>
    <definedName name="Qabg" localSheetId="8">#REF!</definedName>
    <definedName name="Qabg" localSheetId="4">#REF!</definedName>
    <definedName name="Qabg">#REF!</definedName>
    <definedName name="Qabo" localSheetId="7">#REF!</definedName>
    <definedName name="Qabo" localSheetId="3">#REF!</definedName>
    <definedName name="Qabo" localSheetId="6">#REF!</definedName>
    <definedName name="Qabo" localSheetId="5">#REF!</definedName>
    <definedName name="Qabo" localSheetId="8">#REF!</definedName>
    <definedName name="Qabo" localSheetId="4">#REF!</definedName>
    <definedName name="Qabo">#REF!</definedName>
    <definedName name="qfh" localSheetId="7">#REF!</definedName>
    <definedName name="qfh" localSheetId="3">#REF!</definedName>
    <definedName name="qfh" localSheetId="6">#REF!</definedName>
    <definedName name="qfh" localSheetId="5">#REF!</definedName>
    <definedName name="qfh" localSheetId="8">#REF!</definedName>
    <definedName name="qfh" localSheetId="4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7">#REF!</definedName>
    <definedName name="Qig" localSheetId="3">#REF!</definedName>
    <definedName name="Qig" localSheetId="6">#REF!</definedName>
    <definedName name="Qig" localSheetId="5">#REF!</definedName>
    <definedName name="Qig" localSheetId="8">#REF!</definedName>
    <definedName name="Qig" localSheetId="4">#REF!</definedName>
    <definedName name="Qig">#REF!</definedName>
    <definedName name="Qio" localSheetId="7">#REF!</definedName>
    <definedName name="Qio" localSheetId="3">#REF!</definedName>
    <definedName name="Qio" localSheetId="6">#REF!</definedName>
    <definedName name="Qio" localSheetId="5">#REF!</definedName>
    <definedName name="Qio" localSheetId="8">#REF!</definedName>
    <definedName name="Qio" localSheetId="4">#REF!</definedName>
    <definedName name="Qio">#REF!</definedName>
    <definedName name="QO" localSheetId="7">#REF!</definedName>
    <definedName name="QO" localSheetId="3">#REF!</definedName>
    <definedName name="QO" localSheetId="6">#REF!</definedName>
    <definedName name="QO" localSheetId="5">#REF!</definedName>
    <definedName name="QO" localSheetId="8">#REF!</definedName>
    <definedName name="QO" localSheetId="4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 localSheetId="7">#REF!</definedName>
    <definedName name="rango_produccion" localSheetId="3">#REF!</definedName>
    <definedName name="rango_produccion" localSheetId="6">#REF!</definedName>
    <definedName name="rango_produccion" localSheetId="5">#REF!</definedName>
    <definedName name="rango_produccion" localSheetId="8">#REF!</definedName>
    <definedName name="rango_produccion" localSheetId="4">#REF!</definedName>
    <definedName name="rango_produccion">#REF!</definedName>
    <definedName name="rango_produccion_total" localSheetId="7">#REF!</definedName>
    <definedName name="rango_produccion_total" localSheetId="3">#REF!</definedName>
    <definedName name="rango_produccion_total" localSheetId="6">#REF!</definedName>
    <definedName name="rango_produccion_total" localSheetId="5">#REF!</definedName>
    <definedName name="rango_produccion_total" localSheetId="8">#REF!</definedName>
    <definedName name="rango_produccion_total" localSheetId="4">#REF!</definedName>
    <definedName name="rango_produccion_total">#REF!</definedName>
    <definedName name="RANGOIMPRESION" localSheetId="7">#REF!</definedName>
    <definedName name="RANGOIMPRESION" localSheetId="3">#REF!</definedName>
    <definedName name="RANGOIMPRESION" localSheetId="6">#REF!</definedName>
    <definedName name="RANGOIMPRESION" localSheetId="5">#REF!</definedName>
    <definedName name="RANGOIMPRESION" localSheetId="8">#REF!</definedName>
    <definedName name="RANGOIMPRESION" localSheetId="4">#REF!</definedName>
    <definedName name="RANGOIMPRESION">#REF!</definedName>
    <definedName name="rara">#REF!</definedName>
    <definedName name="Recover">[57]Macro1!$A$314</definedName>
    <definedName name="RECUP" localSheetId="7">#REF!</definedName>
    <definedName name="RECUP" localSheetId="3">#REF!</definedName>
    <definedName name="RECUP" localSheetId="6">#REF!</definedName>
    <definedName name="RECUP" localSheetId="5">#REF!</definedName>
    <definedName name="RECUP" localSheetId="8">#REF!</definedName>
    <definedName name="RECUP" localSheetId="4">#REF!</definedName>
    <definedName name="RECUP">#REF!</definedName>
    <definedName name="RED" localSheetId="7">#REF!</definedName>
    <definedName name="RED" localSheetId="3">#REF!</definedName>
    <definedName name="RED" localSheetId="6">#REF!</definedName>
    <definedName name="RED" localSheetId="5">#REF!</definedName>
    <definedName name="RED" localSheetId="8">#REF!</definedName>
    <definedName name="RED" localSheetId="4">#REF!</definedName>
    <definedName name="RED">#REF!</definedName>
    <definedName name="Refin" localSheetId="7">#REF!</definedName>
    <definedName name="Refin" localSheetId="3">#REF!</definedName>
    <definedName name="Refin" localSheetId="6">#REF!</definedName>
    <definedName name="Refin" localSheetId="5">#REF!</definedName>
    <definedName name="Refin" localSheetId="8">#REF!</definedName>
    <definedName name="Refin" localSheetId="4">#REF!</definedName>
    <definedName name="Refin">#REF!</definedName>
    <definedName name="region2">[32]Hoja1!$G$1:$G$5</definedName>
    <definedName name="renglon" localSheetId="7">#REF!</definedName>
    <definedName name="renglon" localSheetId="3">#REF!</definedName>
    <definedName name="renglon" localSheetId="6">#REF!</definedName>
    <definedName name="renglon" localSheetId="5">#REF!</definedName>
    <definedName name="renglon" localSheetId="8">#REF!</definedName>
    <definedName name="renglon" localSheetId="4">#REF!</definedName>
    <definedName name="renglon">#REF!</definedName>
    <definedName name="Rep">'[45]Sop Dif '!$K$5</definedName>
    <definedName name="reparacion" localSheetId="7">#REF!</definedName>
    <definedName name="reparacion" localSheetId="3">#REF!</definedName>
    <definedName name="reparacion" localSheetId="6">#REF!</definedName>
    <definedName name="reparacion" localSheetId="5">#REF!</definedName>
    <definedName name="reparacion" localSheetId="8">#REF!</definedName>
    <definedName name="reparacion" localSheetId="4">#REF!</definedName>
    <definedName name="reparacion">#REF!</definedName>
    <definedName name="RES">[54]PARAM!$A$1</definedName>
    <definedName name="residuales" localSheetId="7">#REF!</definedName>
    <definedName name="residuales" localSheetId="3">#REF!</definedName>
    <definedName name="residuales" localSheetId="6">#REF!</definedName>
    <definedName name="residuales" localSheetId="5">#REF!</definedName>
    <definedName name="residuales" localSheetId="8">#REF!</definedName>
    <definedName name="residuales" localSheetId="4">#REF!</definedName>
    <definedName name="residuales">#REF!</definedName>
    <definedName name="resu150" localSheetId="7">#REF!</definedName>
    <definedName name="resu150" localSheetId="3">#REF!</definedName>
    <definedName name="resu150" localSheetId="6">#REF!</definedName>
    <definedName name="resu150" localSheetId="5">#REF!</definedName>
    <definedName name="resu150" localSheetId="8">#REF!</definedName>
    <definedName name="resu150" localSheetId="4">#REF!</definedName>
    <definedName name="resu150">#REF!</definedName>
    <definedName name="resum600" localSheetId="7">#REF!</definedName>
    <definedName name="resum600" localSheetId="3">#REF!</definedName>
    <definedName name="resum600" localSheetId="6">#REF!</definedName>
    <definedName name="resum600" localSheetId="5">#REF!</definedName>
    <definedName name="resum600" localSheetId="8">#REF!</definedName>
    <definedName name="resum600" localSheetId="4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 localSheetId="7">#REF!</definedName>
    <definedName name="ROWS" localSheetId="3">#REF!</definedName>
    <definedName name="ROWS" localSheetId="6">#REF!</definedName>
    <definedName name="ROWS" localSheetId="5">#REF!</definedName>
    <definedName name="ROWS" localSheetId="8">#REF!</definedName>
    <definedName name="ROWS" localSheetId="4">#REF!</definedName>
    <definedName name="ROWS">#REF!</definedName>
    <definedName name="Roygas" localSheetId="7">#REF!</definedName>
    <definedName name="Roygas" localSheetId="3">#REF!</definedName>
    <definedName name="Roygas" localSheetId="6">#REF!</definedName>
    <definedName name="Roygas" localSheetId="5">#REF!</definedName>
    <definedName name="Roygas" localSheetId="8">#REF!</definedName>
    <definedName name="Roygas" localSheetId="4">#REF!</definedName>
    <definedName name="Roygas">#REF!</definedName>
    <definedName name="Royoil" localSheetId="7">#REF!</definedName>
    <definedName name="Royoil" localSheetId="3">#REF!</definedName>
    <definedName name="Royoil" localSheetId="6">#REF!</definedName>
    <definedName name="Royoil" localSheetId="5">#REF!</definedName>
    <definedName name="Royoil" localSheetId="8">#REF!</definedName>
    <definedName name="Royoil" localSheetId="4">#REF!</definedName>
    <definedName name="Royoil">#REF!</definedName>
    <definedName name="rpm">[15]Data!$K$9</definedName>
    <definedName name="rr">[15]Data!$H$9</definedName>
    <definedName name="rrrrrrrrrrrrrr" localSheetId="7">#REF!</definedName>
    <definedName name="rrrrrrrrrrrrrr" localSheetId="3">#REF!</definedName>
    <definedName name="rrrrrrrrrrrrrr" localSheetId="6">#REF!</definedName>
    <definedName name="rrrrrrrrrrrrrr" localSheetId="5">#REF!</definedName>
    <definedName name="rrrrrrrrrrrrrr" localSheetId="8">#REF!</definedName>
    <definedName name="rrrrrrrrrrrrrr" localSheetId="4">#REF!</definedName>
    <definedName name="rrrrrrrrrrrrrr">#REF!</definedName>
    <definedName name="RUT" localSheetId="7">#REF!</definedName>
    <definedName name="RUT" localSheetId="3">#REF!</definedName>
    <definedName name="RUT" localSheetId="6">#REF!</definedName>
    <definedName name="RUT" localSheetId="5">#REF!</definedName>
    <definedName name="RUT" localSheetId="8">#REF!</definedName>
    <definedName name="RUT" localSheetId="4">#REF!</definedName>
    <definedName name="RUT">#REF!</definedName>
    <definedName name="S" localSheetId="7">#REF!</definedName>
    <definedName name="S" localSheetId="3">#REF!</definedName>
    <definedName name="S" localSheetId="6">#REF!</definedName>
    <definedName name="S" localSheetId="5">#REF!</definedName>
    <definedName name="S" localSheetId="8">#REF!</definedName>
    <definedName name="S" localSheetId="4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 localSheetId="7">#REF!</definedName>
    <definedName name="Salesret" localSheetId="3">#REF!</definedName>
    <definedName name="Salesret" localSheetId="6">#REF!</definedName>
    <definedName name="Salesret" localSheetId="5">#REF!</definedName>
    <definedName name="Salesret" localSheetId="8">#REF!</definedName>
    <definedName name="Salesret" localSheetId="4">#REF!</definedName>
    <definedName name="Salesret">#REF!</definedName>
    <definedName name="Salinidad" localSheetId="7">#REF!</definedName>
    <definedName name="Salinidad" localSheetId="3">#REF!</definedName>
    <definedName name="Salinidad" localSheetId="6">#REF!</definedName>
    <definedName name="Salinidad" localSheetId="5">#REF!</definedName>
    <definedName name="Salinidad" localSheetId="8">#REF!</definedName>
    <definedName name="Salinidad" localSheetId="4">#REF!</definedName>
    <definedName name="Salinidad">#REF!</definedName>
    <definedName name="Salinidad_Antes" localSheetId="7">#REF!</definedName>
    <definedName name="Salinidad_Antes" localSheetId="3">#REF!</definedName>
    <definedName name="Salinidad_Antes" localSheetId="6">#REF!</definedName>
    <definedName name="Salinidad_Antes" localSheetId="5">#REF!</definedName>
    <definedName name="Salinidad_Antes" localSheetId="8">#REF!</definedName>
    <definedName name="Salinidad_Antes" localSheetId="4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 localSheetId="7">#REF!</definedName>
    <definedName name="SDAT" localSheetId="3">#REF!</definedName>
    <definedName name="SDAT" localSheetId="6">#REF!</definedName>
    <definedName name="SDAT" localSheetId="5">#REF!</definedName>
    <definedName name="SDAT" localSheetId="8">#REF!</definedName>
    <definedName name="SDAT" localSheetId="4">#REF!</definedName>
    <definedName name="SDAT">#REF!</definedName>
    <definedName name="Sector" localSheetId="7">#REF!</definedName>
    <definedName name="Sector" localSheetId="3">#REF!</definedName>
    <definedName name="Sector" localSheetId="6">#REF!</definedName>
    <definedName name="Sector" localSheetId="5">#REF!</definedName>
    <definedName name="Sector" localSheetId="8">#REF!</definedName>
    <definedName name="Sector" localSheetId="4">#REF!</definedName>
    <definedName name="Sector">#REF!</definedName>
    <definedName name="Sector1" localSheetId="7">[8]!Sector1</definedName>
    <definedName name="Sector1" localSheetId="5">[8]!Sector1</definedName>
    <definedName name="Sector1" localSheetId="8">[8]!Sector1</definedName>
    <definedName name="Sector1" localSheetId="4">[8]!Sector1</definedName>
    <definedName name="Sector1">[8]!Sector1</definedName>
    <definedName name="Sector2">#N/A</definedName>
    <definedName name="SectorTanque1" localSheetId="7">[8]!SectorTanque1</definedName>
    <definedName name="SectorTanque1" localSheetId="5">[8]!SectorTanque1</definedName>
    <definedName name="SectorTanque1" localSheetId="8">[8]!SectorTanque1</definedName>
    <definedName name="SectorTanque1" localSheetId="4">[8]!SectorTanque1</definedName>
    <definedName name="SectorTanque1">[8]!SectorTanque1</definedName>
    <definedName name="SEG">[1]Sheet6!#REF!</definedName>
    <definedName name="Segurodeobra">[44]MOI!#REF!</definedName>
    <definedName name="SeguroRanger" localSheetId="7">#REF!</definedName>
    <definedName name="SeguroRanger" localSheetId="3">#REF!</definedName>
    <definedName name="SeguroRanger" localSheetId="6">#REF!</definedName>
    <definedName name="SeguroRanger" localSheetId="5">#REF!</definedName>
    <definedName name="SeguroRanger" localSheetId="8">#REF!</definedName>
    <definedName name="SeguroRanger" localSheetId="4">#REF!</definedName>
    <definedName name="SeguroRanger">#REF!</definedName>
    <definedName name="SELECCION" localSheetId="6">[1]Sheet5!#REF!</definedName>
    <definedName name="SELECCION">[1]Sheet5!#REF!</definedName>
    <definedName name="SelloModelo">[61]DataCombos2!$D$6:$D$165</definedName>
    <definedName name="Semanas_por_mes" localSheetId="7">#REF!</definedName>
    <definedName name="Semanas_por_mes" localSheetId="3">#REF!</definedName>
    <definedName name="Semanas_por_mes" localSheetId="6">#REF!</definedName>
    <definedName name="Semanas_por_mes" localSheetId="5">#REF!</definedName>
    <definedName name="Semanas_por_mes" localSheetId="8">#REF!</definedName>
    <definedName name="Semanas_por_mes" localSheetId="4">#REF!</definedName>
    <definedName name="Semanas_por_mes">#REF!</definedName>
    <definedName name="SEPAR" localSheetId="7">#REF!</definedName>
    <definedName name="SEPAR" localSheetId="3">#REF!</definedName>
    <definedName name="SEPAR" localSheetId="6">#REF!</definedName>
    <definedName name="SEPAR" localSheetId="5">#REF!</definedName>
    <definedName name="SEPAR" localSheetId="8">#REF!</definedName>
    <definedName name="SEPAR" localSheetId="4">#REF!</definedName>
    <definedName name="SEPAR">#REF!</definedName>
    <definedName name="SERIE" localSheetId="7">#REF!</definedName>
    <definedName name="SERIE" localSheetId="3">#REF!</definedName>
    <definedName name="SERIE" localSheetId="6">#REF!</definedName>
    <definedName name="SERIE" localSheetId="5">#REF!</definedName>
    <definedName name="SERIE" localSheetId="8">#REF!</definedName>
    <definedName name="SERIE" localSheetId="4">#REF!</definedName>
    <definedName name="SERIE">#REF!</definedName>
    <definedName name="sf">[15]Data!$J$14</definedName>
    <definedName name="SH">[62]InfTerm!#REF!</definedName>
    <definedName name="shdf" localSheetId="7">#REF!</definedName>
    <definedName name="shdf" localSheetId="3">#REF!</definedName>
    <definedName name="shdf" localSheetId="6">#REF!</definedName>
    <definedName name="shdf" localSheetId="5">#REF!</definedName>
    <definedName name="shdf" localSheetId="8">#REF!</definedName>
    <definedName name="shdf" localSheetId="4">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 localSheetId="7">#REF!</definedName>
    <definedName name="Srink" localSheetId="3">#REF!</definedName>
    <definedName name="Srink" localSheetId="6">#REF!</definedName>
    <definedName name="Srink" localSheetId="5">#REF!</definedName>
    <definedName name="Srink" localSheetId="8">#REF!</definedName>
    <definedName name="Srink" localSheetId="4">#REF!</definedName>
    <definedName name="Srink">#REF!</definedName>
    <definedName name="srl">[15]Data!$K$16</definedName>
    <definedName name="sry" localSheetId="7">#REF!</definedName>
    <definedName name="sry" localSheetId="3">#REF!</definedName>
    <definedName name="sry" localSheetId="6">#REF!</definedName>
    <definedName name="sry" localSheetId="5">#REF!</definedName>
    <definedName name="sry" localSheetId="8">#REF!</definedName>
    <definedName name="sry" localSheetId="4">#REF!</definedName>
    <definedName name="sry">#REF!</definedName>
    <definedName name="ss" localSheetId="6">'[64]Informe Mensual'!#REF!</definedName>
    <definedName name="ss">'[64]Informe Mensual'!#REF!</definedName>
    <definedName name="sss" localSheetId="6">'[64]Informe Mensual'!#REF!</definedName>
    <definedName name="sss">'[64]Informe Mensual'!#REF!</definedName>
    <definedName name="ssssssss" localSheetId="6">'[65]Informe Mensual'!#REF!</definedName>
    <definedName name="ssssssss">'[65]Informe Mensual'!#REF!</definedName>
    <definedName name="STARP" localSheetId="7">#REF!</definedName>
    <definedName name="STARP" localSheetId="3">#REF!</definedName>
    <definedName name="STARP" localSheetId="6">#REF!</definedName>
    <definedName name="STARP" localSheetId="5">#REF!</definedName>
    <definedName name="STARP" localSheetId="8">#REF!</definedName>
    <definedName name="STARP" localSheetId="4">#REF!</definedName>
    <definedName name="STARP">#REF!</definedName>
    <definedName name="STAT" localSheetId="7">#REF!</definedName>
    <definedName name="STAT" localSheetId="3">#REF!</definedName>
    <definedName name="STAT" localSheetId="6">#REF!</definedName>
    <definedName name="STAT" localSheetId="5">#REF!</definedName>
    <definedName name="STAT" localSheetId="8">#REF!</definedName>
    <definedName name="STAT" localSheetId="4">#REF!</definedName>
    <definedName name="STAT">#REF!</definedName>
    <definedName name="Sub_Total_Bolívares" localSheetId="7">#REF!</definedName>
    <definedName name="Sub_Total_Bolívares" localSheetId="3">#REF!</definedName>
    <definedName name="Sub_Total_Bolívares" localSheetId="6">#REF!</definedName>
    <definedName name="Sub_Total_Bolívares" localSheetId="5">#REF!</definedName>
    <definedName name="Sub_Total_Bolívares" localSheetId="8">#REF!</definedName>
    <definedName name="Sub_Total_Bolívares" localSheetId="4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 localSheetId="7">#REF!</definedName>
    <definedName name="tabladatos" localSheetId="3">#REF!</definedName>
    <definedName name="tabladatos" localSheetId="6">#REF!</definedName>
    <definedName name="tabladatos" localSheetId="5">#REF!</definedName>
    <definedName name="tabladatos" localSheetId="8">#REF!</definedName>
    <definedName name="tabladatos" localSheetId="4">#REF!</definedName>
    <definedName name="tabladatos">#REF!</definedName>
    <definedName name="TableName">"Dummy"</definedName>
    <definedName name="Tanque2" localSheetId="7">[8]!Tanque2</definedName>
    <definedName name="Tanque2" localSheetId="5">[8]!Tanque2</definedName>
    <definedName name="Tanque2" localSheetId="8">[8]!Tanque2</definedName>
    <definedName name="Tanque2" localSheetId="4">[8]!Tanque2</definedName>
    <definedName name="Tanque2">[8]!Tanque2</definedName>
    <definedName name="Tanque3" localSheetId="7">[8]!Tanque3</definedName>
    <definedName name="Tanque3" localSheetId="5">[8]!Tanque3</definedName>
    <definedName name="Tanque3" localSheetId="8">[8]!Tanque3</definedName>
    <definedName name="Tanque3" localSheetId="4">[8]!Tanque3</definedName>
    <definedName name="Tanque3">[8]!Tanque3</definedName>
    <definedName name="Tanque4" localSheetId="7">[8]!Tanque4</definedName>
    <definedName name="Tanque4" localSheetId="5">[8]!Tanque4</definedName>
    <definedName name="Tanque4" localSheetId="8">[8]!Tanque4</definedName>
    <definedName name="Tanque4" localSheetId="4">[8]!Tanque4</definedName>
    <definedName name="Tanque4">[8]!Tanque4</definedName>
    <definedName name="Tanque5" localSheetId="7">[8]!Tanque5</definedName>
    <definedName name="Tanque5" localSheetId="5">[8]!Tanque5</definedName>
    <definedName name="Tanque5" localSheetId="8">[8]!Tanque5</definedName>
    <definedName name="Tanque5" localSheetId="4">[8]!Tanque5</definedName>
    <definedName name="Tanque5">[8]!Tanque5</definedName>
    <definedName name="Tanque6" localSheetId="7">[8]!Tanque6</definedName>
    <definedName name="Tanque6" localSheetId="5">[8]!Tanque6</definedName>
    <definedName name="Tanque6" localSheetId="8">[8]!Tanque6</definedName>
    <definedName name="Tanque6" localSheetId="4">[8]!Tanque6</definedName>
    <definedName name="Tanque6">[8]!Tanque6</definedName>
    <definedName name="TAREAS" localSheetId="7">#REF!</definedName>
    <definedName name="TAREAS" localSheetId="3">#REF!</definedName>
    <definedName name="TAREAS" localSheetId="6">#REF!</definedName>
    <definedName name="TAREAS" localSheetId="5">#REF!</definedName>
    <definedName name="TAREAS" localSheetId="8">#REF!</definedName>
    <definedName name="TAREAS" localSheetId="4">#REF!</definedName>
    <definedName name="TAREAS">#REF!</definedName>
    <definedName name="tarifa" localSheetId="7">#REF!</definedName>
    <definedName name="tarifa" localSheetId="3">#REF!</definedName>
    <definedName name="tarifa" localSheetId="6">#REF!</definedName>
    <definedName name="tarifa" localSheetId="5">#REF!</definedName>
    <definedName name="tarifa" localSheetId="8">#REF!</definedName>
    <definedName name="tarifa" localSheetId="4">#REF!</definedName>
    <definedName name="tarifa">#REF!</definedName>
    <definedName name="Tb" localSheetId="7">#REF!</definedName>
    <definedName name="Tb" localSheetId="3">#REF!</definedName>
    <definedName name="Tb" localSheetId="6">#REF!</definedName>
    <definedName name="Tb" localSheetId="5">#REF!</definedName>
    <definedName name="Tb" localSheetId="8">#REF!</definedName>
    <definedName name="Tb" localSheetId="4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 localSheetId="7">#REF!</definedName>
    <definedName name="TOTALFAC" localSheetId="3">#REF!</definedName>
    <definedName name="TOTALFAC" localSheetId="6">#REF!</definedName>
    <definedName name="TOTALFAC" localSheetId="5">#REF!</definedName>
    <definedName name="TOTALFAC" localSheetId="8">#REF!</definedName>
    <definedName name="TOTALFAC" localSheetId="4">#REF!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 localSheetId="7">#REF!</definedName>
    <definedName name="TP" localSheetId="3">#REF!</definedName>
    <definedName name="TP" localSheetId="6">#REF!</definedName>
    <definedName name="TP" localSheetId="5">#REF!</definedName>
    <definedName name="TP" localSheetId="8">#REF!</definedName>
    <definedName name="TP" localSheetId="4">#REF!</definedName>
    <definedName name="TP">#REF!</definedName>
    <definedName name="tra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7">#REF!</definedName>
    <definedName name="TSTN" localSheetId="3">#REF!</definedName>
    <definedName name="TSTN" localSheetId="6">#REF!</definedName>
    <definedName name="TSTN" localSheetId="5">#REF!</definedName>
    <definedName name="TSTN" localSheetId="8">#REF!</definedName>
    <definedName name="TSTN" localSheetId="4">#REF!</definedName>
    <definedName name="TSTN">#REF!</definedName>
    <definedName name="TSTT" localSheetId="7">#REF!</definedName>
    <definedName name="TSTT" localSheetId="3">#REF!</definedName>
    <definedName name="TSTT" localSheetId="6">#REF!</definedName>
    <definedName name="TSTT" localSheetId="5">#REF!</definedName>
    <definedName name="TSTT" localSheetId="8">#REF!</definedName>
    <definedName name="TSTT" localSheetId="4">#REF!</definedName>
    <definedName name="TSTT">#REF!</definedName>
    <definedName name="TT" localSheetId="7">#REF!</definedName>
    <definedName name="TT" localSheetId="3">#REF!</definedName>
    <definedName name="TT" localSheetId="6">#REF!</definedName>
    <definedName name="TT" localSheetId="5">#REF!</definedName>
    <definedName name="TT" localSheetId="8">#REF!</definedName>
    <definedName name="TT" localSheetId="4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 localSheetId="7">#REF!</definedName>
    <definedName name="UNION150" localSheetId="3">#REF!</definedName>
    <definedName name="UNION150" localSheetId="6">#REF!</definedName>
    <definedName name="UNION150" localSheetId="5">#REF!</definedName>
    <definedName name="UNION150" localSheetId="8">#REF!</definedName>
    <definedName name="UNION150" localSheetId="4">#REF!</definedName>
    <definedName name="UNION150">#REF!</definedName>
    <definedName name="UNIT" localSheetId="7">#REF!</definedName>
    <definedName name="UNIT" localSheetId="3">#REF!</definedName>
    <definedName name="UNIT" localSheetId="6">#REF!</definedName>
    <definedName name="UNIT" localSheetId="5">#REF!</definedName>
    <definedName name="UNIT" localSheetId="8">#REF!</definedName>
    <definedName name="UNIT" localSheetId="4">#REF!</definedName>
    <definedName name="UNIT">#REF!</definedName>
    <definedName name="UNITC" localSheetId="7">#REF!</definedName>
    <definedName name="UNITC" localSheetId="3">#REF!</definedName>
    <definedName name="UNITC" localSheetId="6">#REF!</definedName>
    <definedName name="UNITC" localSheetId="5">#REF!</definedName>
    <definedName name="UNITC" localSheetId="8">#REF!</definedName>
    <definedName name="UNITC" localSheetId="4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 localSheetId="7">#REF!</definedName>
    <definedName name="Utilidad" localSheetId="3">#REF!</definedName>
    <definedName name="Utilidad" localSheetId="6">#REF!</definedName>
    <definedName name="Utilidad" localSheetId="5">#REF!</definedName>
    <definedName name="Utilidad" localSheetId="8">#REF!</definedName>
    <definedName name="Utilidad" localSheetId="4">#REF!</definedName>
    <definedName name="Utilidad">#REF!</definedName>
    <definedName name="UTS">[15]Data!$K$14</definedName>
    <definedName name="uu" localSheetId="7">Areas_Integrales.!uu</definedName>
    <definedName name="uu" localSheetId="3">Base!uu</definedName>
    <definedName name="uu" localSheetId="6">Nuevas_Tec_ME!uu</definedName>
    <definedName name="uu" localSheetId="5">Optimizacion_consumo!uu</definedName>
    <definedName name="uu" localSheetId="8">Optimización_Estructura!uu</definedName>
    <definedName name="uu" localSheetId="4">Optimización_Scio!uu</definedName>
    <definedName name="uu">[0]!uu</definedName>
    <definedName name="v" localSheetId="7">#REF!</definedName>
    <definedName name="v" localSheetId="3">#REF!</definedName>
    <definedName name="v" localSheetId="6">#REF!</definedName>
    <definedName name="v" localSheetId="5">#REF!</definedName>
    <definedName name="v" localSheetId="8">#REF!</definedName>
    <definedName name="v" localSheetId="4">#REF!</definedName>
    <definedName name="v">#REF!</definedName>
    <definedName name="V0" localSheetId="7">#REF!</definedName>
    <definedName name="V0" localSheetId="3">#REF!</definedName>
    <definedName name="V0" localSheetId="6">#REF!</definedName>
    <definedName name="V0" localSheetId="5">#REF!</definedName>
    <definedName name="V0" localSheetId="8">#REF!</definedName>
    <definedName name="V0" localSheetId="4">#REF!</definedName>
    <definedName name="V0">#REF!</definedName>
    <definedName name="Valor_Final" localSheetId="7">#REF!</definedName>
    <definedName name="Valor_Final" localSheetId="3">#REF!</definedName>
    <definedName name="Valor_Final" localSheetId="6">#REF!</definedName>
    <definedName name="Valor_Final" localSheetId="5">#REF!</definedName>
    <definedName name="Valor_Final" localSheetId="8">#REF!</definedName>
    <definedName name="Valor_Final" localSheetId="4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7">#REF!</definedName>
    <definedName name="Vehículos" localSheetId="3">#REF!</definedName>
    <definedName name="Vehículos" localSheetId="6">#REF!</definedName>
    <definedName name="Vehículos" localSheetId="5">#REF!</definedName>
    <definedName name="Vehículos" localSheetId="8">#REF!</definedName>
    <definedName name="Vehículos" localSheetId="4">#REF!</definedName>
    <definedName name="Vehículos">#REF!</definedName>
    <definedName name="VERGUENZA" localSheetId="7">#REF!</definedName>
    <definedName name="VERGUENZA" localSheetId="3">#REF!</definedName>
    <definedName name="VERGUENZA" localSheetId="6">#REF!</definedName>
    <definedName name="VERGUENZA" localSheetId="5">#REF!</definedName>
    <definedName name="VERGUENZA" localSheetId="8">#REF!</definedName>
    <definedName name="VERGUENZA" localSheetId="4">#REF!</definedName>
    <definedName name="VERGUENZA">#REF!</definedName>
    <definedName name="Vestimenta" localSheetId="7">#REF!</definedName>
    <definedName name="Vestimenta" localSheetId="3">#REF!</definedName>
    <definedName name="Vestimenta" localSheetId="6">#REF!</definedName>
    <definedName name="Vestimenta" localSheetId="5">#REF!</definedName>
    <definedName name="Vestimenta" localSheetId="8">#REF!</definedName>
    <definedName name="Vestimenta" localSheetId="4">#REF!</definedName>
    <definedName name="Vestimenta">#REF!</definedName>
    <definedName name="VfluidC">[20]Datos!$F$62</definedName>
    <definedName name="VgasC" localSheetId="7">#REF!</definedName>
    <definedName name="VgasC" localSheetId="3">#REF!</definedName>
    <definedName name="VgasC" localSheetId="6">#REF!</definedName>
    <definedName name="VgasC" localSheetId="5">#REF!</definedName>
    <definedName name="VgasC" localSheetId="8">#REF!</definedName>
    <definedName name="VgasC" localSheetId="4">#REF!</definedName>
    <definedName name="VgasC">#REF!</definedName>
    <definedName name="Viandas" localSheetId="7">#REF!</definedName>
    <definedName name="Viandas" localSheetId="3">#REF!</definedName>
    <definedName name="Viandas" localSheetId="6">#REF!</definedName>
    <definedName name="Viandas" localSheetId="5">#REF!</definedName>
    <definedName name="Viandas" localSheetId="8">#REF!</definedName>
    <definedName name="Viandas" localSheetId="4">#REF!</definedName>
    <definedName name="Viandas">#REF!</definedName>
    <definedName name="VInjecC">[20]Datos!$F$66</definedName>
    <definedName name="VM" localSheetId="7">#REF!</definedName>
    <definedName name="VM" localSheetId="3">#REF!</definedName>
    <definedName name="VM" localSheetId="6">#REF!</definedName>
    <definedName name="VM" localSheetId="5">#REF!</definedName>
    <definedName name="VM" localSheetId="8">#REF!</definedName>
    <definedName name="VM" localSheetId="4">#REF!</definedName>
    <definedName name="VM">#REF!</definedName>
    <definedName name="VnpozosC">[20]Datos!$F$72</definedName>
    <definedName name="VoilC" localSheetId="7">#REF!</definedName>
    <definedName name="VoilC" localSheetId="3">#REF!</definedName>
    <definedName name="VoilC" localSheetId="6">#REF!</definedName>
    <definedName name="VoilC" localSheetId="5">#REF!</definedName>
    <definedName name="VoilC" localSheetId="8">#REF!</definedName>
    <definedName name="VoilC" localSheetId="4">#REF!</definedName>
    <definedName name="VoilC">#REF!</definedName>
    <definedName name="VOLVER" localSheetId="7">[69]!VOLVER</definedName>
    <definedName name="VOLVER" localSheetId="5">[69]!VOLVER</definedName>
    <definedName name="VOLVER" localSheetId="8">[69]!VOLVER</definedName>
    <definedName name="VOLVER" localSheetId="4">[69]!VOLVER</definedName>
    <definedName name="VOLVER">[69]!VOLVER</definedName>
    <definedName name="vp">[15]Data!$H$16</definedName>
    <definedName name="VtasNetas" localSheetId="7">#REF!</definedName>
    <definedName name="VtasNetas" localSheetId="3">#REF!</definedName>
    <definedName name="VtasNetas" localSheetId="6">#REF!</definedName>
    <definedName name="VtasNetas" localSheetId="5">#REF!</definedName>
    <definedName name="VtasNetas" localSheetId="8">#REF!</definedName>
    <definedName name="VtasNetas" localSheetId="4">#REF!</definedName>
    <definedName name="VtasNetas">#REF!</definedName>
    <definedName name="VwatC" localSheetId="6">[20]Datos!#REF!</definedName>
    <definedName name="VwatC">[20]Datos!#REF!</definedName>
    <definedName name="VwellC" localSheetId="7">#REF!</definedName>
    <definedName name="VwellC" localSheetId="3">#REF!</definedName>
    <definedName name="VwellC" localSheetId="6">#REF!</definedName>
    <definedName name="VwellC" localSheetId="5">#REF!</definedName>
    <definedName name="VwellC" localSheetId="8">#REF!</definedName>
    <definedName name="VwellC" localSheetId="4">#REF!</definedName>
    <definedName name="VwellC">#REF!</definedName>
    <definedName name="w" localSheetId="7">#REF!</definedName>
    <definedName name="w" localSheetId="3">#REF!</definedName>
    <definedName name="w" localSheetId="6">#REF!</definedName>
    <definedName name="w" localSheetId="5">#REF!</definedName>
    <definedName name="w" localSheetId="8">#REF!</definedName>
    <definedName name="w" localSheetId="4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 localSheetId="7">#REF!</definedName>
    <definedName name="WCOM" localSheetId="3">#REF!</definedName>
    <definedName name="WCOM" localSheetId="6">#REF!</definedName>
    <definedName name="WCOM" localSheetId="5">#REF!</definedName>
    <definedName name="WCOM" localSheetId="8">#REF!</definedName>
    <definedName name="WCOM" localSheetId="4">#REF!</definedName>
    <definedName name="WCOM">#REF!</definedName>
    <definedName name="WCOM1" localSheetId="7">#REF!</definedName>
    <definedName name="WCOM1" localSheetId="3">#REF!</definedName>
    <definedName name="WCOM1" localSheetId="6">#REF!</definedName>
    <definedName name="WCOM1" localSheetId="5">#REF!</definedName>
    <definedName name="WCOM1" localSheetId="8">#REF!</definedName>
    <definedName name="WCOM1" localSheetId="4">#REF!</definedName>
    <definedName name="WCOM1">#REF!</definedName>
    <definedName name="WELL" localSheetId="7">#REF!</definedName>
    <definedName name="WELL" localSheetId="3">#REF!</definedName>
    <definedName name="WELL" localSheetId="6">#REF!</definedName>
    <definedName name="WELL" localSheetId="5">#REF!</definedName>
    <definedName name="WELL" localSheetId="8">#REF!</definedName>
    <definedName name="WELL" localSheetId="4">#REF!</definedName>
    <definedName name="WELL">#REF!</definedName>
    <definedName name="WF">#REF!</definedName>
    <definedName name="Winterest">#REF!</definedName>
    <definedName name="wlasa">#REF!</definedName>
    <definedName name="wrn.Completo260.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7" hidden="1">{#N/A,#N/A,FALSE,"SERIE_150";#N/A,#N/A,FALSE,"SERIE_600 "}</definedName>
    <definedName name="wrn.COMPUMAT." localSheetId="3" hidden="1">{#N/A,#N/A,FALSE,"SERIE_150";#N/A,#N/A,FALSE,"SERIE_600 "}</definedName>
    <definedName name="wrn.COMPUMAT." localSheetId="6" hidden="1">{#N/A,#N/A,FALSE,"SERIE_150";#N/A,#N/A,FALSE,"SERIE_600 "}</definedName>
    <definedName name="wrn.COMPUMAT." localSheetId="5" hidden="1">{#N/A,#N/A,FALSE,"SERIE_150";#N/A,#N/A,FALSE,"SERIE_600 "}</definedName>
    <definedName name="wrn.COMPUMAT." localSheetId="8" hidden="1">{#N/A,#N/A,FALSE,"SERIE_150";#N/A,#N/A,FALSE,"SERIE_600 "}</definedName>
    <definedName name="wrn.COMPUMAT." localSheetId="4" hidden="1">{#N/A,#N/A,FALSE,"SERIE_150";#N/A,#N/A,FALSE,"SERIE_600 "}</definedName>
    <definedName name="wrn.COMPUMAT." hidden="1">{#N/A,#N/A,FALSE,"SERIE_150";#N/A,#N/A,FALSE,"SERIE_600 "}</definedName>
    <definedName name="wrn.FORECAST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4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7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localSheetId="8" hidden="1">{#N/A,#N/A,FALSE,"FASE81";#N/A,#N/A,FALSE,"FASE83";#N/A,#N/A,FALSE,"FASE85"}</definedName>
    <definedName name="wrn.INDIRECTOS." localSheetId="4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7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localSheetId="8" hidden="1">{#N/A,#N/A,FALSE,"GENERAL";#N/A,#N/A,FALSE,"USP 1";#N/A,#N/A,FALSE,"USP 2";#N/A,#N/A,FALSE,"UTE"}</definedName>
    <definedName name="wrn.LISTADOC." localSheetId="4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7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localSheetId="8" hidden="1">{#N/A,#N/A,FALSE,"RES-ANUAL";#N/A,#N/A,FALSE,"RES-CUENTA";#N/A,#N/A,FALSE,"AREA-RESP"}</definedName>
    <definedName name="wrn.nnn." localSheetId="4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localSheetId="7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8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4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7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8" hidden="1">{#N/A,#N/A,TRUE,"DESARROLLO";#N/A,#N/A,TRUE,"MANTENIMIENTO";#N/A,#N/A,TRUE,"MENSUAL";#N/A,#N/A,TRUE,"PORCUENTA";#N/A,#N/A,TRUE,"DETALLE"}</definedName>
    <definedName name="wrn.pcinv96." localSheetId="4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4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localSheetId="7" hidden="1">{#N/A,#N/A,FALSE,"ENE"}</definedName>
    <definedName name="wrn.pull97." localSheetId="3" hidden="1">{#N/A,#N/A,FALSE,"ENE"}</definedName>
    <definedName name="wrn.pull97." localSheetId="6" hidden="1">{#N/A,#N/A,FALSE,"ENE"}</definedName>
    <definedName name="wrn.pull97." localSheetId="5" hidden="1">{#N/A,#N/A,FALSE,"ENE"}</definedName>
    <definedName name="wrn.pull97." localSheetId="8" hidden="1">{#N/A,#N/A,FALSE,"ENE"}</definedName>
    <definedName name="wrn.pull97." localSheetId="4" hidden="1">{#N/A,#N/A,FALSE,"ENE"}</definedName>
    <definedName name="wrn.pull97." hidden="1">{#N/A,#N/A,FALSE,"ENE"}</definedName>
    <definedName name="wrn.pull98." localSheetId="7" hidden="1">{#N/A,#N/A,FALSE,"ENE"}</definedName>
    <definedName name="wrn.pull98." localSheetId="3" hidden="1">{#N/A,#N/A,FALSE,"ENE"}</definedName>
    <definedName name="wrn.pull98." localSheetId="6" hidden="1">{#N/A,#N/A,FALSE,"ENE"}</definedName>
    <definedName name="wrn.pull98." localSheetId="5" hidden="1">{#N/A,#N/A,FALSE,"ENE"}</definedName>
    <definedName name="wrn.pull98." localSheetId="8" hidden="1">{#N/A,#N/A,FALSE,"ENE"}</definedName>
    <definedName name="wrn.pull98." localSheetId="4" hidden="1">{#N/A,#N/A,FALSE,"ENE"}</definedName>
    <definedName name="wrn.pull98." hidden="1">{#N/A,#N/A,FALSE,"ENE"}</definedName>
    <definedName name="wrn.Sale_Local_Q2." localSheetId="7" hidden="1">{"Sales_Local_Q2",#N/A,FALSE,"Q1_2000"}</definedName>
    <definedName name="wrn.Sale_Local_Q2." localSheetId="3" hidden="1">{"Sales_Local_Q2",#N/A,FALSE,"Q1_2000"}</definedName>
    <definedName name="wrn.Sale_Local_Q2." localSheetId="6" hidden="1">{"Sales_Local_Q2",#N/A,FALSE,"Q1_2000"}</definedName>
    <definedName name="wrn.Sale_Local_Q2." localSheetId="5" hidden="1">{"Sales_Local_Q2",#N/A,FALSE,"Q1_2000"}</definedName>
    <definedName name="wrn.Sale_Local_Q2." localSheetId="8" hidden="1">{"Sales_Local_Q2",#N/A,FALSE,"Q1_2000"}</definedName>
    <definedName name="wrn.Sale_Local_Q2." localSheetId="4" hidden="1">{"Sales_Local_Q2",#N/A,FALSE,"Q1_2000"}</definedName>
    <definedName name="wrn.Sale_Local_Q2." hidden="1">{"Sales_Local_Q2",#N/A,FALSE,"Q1_2000"}</definedName>
    <definedName name="wrn.Sale_Local_Q4." localSheetId="7" hidden="1">{"Sales_Local_Q4",#N/A,FALSE,"Q4_1999"}</definedName>
    <definedName name="wrn.Sale_Local_Q4." localSheetId="3" hidden="1">{"Sales_Local_Q4",#N/A,FALSE,"Q4_1999"}</definedName>
    <definedName name="wrn.Sale_Local_Q4." localSheetId="6" hidden="1">{"Sales_Local_Q4",#N/A,FALSE,"Q4_1999"}</definedName>
    <definedName name="wrn.Sale_Local_Q4." localSheetId="5" hidden="1">{"Sales_Local_Q4",#N/A,FALSE,"Q4_1999"}</definedName>
    <definedName name="wrn.Sale_Local_Q4." localSheetId="8" hidden="1">{"Sales_Local_Q4",#N/A,FALSE,"Q4_1999"}</definedName>
    <definedName name="wrn.Sale_Local_Q4." localSheetId="4" hidden="1">{"Sales_Local_Q4",#N/A,FALSE,"Q4_1999"}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 localSheetId="7">#REF!</definedName>
    <definedName name="wtrhy" localSheetId="3">#REF!</definedName>
    <definedName name="wtrhy" localSheetId="6">#REF!</definedName>
    <definedName name="wtrhy" localSheetId="5">#REF!</definedName>
    <definedName name="wtrhy" localSheetId="8">#REF!</definedName>
    <definedName name="wtrhy" localSheetId="4">#REF!</definedName>
    <definedName name="wtrhy">#REF!</definedName>
    <definedName name="ww" localSheetId="7">#REF!</definedName>
    <definedName name="ww" localSheetId="3">#REF!</definedName>
    <definedName name="ww" localSheetId="6">#REF!</definedName>
    <definedName name="ww" localSheetId="5">#REF!</definedName>
    <definedName name="ww" localSheetId="8">#REF!</definedName>
    <definedName name="ww" localSheetId="4">#REF!</definedName>
    <definedName name="ww">#REF!</definedName>
    <definedName name="wwww" localSheetId="7">#REF!</definedName>
    <definedName name="wwww" localSheetId="3">#REF!</definedName>
    <definedName name="wwww" localSheetId="6">#REF!</definedName>
    <definedName name="wwww" localSheetId="5">#REF!</definedName>
    <definedName name="wwww" localSheetId="8">#REF!</definedName>
    <definedName name="wwww" localSheetId="4">#REF!</definedName>
    <definedName name="wwww">#REF!</definedName>
    <definedName name="x">#REF!</definedName>
    <definedName name="xx">[39]ESPESOR!$B$21</definedName>
    <definedName name="xxx" localSheetId="7">#REF!</definedName>
    <definedName name="xxx" localSheetId="3">#REF!</definedName>
    <definedName name="xxx" localSheetId="6">#REF!</definedName>
    <definedName name="xxx" localSheetId="5">#REF!</definedName>
    <definedName name="xxx" localSheetId="8">#REF!</definedName>
    <definedName name="xxx" localSheetId="4">#REF!</definedName>
    <definedName name="xxx">#REF!</definedName>
    <definedName name="xxxx" localSheetId="7">#REF!</definedName>
    <definedName name="xxxx" localSheetId="3">#REF!</definedName>
    <definedName name="xxxx" localSheetId="6">#REF!</definedName>
    <definedName name="xxxx" localSheetId="5">#REF!</definedName>
    <definedName name="xxxx" localSheetId="8">#REF!</definedName>
    <definedName name="xxxx" localSheetId="4">#REF!</definedName>
    <definedName name="xxxx">#REF!</definedName>
    <definedName name="xxxxxxxxxxx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4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 localSheetId="7">#REF!</definedName>
    <definedName name="yak" localSheetId="3">#REF!</definedName>
    <definedName name="yak" localSheetId="6">#REF!</definedName>
    <definedName name="yak" localSheetId="5">#REF!</definedName>
    <definedName name="yak" localSheetId="8">#REF!</definedName>
    <definedName name="yak" localSheetId="4">#REF!</definedName>
    <definedName name="yak">#REF!</definedName>
    <definedName name="yar" localSheetId="7">#REF!</definedName>
    <definedName name="yar" localSheetId="3">#REF!</definedName>
    <definedName name="yar" localSheetId="6">#REF!</definedName>
    <definedName name="yar" localSheetId="5">#REF!</definedName>
    <definedName name="yar" localSheetId="8">#REF!</definedName>
    <definedName name="yar" localSheetId="4">#REF!</definedName>
    <definedName name="yar">#REF!</definedName>
    <definedName name="Yes_No">'[22]Coef.'!$J$112:$J$113</definedName>
    <definedName name="Z" localSheetId="7">#REF!</definedName>
    <definedName name="Z" localSheetId="3">#REF!</definedName>
    <definedName name="Z" localSheetId="6">#REF!</definedName>
    <definedName name="Z" localSheetId="5">#REF!</definedName>
    <definedName name="Z" localSheetId="8">#REF!</definedName>
    <definedName name="Z" localSheetId="4">#REF!</definedName>
    <definedName name="Z">#REF!</definedName>
    <definedName name="zagz" localSheetId="7">#REF!</definedName>
    <definedName name="zagz" localSheetId="3">#REF!</definedName>
    <definedName name="zagz" localSheetId="6">#REF!</definedName>
    <definedName name="zagz" localSheetId="5">#REF!</definedName>
    <definedName name="zagz" localSheetId="8">#REF!</definedName>
    <definedName name="zagz" localSheetId="4">#REF!</definedName>
    <definedName name="zagz">#REF!</definedName>
    <definedName name="ZAP" localSheetId="7">#REF!</definedName>
    <definedName name="ZAP" localSheetId="3">#REF!</definedName>
    <definedName name="ZAP" localSheetId="6">#REF!</definedName>
    <definedName name="ZAP" localSheetId="5">#REF!</definedName>
    <definedName name="ZAP" localSheetId="8">#REF!</definedName>
    <definedName name="ZAP" localSheetId="4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9" l="1"/>
  <c r="G17" i="19"/>
  <c r="P9" i="13" l="1"/>
  <c r="P8" i="13"/>
  <c r="P7" i="13"/>
  <c r="P6" i="13"/>
  <c r="P5" i="13"/>
  <c r="F20" i="13"/>
  <c r="E18" i="16"/>
  <c r="F14" i="13"/>
  <c r="N11" i="13"/>
  <c r="G22" i="13"/>
  <c r="F22" i="13"/>
  <c r="E22" i="13"/>
  <c r="D22" i="13"/>
  <c r="C22" i="13"/>
  <c r="F16" i="14"/>
  <c r="G16" i="14"/>
  <c r="E16" i="14"/>
  <c r="E15" i="14"/>
  <c r="M3" i="12"/>
  <c r="M2" i="12"/>
  <c r="O9" i="13"/>
  <c r="O8" i="13"/>
  <c r="O7" i="13"/>
  <c r="O6" i="13"/>
  <c r="O5" i="13"/>
  <c r="L9" i="13"/>
  <c r="L8" i="13"/>
  <c r="L7" i="13"/>
  <c r="L6" i="13"/>
  <c r="L5" i="13"/>
  <c r="H7" i="19"/>
  <c r="H6" i="19"/>
  <c r="G7" i="19"/>
  <c r="G6" i="19"/>
  <c r="F7" i="19"/>
  <c r="J7" i="19" s="1"/>
  <c r="F6" i="19"/>
  <c r="E7" i="19"/>
  <c r="E6" i="19"/>
  <c r="D7" i="19"/>
  <c r="D6" i="19"/>
  <c r="L5" i="6"/>
  <c r="M5" i="6" s="1"/>
  <c r="D56" i="19"/>
  <c r="D44" i="19"/>
  <c r="H44" i="19" s="1"/>
  <c r="H45" i="19"/>
  <c r="H46" i="19"/>
  <c r="G58" i="19" s="1"/>
  <c r="H50" i="19"/>
  <c r="H51" i="19"/>
  <c r="G57" i="19" s="1"/>
  <c r="H52" i="19"/>
  <c r="E56" i="19"/>
  <c r="F56" i="19"/>
  <c r="D57" i="19"/>
  <c r="E57" i="19"/>
  <c r="F57" i="19"/>
  <c r="D58" i="19"/>
  <c r="E58" i="19"/>
  <c r="F58" i="19"/>
  <c r="D15" i="19"/>
  <c r="H12" i="19"/>
  <c r="G12" i="19"/>
  <c r="F12" i="19"/>
  <c r="E12" i="19"/>
  <c r="P10" i="13" l="1"/>
  <c r="J6" i="19"/>
  <c r="K7" i="19"/>
  <c r="E19" i="19" s="1"/>
  <c r="D12" i="19"/>
  <c r="J12" i="19" s="1"/>
  <c r="D16" i="19"/>
  <c r="D17" i="19"/>
  <c r="F17" i="19" s="1"/>
  <c r="D2" i="13"/>
  <c r="C2" i="13"/>
  <c r="H12" i="16"/>
  <c r="G12" i="16"/>
  <c r="F12" i="16"/>
  <c r="E12" i="16"/>
  <c r="D12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M42" i="16"/>
  <c r="H42" i="16"/>
  <c r="G42" i="16"/>
  <c r="F42" i="16"/>
  <c r="F41" i="15"/>
  <c r="G41" i="15"/>
  <c r="H41" i="15"/>
  <c r="M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I60" i="15" s="1"/>
  <c r="H60" i="15"/>
  <c r="F61" i="15"/>
  <c r="G61" i="15"/>
  <c r="H61" i="15"/>
  <c r="F62" i="15"/>
  <c r="G62" i="15"/>
  <c r="H62" i="15"/>
  <c r="F63" i="15"/>
  <c r="G63" i="15"/>
  <c r="H63" i="15"/>
  <c r="H12" i="15"/>
  <c r="J9" i="13" s="1"/>
  <c r="M9" i="13" s="1"/>
  <c r="G12" i="15"/>
  <c r="J8" i="13" s="1"/>
  <c r="M8" i="13" s="1"/>
  <c r="F12" i="15"/>
  <c r="J7" i="13" s="1"/>
  <c r="M7" i="13" s="1"/>
  <c r="E12" i="15"/>
  <c r="J6" i="13" s="1"/>
  <c r="D12" i="15"/>
  <c r="J5" i="13" s="1"/>
  <c r="M5" i="13" s="1"/>
  <c r="H12" i="14"/>
  <c r="G12" i="14"/>
  <c r="F12" i="14"/>
  <c r="E12" i="14"/>
  <c r="D12" i="14"/>
  <c r="I8" i="14"/>
  <c r="I8" i="8"/>
  <c r="D30" i="12"/>
  <c r="D32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D25" i="12"/>
  <c r="D20" i="12"/>
  <c r="D19" i="12"/>
  <c r="C19" i="12"/>
  <c r="D18" i="12"/>
  <c r="D17" i="12"/>
  <c r="D16" i="12"/>
  <c r="D15" i="12"/>
  <c r="D14" i="12"/>
  <c r="D13" i="12"/>
  <c r="D12" i="12"/>
  <c r="D11" i="12"/>
  <c r="D10" i="12"/>
  <c r="D9" i="12"/>
  <c r="C7" i="12"/>
  <c r="L9" i="12" s="1"/>
  <c r="C6" i="12"/>
  <c r="E15" i="12" s="1"/>
  <c r="C4" i="12"/>
  <c r="C11" i="12" s="1"/>
  <c r="E14" i="12" l="1"/>
  <c r="G14" i="12" s="1"/>
  <c r="E18" i="12"/>
  <c r="G18" i="12" s="1"/>
  <c r="E9" i="12"/>
  <c r="I9" i="12" s="1"/>
  <c r="J9" i="12" s="1"/>
  <c r="J55" i="15"/>
  <c r="D18" i="19"/>
  <c r="E11" i="12"/>
  <c r="G11" i="12" s="1"/>
  <c r="E19" i="12"/>
  <c r="G19" i="12" s="1"/>
  <c r="E16" i="12"/>
  <c r="G16" i="12" s="1"/>
  <c r="C17" i="12"/>
  <c r="C24" i="12"/>
  <c r="D24" i="12" s="1"/>
  <c r="D26" i="12" s="1"/>
  <c r="K9" i="12" s="1"/>
  <c r="C16" i="12"/>
  <c r="C9" i="12"/>
  <c r="C14" i="12"/>
  <c r="I44" i="15"/>
  <c r="J60" i="15"/>
  <c r="I55" i="15"/>
  <c r="I64" i="15" s="1"/>
  <c r="J44" i="15"/>
  <c r="G64" i="15"/>
  <c r="J51" i="15"/>
  <c r="I51" i="15"/>
  <c r="J41" i="15"/>
  <c r="I41" i="15"/>
  <c r="I12" i="14"/>
  <c r="D15" i="14"/>
  <c r="J12" i="16"/>
  <c r="J56" i="16"/>
  <c r="I42" i="16"/>
  <c r="J52" i="16"/>
  <c r="D17" i="16"/>
  <c r="D18" i="16" s="1"/>
  <c r="J61" i="16"/>
  <c r="J45" i="16"/>
  <c r="J42" i="16"/>
  <c r="I52" i="16"/>
  <c r="I56" i="16"/>
  <c r="J10" i="13"/>
  <c r="G65" i="16"/>
  <c r="M6" i="13"/>
  <c r="M10" i="13" s="1"/>
  <c r="I45" i="16"/>
  <c r="I61" i="16"/>
  <c r="D17" i="15"/>
  <c r="I17" i="15" s="1"/>
  <c r="J12" i="15"/>
  <c r="K12" i="14"/>
  <c r="G15" i="12"/>
  <c r="L10" i="12"/>
  <c r="C12" i="12"/>
  <c r="C10" i="12"/>
  <c r="E12" i="12"/>
  <c r="C20" i="12"/>
  <c r="C13" i="12"/>
  <c r="C15" i="12"/>
  <c r="F15" i="12" s="1"/>
  <c r="E17" i="12"/>
  <c r="E10" i="12"/>
  <c r="C18" i="12"/>
  <c r="E20" i="12"/>
  <c r="E13" i="12"/>
  <c r="F14" i="12" l="1"/>
  <c r="K28" i="12" s="1"/>
  <c r="L27" i="12" s="1"/>
  <c r="L28" i="12" s="1"/>
  <c r="G9" i="12"/>
  <c r="F9" i="12"/>
  <c r="F19" i="12"/>
  <c r="F18" i="12"/>
  <c r="I10" i="12"/>
  <c r="I11" i="12" s="1"/>
  <c r="F11" i="12"/>
  <c r="D19" i="19"/>
  <c r="I65" i="16"/>
  <c r="K10" i="12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M9" i="12"/>
  <c r="F16" i="12"/>
  <c r="J64" i="15"/>
  <c r="D16" i="14"/>
  <c r="D15" i="15"/>
  <c r="D16" i="15" s="1"/>
  <c r="D15" i="16"/>
  <c r="D16" i="16" s="1"/>
  <c r="J65" i="16"/>
  <c r="F20" i="12"/>
  <c r="G20" i="12"/>
  <c r="M10" i="12"/>
  <c r="L11" i="12"/>
  <c r="F10" i="12"/>
  <c r="G10" i="12"/>
  <c r="G12" i="12"/>
  <c r="F12" i="12"/>
  <c r="G17" i="12"/>
  <c r="F17" i="12"/>
  <c r="G13" i="12"/>
  <c r="F13" i="12"/>
  <c r="J10" i="12" l="1"/>
  <c r="F17" i="16"/>
  <c r="G17" i="16"/>
  <c r="F17" i="15"/>
  <c r="G17" i="15"/>
  <c r="J11" i="12"/>
  <c r="I12" i="12"/>
  <c r="M11" i="12"/>
  <c r="L12" i="12"/>
  <c r="L13" i="12" l="1"/>
  <c r="M12" i="12"/>
  <c r="I13" i="12"/>
  <c r="J12" i="12"/>
  <c r="I14" i="12" l="1"/>
  <c r="J13" i="12"/>
  <c r="M13" i="12"/>
  <c r="L14" i="12"/>
  <c r="L15" i="12" l="1"/>
  <c r="M14" i="12"/>
  <c r="O14" i="12" s="1"/>
  <c r="J14" i="12"/>
  <c r="N14" i="12" s="1"/>
  <c r="I15" i="12"/>
  <c r="I16" i="12" l="1"/>
  <c r="J15" i="12"/>
  <c r="M15" i="12"/>
  <c r="L16" i="12"/>
  <c r="L17" i="12" l="1"/>
  <c r="M16" i="12"/>
  <c r="J16" i="12"/>
  <c r="I17" i="12"/>
  <c r="I18" i="12" l="1"/>
  <c r="J17" i="12"/>
  <c r="L18" i="12"/>
  <c r="M17" i="12"/>
  <c r="M18" i="12" l="1"/>
  <c r="L19" i="12"/>
  <c r="I19" i="12"/>
  <c r="J18" i="12"/>
  <c r="J19" i="12" l="1"/>
  <c r="I20" i="12"/>
  <c r="J20" i="12" s="1"/>
  <c r="M19" i="12"/>
  <c r="L20" i="12"/>
  <c r="M20" i="12" s="1"/>
  <c r="M4" i="6" l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L6" i="6"/>
  <c r="L10" i="6"/>
  <c r="L14" i="6"/>
  <c r="L18" i="6"/>
  <c r="L22" i="6"/>
  <c r="L26" i="6"/>
  <c r="L30" i="6"/>
  <c r="L34" i="6"/>
  <c r="L38" i="6"/>
  <c r="L42" i="6"/>
  <c r="L46" i="6"/>
  <c r="L50" i="6"/>
  <c r="L58" i="6"/>
  <c r="L62" i="6"/>
  <c r="L66" i="6"/>
  <c r="L70" i="6"/>
  <c r="L74" i="6"/>
  <c r="L78" i="6"/>
  <c r="L82" i="6"/>
  <c r="L86" i="6"/>
  <c r="L90" i="6"/>
  <c r="L94" i="6"/>
  <c r="L98" i="6"/>
  <c r="L102" i="6"/>
  <c r="L106" i="6"/>
  <c r="L110" i="6"/>
  <c r="K4" i="6"/>
  <c r="K114" i="6" s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F8" i="6"/>
  <c r="F10" i="6"/>
  <c r="F14" i="6"/>
  <c r="F18" i="6"/>
  <c r="F24" i="6"/>
  <c r="F26" i="6"/>
  <c r="F30" i="6"/>
  <c r="F34" i="6"/>
  <c r="F40" i="6"/>
  <c r="F42" i="6"/>
  <c r="F46" i="6"/>
  <c r="F50" i="6"/>
  <c r="E4" i="6"/>
  <c r="F4" i="6" s="1"/>
  <c r="E5" i="6"/>
  <c r="F5" i="6" s="1"/>
  <c r="E6" i="6"/>
  <c r="F6" i="6" s="1"/>
  <c r="E7" i="6"/>
  <c r="F7" i="6" s="1"/>
  <c r="E8" i="6"/>
  <c r="L8" i="6" s="1"/>
  <c r="E9" i="6"/>
  <c r="F9" i="6" s="1"/>
  <c r="E10" i="6"/>
  <c r="E11" i="6"/>
  <c r="F11" i="6" s="1"/>
  <c r="E12" i="6"/>
  <c r="F12" i="6" s="1"/>
  <c r="E13" i="6"/>
  <c r="F13" i="6" s="1"/>
  <c r="E14" i="6"/>
  <c r="E15" i="6"/>
  <c r="F15" i="6" s="1"/>
  <c r="E16" i="6"/>
  <c r="L16" i="6" s="1"/>
  <c r="E17" i="6"/>
  <c r="F17" i="6" s="1"/>
  <c r="E18" i="6"/>
  <c r="E19" i="6"/>
  <c r="F19" i="6" s="1"/>
  <c r="E20" i="6"/>
  <c r="F20" i="6" s="1"/>
  <c r="E21" i="6"/>
  <c r="F21" i="6" s="1"/>
  <c r="E22" i="6"/>
  <c r="F22" i="6" s="1"/>
  <c r="E23" i="6"/>
  <c r="F23" i="6" s="1"/>
  <c r="E24" i="6"/>
  <c r="L24" i="6" s="1"/>
  <c r="E25" i="6"/>
  <c r="F25" i="6" s="1"/>
  <c r="E26" i="6"/>
  <c r="E27" i="6"/>
  <c r="F27" i="6" s="1"/>
  <c r="E28" i="6"/>
  <c r="F28" i="6" s="1"/>
  <c r="E29" i="6"/>
  <c r="F29" i="6" s="1"/>
  <c r="E30" i="6"/>
  <c r="E31" i="6"/>
  <c r="F31" i="6" s="1"/>
  <c r="E32" i="6"/>
  <c r="L32" i="6" s="1"/>
  <c r="E33" i="6"/>
  <c r="F33" i="6" s="1"/>
  <c r="E34" i="6"/>
  <c r="E35" i="6"/>
  <c r="F35" i="6" s="1"/>
  <c r="E36" i="6"/>
  <c r="F36" i="6" s="1"/>
  <c r="E37" i="6"/>
  <c r="F37" i="6" s="1"/>
  <c r="E38" i="6"/>
  <c r="F38" i="6" s="1"/>
  <c r="E39" i="6"/>
  <c r="F39" i="6" s="1"/>
  <c r="E40" i="6"/>
  <c r="L40" i="6" s="1"/>
  <c r="E41" i="6"/>
  <c r="F41" i="6" s="1"/>
  <c r="E42" i="6"/>
  <c r="E43" i="6"/>
  <c r="F43" i="6" s="1"/>
  <c r="E44" i="6"/>
  <c r="F44" i="6" s="1"/>
  <c r="E45" i="6"/>
  <c r="F45" i="6" s="1"/>
  <c r="E46" i="6"/>
  <c r="E47" i="6"/>
  <c r="F47" i="6" s="1"/>
  <c r="E48" i="6"/>
  <c r="L48" i="6" s="1"/>
  <c r="E49" i="6"/>
  <c r="F49" i="6" s="1"/>
  <c r="E50" i="6"/>
  <c r="E51" i="6"/>
  <c r="F51" i="6" s="1"/>
  <c r="E52" i="6"/>
  <c r="F52" i="6" s="1"/>
  <c r="E53" i="6"/>
  <c r="F53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F48" i="6" l="1"/>
  <c r="F32" i="6"/>
  <c r="F16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107" i="6"/>
  <c r="L99" i="6"/>
  <c r="L91" i="6"/>
  <c r="L83" i="6"/>
  <c r="L75" i="6"/>
  <c r="L67" i="6"/>
  <c r="L59" i="6"/>
  <c r="L51" i="6"/>
  <c r="L43" i="6"/>
  <c r="L35" i="6"/>
  <c r="L27" i="6"/>
  <c r="L19" i="6"/>
  <c r="L11" i="6"/>
  <c r="L4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  <c r="L112" i="6"/>
  <c r="L104" i="6"/>
  <c r="L96" i="6"/>
  <c r="L88" i="6"/>
  <c r="L80" i="6"/>
  <c r="L72" i="6"/>
  <c r="L64" i="6"/>
  <c r="L111" i="6"/>
  <c r="L103" i="6"/>
  <c r="L95" i="6"/>
  <c r="L87" i="6"/>
  <c r="L79" i="6"/>
  <c r="L71" i="6"/>
  <c r="L63" i="6"/>
  <c r="L47" i="6"/>
  <c r="L39" i="6"/>
  <c r="L31" i="6"/>
  <c r="L23" i="6"/>
  <c r="L15" i="6"/>
  <c r="L7" i="6"/>
  <c r="J7" i="7" l="1"/>
  <c r="D12" i="8"/>
  <c r="E12" i="8"/>
  <c r="D6" i="13" s="1"/>
  <c r="G12" i="8"/>
  <c r="D8" i="13" s="1"/>
  <c r="H12" i="8"/>
  <c r="D9" i="13" s="1"/>
  <c r="E7" i="7"/>
  <c r="H7" i="7" s="1"/>
  <c r="E6" i="7"/>
  <c r="H6" i="7" s="1"/>
  <c r="E5" i="7"/>
  <c r="H5" i="7" s="1"/>
  <c r="E3" i="7"/>
  <c r="H3" i="7" s="1"/>
  <c r="F3" i="7"/>
  <c r="D56" i="6"/>
  <c r="D55" i="6"/>
  <c r="D54" i="6"/>
  <c r="F7" i="16" l="1"/>
  <c r="F7" i="14"/>
  <c r="F7" i="15"/>
  <c r="G7" i="16"/>
  <c r="G7" i="15"/>
  <c r="G7" i="14"/>
  <c r="H7" i="16"/>
  <c r="H7" i="15"/>
  <c r="H7" i="14"/>
  <c r="D7" i="16"/>
  <c r="D7" i="14"/>
  <c r="D7" i="15"/>
  <c r="G9" i="13"/>
  <c r="G8" i="13"/>
  <c r="G6" i="13"/>
  <c r="D5" i="13"/>
  <c r="D15" i="8"/>
  <c r="H7" i="8"/>
  <c r="F7" i="8"/>
  <c r="G3" i="7"/>
  <c r="I3" i="7" s="1"/>
  <c r="K3" i="7"/>
  <c r="D7" i="8"/>
  <c r="G7" i="8"/>
  <c r="E54" i="6"/>
  <c r="L54" i="6" s="1"/>
  <c r="D114" i="6"/>
  <c r="E56" i="6"/>
  <c r="E55" i="6"/>
  <c r="F12" i="8"/>
  <c r="E4" i="7"/>
  <c r="H4" i="7" s="1"/>
  <c r="F4" i="7"/>
  <c r="L3" i="7" l="1"/>
  <c r="D6" i="15"/>
  <c r="D6" i="14"/>
  <c r="D6" i="16"/>
  <c r="C5" i="13"/>
  <c r="E7" i="14"/>
  <c r="I7" i="14" s="1"/>
  <c r="E7" i="15"/>
  <c r="J7" i="15" s="1"/>
  <c r="E7" i="16"/>
  <c r="J7" i="16" s="1"/>
  <c r="F5" i="13"/>
  <c r="G5" i="13"/>
  <c r="I12" i="8"/>
  <c r="D7" i="13"/>
  <c r="D10" i="13" s="1"/>
  <c r="E7" i="8"/>
  <c r="I7" i="8" s="1"/>
  <c r="K4" i="7"/>
  <c r="G4" i="7"/>
  <c r="I4" i="7" s="1"/>
  <c r="C6" i="13" s="1"/>
  <c r="E6" i="13" s="1"/>
  <c r="C16" i="13" s="1"/>
  <c r="F55" i="6"/>
  <c r="L55" i="6"/>
  <c r="F56" i="6"/>
  <c r="L56" i="6"/>
  <c r="L114" i="6"/>
  <c r="E114" i="6"/>
  <c r="E117" i="6" s="1"/>
  <c r="F54" i="6"/>
  <c r="K12" i="8"/>
  <c r="F5" i="7"/>
  <c r="G5" i="7" s="1"/>
  <c r="I5" i="7" s="1"/>
  <c r="C7" i="13" s="1"/>
  <c r="E6" i="8"/>
  <c r="H8" i="7"/>
  <c r="L4" i="7" l="1"/>
  <c r="F6" i="13" s="1"/>
  <c r="I6" i="13" s="1"/>
  <c r="K6" i="13" s="1"/>
  <c r="E16" i="13" s="1"/>
  <c r="E6" i="15"/>
  <c r="E6" i="16"/>
  <c r="E6" i="14"/>
  <c r="I5" i="13"/>
  <c r="E5" i="13"/>
  <c r="C15" i="13" s="1"/>
  <c r="K7" i="14"/>
  <c r="M42" i="15"/>
  <c r="M44" i="15" s="1"/>
  <c r="M43" i="16"/>
  <c r="M45" i="16" s="1"/>
  <c r="L117" i="6"/>
  <c r="L116" i="6"/>
  <c r="H5" i="13"/>
  <c r="G7" i="13"/>
  <c r="E7" i="13"/>
  <c r="C17" i="13" s="1"/>
  <c r="K7" i="8"/>
  <c r="K5" i="7"/>
  <c r="E116" i="6"/>
  <c r="F6" i="7"/>
  <c r="F6" i="8"/>
  <c r="L5" i="7" l="1"/>
  <c r="F7" i="13" s="1"/>
  <c r="I7" i="13" s="1"/>
  <c r="K7" i="13" s="1"/>
  <c r="E17" i="13" s="1"/>
  <c r="F6" i="15"/>
  <c r="F6" i="16"/>
  <c r="F6" i="14"/>
  <c r="H6" i="13"/>
  <c r="D16" i="13" s="1"/>
  <c r="Q6" i="13"/>
  <c r="G16" i="13" s="1"/>
  <c r="N6" i="13"/>
  <c r="F16" i="13" s="1"/>
  <c r="K5" i="13"/>
  <c r="G10" i="13"/>
  <c r="D15" i="13"/>
  <c r="G6" i="7"/>
  <c r="I6" i="7" s="1"/>
  <c r="K6" i="7"/>
  <c r="F7" i="7"/>
  <c r="C8" i="13" l="1"/>
  <c r="H7" i="13"/>
  <c r="D17" i="13" s="1"/>
  <c r="L6" i="7"/>
  <c r="F8" i="13" s="1"/>
  <c r="G6" i="15"/>
  <c r="G6" i="16"/>
  <c r="G6" i="14"/>
  <c r="N5" i="13"/>
  <c r="Q7" i="13"/>
  <c r="G17" i="13" s="1"/>
  <c r="N7" i="13"/>
  <c r="F17" i="13" s="1"/>
  <c r="E15" i="13"/>
  <c r="G7" i="7"/>
  <c r="I7" i="7" s="1"/>
  <c r="C9" i="13" s="1"/>
  <c r="E9" i="13" s="1"/>
  <c r="C19" i="13" s="1"/>
  <c r="K7" i="7"/>
  <c r="G6" i="8"/>
  <c r="I8" i="7" l="1"/>
  <c r="L7" i="7"/>
  <c r="F9" i="13" s="1"/>
  <c r="H6" i="15"/>
  <c r="J6" i="15" s="1"/>
  <c r="K7" i="15" s="1"/>
  <c r="K8" i="15" s="1"/>
  <c r="H6" i="16"/>
  <c r="J6" i="16" s="1"/>
  <c r="K7" i="16" s="1"/>
  <c r="K8" i="16" s="1"/>
  <c r="H6" i="14"/>
  <c r="E8" i="13"/>
  <c r="C10" i="13"/>
  <c r="K8" i="7"/>
  <c r="L8" i="7"/>
  <c r="I9" i="13"/>
  <c r="H9" i="13"/>
  <c r="D19" i="13" s="1"/>
  <c r="I8" i="13"/>
  <c r="H8" i="13"/>
  <c r="F10" i="13"/>
  <c r="Q5" i="13"/>
  <c r="G15" i="13" s="1"/>
  <c r="F15" i="13"/>
  <c r="H6" i="8"/>
  <c r="D6" i="8"/>
  <c r="G8" i="7"/>
  <c r="K8" i="19" l="1"/>
  <c r="C18" i="13"/>
  <c r="E10" i="13"/>
  <c r="C14" i="13" s="1"/>
  <c r="K6" i="14"/>
  <c r="L7" i="14" s="1"/>
  <c r="L8" i="14" s="1"/>
  <c r="I6" i="14"/>
  <c r="E15" i="16"/>
  <c r="E15" i="19"/>
  <c r="F19" i="19" s="1"/>
  <c r="G19" i="19" s="1"/>
  <c r="E15" i="15"/>
  <c r="E15" i="8"/>
  <c r="K8" i="13"/>
  <c r="I10" i="13"/>
  <c r="D18" i="13"/>
  <c r="H10" i="13"/>
  <c r="D14" i="13" s="1"/>
  <c r="D20" i="13" s="1"/>
  <c r="K9" i="13"/>
  <c r="E19" i="13" s="1"/>
  <c r="E16" i="19"/>
  <c r="E16" i="15"/>
  <c r="E16" i="16"/>
  <c r="K6" i="8"/>
  <c r="I6" i="8"/>
  <c r="E17" i="16" l="1"/>
  <c r="F18" i="16" s="1"/>
  <c r="G18" i="16" s="1"/>
  <c r="G16" i="16"/>
  <c r="F16" i="16"/>
  <c r="Q9" i="13"/>
  <c r="G19" i="13" s="1"/>
  <c r="N9" i="13"/>
  <c r="F19" i="13" s="1"/>
  <c r="G16" i="15"/>
  <c r="E17" i="15"/>
  <c r="F16" i="15"/>
  <c r="E18" i="13"/>
  <c r="K10" i="13"/>
  <c r="E14" i="13" s="1"/>
  <c r="E20" i="13" s="1"/>
  <c r="E17" i="19"/>
  <c r="E18" i="19" s="1"/>
  <c r="E20" i="19" s="1"/>
  <c r="G16" i="19"/>
  <c r="F16" i="19"/>
  <c r="N8" i="13"/>
  <c r="L10" i="13"/>
  <c r="L7" i="8"/>
  <c r="L8" i="8" s="1"/>
  <c r="F18" i="19" l="1"/>
  <c r="G18" i="19" s="1"/>
  <c r="Q8" i="13"/>
  <c r="O10" i="13"/>
  <c r="F18" i="13"/>
  <c r="N10" i="13"/>
  <c r="Q10" i="13" l="1"/>
  <c r="G14" i="13" s="1"/>
  <c r="G20" i="13" s="1"/>
  <c r="G18" i="13"/>
  <c r="G21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B70FE-5E4D-4EEF-A61E-92F99805604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72D632-ED4E-45DD-99E0-1A0A2EE7C762}" name="WorksheetConnection_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Tabla11"/>
        </x15:connection>
      </ext>
    </extLst>
  </connection>
</connections>
</file>

<file path=xl/sharedStrings.xml><?xml version="1.0" encoding="utf-8"?>
<sst xmlns="http://schemas.openxmlformats.org/spreadsheetml/2006/main" count="673" uniqueCount="270">
  <si>
    <t>Etiquetas de fila</t>
  </si>
  <si>
    <t>Dispersante de Asfaltenos</t>
  </si>
  <si>
    <t>Removedor Incrustaciones</t>
  </si>
  <si>
    <t>Inh Incrustaciones</t>
  </si>
  <si>
    <t>Sec Sulfhídrico</t>
  </si>
  <si>
    <t>Sec. Oxígeno</t>
  </si>
  <si>
    <t>Total general</t>
  </si>
  <si>
    <t>MALARGUE</t>
  </si>
  <si>
    <t>DISOLVENTE DE PARAFINAS Y ASFALTENOS</t>
  </si>
  <si>
    <t>DISPERSANTE DE PARAFINAS Y ASFALTENOS</t>
  </si>
  <si>
    <t>INHIBIDOR DE PARAFINAS</t>
  </si>
  <si>
    <t>INHIBIDOR DE PARAFINAS Y ASFALTENOS</t>
  </si>
  <si>
    <t>REDUCTOR DE FRICCIÓN</t>
  </si>
  <si>
    <t>REDUCTOR DE VISCOSIDAD</t>
  </si>
  <si>
    <t>SECUESTRANTE DE SULFHÍDRICO</t>
  </si>
  <si>
    <t>ANTIESPUMANTE</t>
  </si>
  <si>
    <t>HUMECTANTE DE SOLIDOS</t>
  </si>
  <si>
    <t>Ruptor total</t>
  </si>
  <si>
    <t>DESINCRUSTANTE</t>
  </si>
  <si>
    <t>Dispersante de sólidos orgánicos e inorgánicos</t>
  </si>
  <si>
    <t>Estabilizador de Arcillas</t>
  </si>
  <si>
    <t>INHIBIDOR DE INCRUSTACIONES</t>
  </si>
  <si>
    <t>SECUESTRANTE DE OXIGENO</t>
  </si>
  <si>
    <t>Limpieza de Punzados</t>
  </si>
  <si>
    <t>Mejorador de Fluidez</t>
  </si>
  <si>
    <t>Deshidratador de gas</t>
  </si>
  <si>
    <t>Humectante de Solido</t>
  </si>
  <si>
    <t>Inh. De Incrustaciones</t>
  </si>
  <si>
    <t>BARRANCAS</t>
  </si>
  <si>
    <t>Dispersnate de Parafina/Asfaltenos</t>
  </si>
  <si>
    <t>Humectante/Secante</t>
  </si>
  <si>
    <t xml:space="preserve">Oxidante de solidos </t>
  </si>
  <si>
    <t>LA VENTANA</t>
  </si>
  <si>
    <t>VIZCACHERAS</t>
  </si>
  <si>
    <t>Biocida</t>
  </si>
  <si>
    <t xml:space="preserve">Desemulsionante  </t>
  </si>
  <si>
    <t>Desemulsionante inverso</t>
  </si>
  <si>
    <t>Detergente</t>
  </si>
  <si>
    <t>Dispersante</t>
  </si>
  <si>
    <t>Dispersante de parafinas y/o asfaltenos</t>
  </si>
  <si>
    <t>OXIDANTE</t>
  </si>
  <si>
    <t>Regulador de pH</t>
  </si>
  <si>
    <t xml:space="preserve">Sal </t>
  </si>
  <si>
    <t>Secuestrante de oxígeno</t>
  </si>
  <si>
    <t>UGARTECHE</t>
  </si>
  <si>
    <t>Mejorador de flujo y de Parafinas</t>
  </si>
  <si>
    <t>Reductor de Viscocidad</t>
  </si>
  <si>
    <t>Suma de  Consumo (L/mes)</t>
  </si>
  <si>
    <t xml:space="preserve">Suma de Bacheo B/P </t>
  </si>
  <si>
    <t>Suma de Continua</t>
  </si>
  <si>
    <t>CLARIFICANTE</t>
  </si>
  <si>
    <t>Deshidratación y Calidad de entrega</t>
  </si>
  <si>
    <t>INHIBIDOR DE CORROSIÓN</t>
  </si>
  <si>
    <t>DESEMULSIONANTE</t>
  </si>
  <si>
    <t>INHIBIDOR DE HIDRATOS</t>
  </si>
  <si>
    <t>BACTERICIDA</t>
  </si>
  <si>
    <t>FLOCULANTE</t>
  </si>
  <si>
    <t>Odorizante</t>
  </si>
  <si>
    <t>Producto Químico, Denominación comercial</t>
  </si>
  <si>
    <t>BX707</t>
  </si>
  <si>
    <t>FBS1747</t>
  </si>
  <si>
    <t>DBM4022CT</t>
  </si>
  <si>
    <t>FBS2008</t>
  </si>
  <si>
    <t>DBC4893</t>
  </si>
  <si>
    <t>DS592</t>
  </si>
  <si>
    <t>DPB350</t>
  </si>
  <si>
    <t>DPB52</t>
  </si>
  <si>
    <t>IPB650A</t>
  </si>
  <si>
    <t>BX844</t>
  </si>
  <si>
    <t>IC898</t>
  </si>
  <si>
    <t>CYB589</t>
  </si>
  <si>
    <t>IC5091</t>
  </si>
  <si>
    <t>RFB200</t>
  </si>
  <si>
    <t>BX256</t>
  </si>
  <si>
    <t>IPB935CT</t>
  </si>
  <si>
    <t>SO4353CT</t>
  </si>
  <si>
    <t>BSH8050CT</t>
  </si>
  <si>
    <t>ABC11</t>
  </si>
  <si>
    <t>BX960</t>
  </si>
  <si>
    <t>FBS9558</t>
  </si>
  <si>
    <t>DBC4039</t>
  </si>
  <si>
    <t>DPB52CT</t>
  </si>
  <si>
    <t>IPB530</t>
  </si>
  <si>
    <t>SB14CT</t>
  </si>
  <si>
    <t>BX910CT</t>
  </si>
  <si>
    <t>FBS3511</t>
  </si>
  <si>
    <t>DBC3158</t>
  </si>
  <si>
    <t>DBC4879CT</t>
  </si>
  <si>
    <t>DS592CT</t>
  </si>
  <si>
    <t>SPBC38</t>
  </si>
  <si>
    <t>FBS1409</t>
  </si>
  <si>
    <t>BX844CT</t>
  </si>
  <si>
    <t>IC5087A</t>
  </si>
  <si>
    <t>CYB816</t>
  </si>
  <si>
    <t>IPB658</t>
  </si>
  <si>
    <t>RT20</t>
  </si>
  <si>
    <t>BSH506CT</t>
  </si>
  <si>
    <t>BXC3209</t>
  </si>
  <si>
    <t>DBC4928</t>
  </si>
  <si>
    <t>BSH8050</t>
  </si>
  <si>
    <t/>
  </si>
  <si>
    <t>Precio [USD/litro]</t>
  </si>
  <si>
    <t>Area</t>
  </si>
  <si>
    <t>Puntos en Continua</t>
  </si>
  <si>
    <t>Puntos en Batch</t>
  </si>
  <si>
    <t>Tarifa OYM DOSIF</t>
  </si>
  <si>
    <t>Tarifa SERV. BATCHEO TRAT. QUIM</t>
  </si>
  <si>
    <t>Total ARS</t>
  </si>
  <si>
    <t>Texto breve</t>
  </si>
  <si>
    <t>Unidad medida base</t>
  </si>
  <si>
    <t>Número de servicio</t>
  </si>
  <si>
    <t>TARIFARIO MENDOZA NORTE</t>
  </si>
  <si>
    <t>OYM PTO.DOSIF. TRAT.QUIM. 1A50 P/UNI</t>
  </si>
  <si>
    <t>UNI</t>
  </si>
  <si>
    <t>10000000000003862</t>
  </si>
  <si>
    <t>OYM PTO.DOSIF. TRAT.QUIM. 51A100 P/UNI</t>
  </si>
  <si>
    <t>10000000000003863</t>
  </si>
  <si>
    <t>OYM PTO.DOSIF. TRAT.QUIM. 101A200 P/UNI</t>
  </si>
  <si>
    <t>10000000000003864</t>
  </si>
  <si>
    <t>OYM PTO.DOSIF. TRAT.QUIM. 201A300 P/UNI</t>
  </si>
  <si>
    <t>10000000000003865</t>
  </si>
  <si>
    <t>TTE. P/UNI SKID.DOSIF. TRAT.QUIM.</t>
  </si>
  <si>
    <t>80000000000000620</t>
  </si>
  <si>
    <t>OYM PTO.DOSIF. TRAT.QUIM. 301A400 P/UNI</t>
  </si>
  <si>
    <t>10000000000003866</t>
  </si>
  <si>
    <t>OYM PTO.DOSIF. TRAT.QUIM. &gt;400 P/UNI</t>
  </si>
  <si>
    <t>10000000000003867</t>
  </si>
  <si>
    <t>SERV. BATCHEO TRAT.QUIM. BP≤20KG P/UNI</t>
  </si>
  <si>
    <t>10000000000003860</t>
  </si>
  <si>
    <t>SERV. BATCHEO TRAT.QUIM. AP&gt;70KG P/UNI</t>
  </si>
  <si>
    <t>10000000000003861</t>
  </si>
  <si>
    <t>MONT. SKID.DOSIF. TRAT.QUIM. _ P/UNI</t>
  </si>
  <si>
    <t>10000000000003868</t>
  </si>
  <si>
    <t>Total Batch [ARS]</t>
  </si>
  <si>
    <t>Total Continuo [ARS]</t>
  </si>
  <si>
    <t>TC</t>
  </si>
  <si>
    <t>MALARGÜE</t>
  </si>
  <si>
    <t>Global</t>
  </si>
  <si>
    <t>Servicio Batch</t>
  </si>
  <si>
    <t>Servicio OyM</t>
  </si>
  <si>
    <t>Producto químico</t>
  </si>
  <si>
    <t>Base</t>
  </si>
  <si>
    <t>Servicios</t>
  </si>
  <si>
    <t>Químicos</t>
  </si>
  <si>
    <t>Oferta Base</t>
  </si>
  <si>
    <t>Optimización de servicio</t>
  </si>
  <si>
    <t>Optimización de consumo</t>
  </si>
  <si>
    <t>Optimización de batch</t>
  </si>
  <si>
    <t>Costo total [USD/mes]</t>
  </si>
  <si>
    <t>Optimización</t>
  </si>
  <si>
    <t>Consumo optimizado lmes</t>
  </si>
  <si>
    <t>Familia</t>
  </si>
  <si>
    <t>Optimización proyectada</t>
  </si>
  <si>
    <t>Optimización [litros/mes]</t>
  </si>
  <si>
    <t>Ahorro x familia x area [USD/mes]</t>
  </si>
  <si>
    <t>Global por area [litros/mes]</t>
  </si>
  <si>
    <t>Global por area [USD/mes]</t>
  </si>
  <si>
    <t>Desemulsionates</t>
  </si>
  <si>
    <t>Bactericidas</t>
  </si>
  <si>
    <t>Inhibidor de corrosión</t>
  </si>
  <si>
    <t>Inhibidor de Incrustaciones</t>
  </si>
  <si>
    <t>Desemulsionantes</t>
  </si>
  <si>
    <t>Total [lts/mes]</t>
  </si>
  <si>
    <t>Total [USD/mes]</t>
  </si>
  <si>
    <t>UGB</t>
  </si>
  <si>
    <t>UGDB</t>
  </si>
  <si>
    <t>UGDP</t>
  </si>
  <si>
    <t>VB</t>
  </si>
  <si>
    <t>VIC</t>
  </si>
  <si>
    <t>VCY</t>
  </si>
  <si>
    <t>MB</t>
  </si>
  <si>
    <t>MDB</t>
  </si>
  <si>
    <t>MDP</t>
  </si>
  <si>
    <t>MCY</t>
  </si>
  <si>
    <t>MIC</t>
  </si>
  <si>
    <t>LVB</t>
  </si>
  <si>
    <t>LVH</t>
  </si>
  <si>
    <t>LVIC</t>
  </si>
  <si>
    <t>LVCY</t>
  </si>
  <si>
    <t>BB</t>
  </si>
  <si>
    <t>BDB</t>
  </si>
  <si>
    <t>BDP</t>
  </si>
  <si>
    <t>BCY</t>
  </si>
  <si>
    <t>BIC</t>
  </si>
  <si>
    <t>BMF</t>
  </si>
  <si>
    <t>BRV</t>
  </si>
  <si>
    <t>Dif litros</t>
  </si>
  <si>
    <t>Costo optimizado [USD/mes]</t>
  </si>
  <si>
    <t>VDB</t>
  </si>
  <si>
    <t>Dif costo</t>
  </si>
  <si>
    <t>Ugarteche (-6,5 KUSD)</t>
  </si>
  <si>
    <t>Barrancas (-41,5 kUSD)</t>
  </si>
  <si>
    <t>La Ventana (-16,4 KUSD)</t>
  </si>
  <si>
    <t>Malargüe (-50,9 KUSD)</t>
  </si>
  <si>
    <t>Viscacheras (-24,982 KUSD)</t>
  </si>
  <si>
    <t>Ahorro</t>
  </si>
  <si>
    <t>Esquema</t>
  </si>
  <si>
    <t>Costo mensual [USD]</t>
  </si>
  <si>
    <t>Total UN MZA</t>
  </si>
  <si>
    <t>Tratamiento encapsulado</t>
  </si>
  <si>
    <t>Cantidad [kgs]</t>
  </si>
  <si>
    <t>Costo [USD/kg]</t>
  </si>
  <si>
    <t>Servicio Batch [USD]</t>
  </si>
  <si>
    <t>Costo PQ + Scio Tto Batch</t>
  </si>
  <si>
    <t>Costo PQ + Scio Tto Continuo</t>
  </si>
  <si>
    <t>Servicio Continuo</t>
  </si>
  <si>
    <t xml:space="preserve">Duración </t>
  </si>
  <si>
    <t>1 tambor</t>
  </si>
  <si>
    <t>2 tambores</t>
  </si>
  <si>
    <t>Costo servicio unitario</t>
  </si>
  <si>
    <t>Costo global 1tb</t>
  </si>
  <si>
    <t>Costo global 2 tb</t>
  </si>
  <si>
    <t>Costo PQ</t>
  </si>
  <si>
    <t>Costo Batch [USD/mes]</t>
  </si>
  <si>
    <t>Costo Global Tratamiento Batch [USD/mes]</t>
  </si>
  <si>
    <t xml:space="preserve">Costo OyM </t>
  </si>
  <si>
    <t>Costo Global Tratamiento Continuo [USD/mes]</t>
  </si>
  <si>
    <t>Batch</t>
  </si>
  <si>
    <t>Continuo</t>
  </si>
  <si>
    <t>Tratamiento convencional continuo</t>
  </si>
  <si>
    <t>PQ</t>
  </si>
  <si>
    <t>lpd</t>
  </si>
  <si>
    <t>lpmes</t>
  </si>
  <si>
    <t>CU</t>
  </si>
  <si>
    <t>x</t>
  </si>
  <si>
    <t>Costo mes</t>
  </si>
  <si>
    <t>y</t>
  </si>
  <si>
    <t>Tratamiento convencional batch</t>
  </si>
  <si>
    <t>lpbatch</t>
  </si>
  <si>
    <t>Frecuencia mensual</t>
  </si>
  <si>
    <t>Optimización batch</t>
  </si>
  <si>
    <t>Total optimizado</t>
  </si>
  <si>
    <t>Total Servicio</t>
  </si>
  <si>
    <t>Servicio [ARS]</t>
  </si>
  <si>
    <t>Producto [USD]</t>
  </si>
  <si>
    <t>Total [USD]</t>
  </si>
  <si>
    <t>Bonificación x area integral</t>
  </si>
  <si>
    <t>Diferencia</t>
  </si>
  <si>
    <t>Dif%</t>
  </si>
  <si>
    <t>Scio</t>
  </si>
  <si>
    <t>Areas Integrales</t>
  </si>
  <si>
    <t>PQ y Scio</t>
  </si>
  <si>
    <t>Puntos de Inyección</t>
  </si>
  <si>
    <t>Servicio</t>
  </si>
  <si>
    <t>Nuevas tecnologías</t>
  </si>
  <si>
    <t>Resumen</t>
  </si>
  <si>
    <t>Índice</t>
  </si>
  <si>
    <t>Solapa</t>
  </si>
  <si>
    <t>Indice</t>
  </si>
  <si>
    <t>Optimización de Estructura</t>
  </si>
  <si>
    <t>Unidades pesadas (Camiones de reposición)</t>
  </si>
  <si>
    <t>Unidades livianas (camionetas)</t>
  </si>
  <si>
    <t>Barrancas - Ugarteche</t>
  </si>
  <si>
    <t>La Ventana - Vizcacheras</t>
  </si>
  <si>
    <t>Malargüe</t>
  </si>
  <si>
    <t>Recursos</t>
  </si>
  <si>
    <t>Común a todas las areas</t>
  </si>
  <si>
    <t>Total</t>
  </si>
  <si>
    <t>Afectación de recursos propuesta PECOM</t>
  </si>
  <si>
    <t>Optimización de recursos [%]</t>
  </si>
  <si>
    <t>Personas (Choferes y recorredores)</t>
  </si>
  <si>
    <t>Optimización de estructura de servicio</t>
  </si>
  <si>
    <t>Optimización Estructura</t>
  </si>
  <si>
    <t>Recursos afectados actualmente (Información compartida por YPF)</t>
  </si>
  <si>
    <t>Optimización consumo                                (-9,01%)</t>
  </si>
  <si>
    <t>Descuento x area integral                                             (-10,83%)</t>
  </si>
  <si>
    <t>Optimización servicio                 (-2,02%)</t>
  </si>
  <si>
    <t>Descuento x optimización de estructura                                          (-18,04%)</t>
  </si>
  <si>
    <t>Descuento en servicio  x optimización de estructura</t>
  </si>
  <si>
    <t>Precio abr-24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</si>
</sst>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\ * #,##0.00_-;\-&quot;$&quot;\ * #,##0.00_-;_-&quot;$&quot;\ * &quot;-&quot;??_-;_-@_-"/>
    <numFmt numFmtId="164" formatCode="_-[$USD]\ * #,##0_-;\-[$USD]\ * #,##0_-;_-[$USD]\ * &quot;-&quot;_-;_-@_-"/>
    <numFmt numFmtId="165" formatCode="[$ARS]\ #,##0;\-[$ARS]\ #,##0"/>
    <numFmt numFmtId="166" formatCode="_-[$USD]\ * #,##0.0_-;\-[$USD]\ * #,##0.0_-;_-[$USD]\ * &quot;-&quot;_-;_-@_-"/>
    <numFmt numFmtId="167" formatCode="0.0%"/>
    <numFmt numFmtId="168" formatCode="_-[$USD]\ * #,##0.00_-;\-[$USD]\ * #,##0.00_-;_-[$USD]\ * &quot;-&quot;_-;_-@_-"/>
    <numFmt numFmtId="169" formatCode="0.0"/>
    <numFmt numFmtId="170" formatCode="0.000"/>
    <numFmt numFmtId="171" formatCode="_-[$USD]\ * #,##0.0_-;\-[$USD]\ * #,##0.0_-;_-[$USD]\ * &quot;-&quot;?_-;_-@_-"/>
    <numFmt numFmtId="172" formatCode="_-&quot;$&quot;\ * #,##0_-;\-&quot;$&quot;\ * #,##0_-;_-&quot;$&quot;\ * &quot;-&quot;??_-;_-@_-"/>
    <numFmt numFmtId="173" formatCode="_-[$USD]\ * #,##0.000_-;\-[$USD]\ * #,##0.000_-;_-[$USD]\ * &quot;-&quot;_-;_-@_-"/>
    <numFmt numFmtId="174" formatCode="0.000%"/>
    <numFmt numFmtId="175" formatCode="[$-1012C0A]&quot;$&quot;\ #,##0.00;\-&quot;$&quot;\ #,##0.00"/>
  </numFmts>
  <fonts count="23">
    <font>
      <sz val="11"/>
      <color theme="1"/>
      <name val="Calibri"/>
      <family val="2"/>
      <scheme val="minor"/>
    </font>
    <font>
      <sz val="10"/>
      <color theme="1"/>
      <name val="72 Condensed"/>
      <family val="2"/>
    </font>
    <font>
      <b/>
      <sz val="10"/>
      <color theme="1"/>
      <name val="72 Condensed"/>
      <family val="2"/>
    </font>
    <font>
      <b/>
      <sz val="10"/>
      <color theme="1"/>
      <name val="Exo"/>
    </font>
    <font>
      <sz val="10"/>
      <color theme="1"/>
      <name val="Exo"/>
    </font>
    <font>
      <b/>
      <sz val="10"/>
      <color theme="0" tint="-0.499984740745262"/>
      <name val="Exo"/>
    </font>
    <font>
      <sz val="10"/>
      <color theme="0" tint="-0.499984740745262"/>
      <name val="Exo"/>
    </font>
    <font>
      <b/>
      <sz val="10"/>
      <color theme="0" tint="-4.9989318521683403E-2"/>
      <name val="Exo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Exo"/>
    </font>
    <font>
      <b/>
      <sz val="10"/>
      <color theme="1"/>
      <name val="72 Condensed"/>
    </font>
    <font>
      <sz val="10"/>
      <color rgb="FF80808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>
      <alignment wrapText="1"/>
    </xf>
    <xf numFmtId="9" fontId="9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4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/>
    <xf numFmtId="166" fontId="0" fillId="0" borderId="0" xfId="0" applyNumberFormat="1"/>
    <xf numFmtId="9" fontId="0" fillId="0" borderId="0" xfId="2" applyFont="1"/>
    <xf numFmtId="0" fontId="0" fillId="0" borderId="11" xfId="0" applyBorder="1"/>
    <xf numFmtId="164" fontId="0" fillId="0" borderId="11" xfId="0" applyNumberFormat="1" applyBorder="1"/>
    <xf numFmtId="168" fontId="0" fillId="0" borderId="11" xfId="0" applyNumberFormat="1" applyBorder="1" applyAlignment="1">
      <alignment horizontal="center"/>
    </xf>
    <xf numFmtId="9" fontId="4" fillId="0" borderId="11" xfId="2" applyFont="1" applyBorder="1" applyAlignment="1">
      <alignment horizontal="center"/>
    </xf>
    <xf numFmtId="14" fontId="0" fillId="0" borderId="11" xfId="0" applyNumberFormat="1" applyBorder="1"/>
    <xf numFmtId="9" fontId="2" fillId="0" borderId="2" xfId="2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9" fontId="1" fillId="0" borderId="7" xfId="2" applyFont="1" applyBorder="1" applyAlignment="1">
      <alignment horizontal="center"/>
    </xf>
    <xf numFmtId="0" fontId="0" fillId="0" borderId="16" xfId="0" applyBorder="1" applyAlignment="1">
      <alignment horizontal="center"/>
    </xf>
    <xf numFmtId="9" fontId="1" fillId="0" borderId="0" xfId="2" applyFont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3" fillId="0" borderId="0" xfId="0" applyFont="1"/>
    <xf numFmtId="3" fontId="3" fillId="0" borderId="18" xfId="0" applyNumberFormat="1" applyFont="1" applyBorder="1" applyAlignment="1">
      <alignment horizontal="center"/>
    </xf>
    <xf numFmtId="3" fontId="14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11" xfId="0" applyNumberFormat="1" applyBorder="1"/>
    <xf numFmtId="3" fontId="0" fillId="0" borderId="11" xfId="0" applyNumberFormat="1" applyBorder="1" applyAlignment="1">
      <alignment horizontal="center"/>
    </xf>
    <xf numFmtId="165" fontId="0" fillId="0" borderId="16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10" fillId="3" borderId="0" xfId="0" applyFont="1" applyFill="1" applyAlignment="1">
      <alignment horizontal="center"/>
    </xf>
    <xf numFmtId="49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0" fontId="11" fillId="0" borderId="0" xfId="0" applyFont="1"/>
    <xf numFmtId="0" fontId="11" fillId="4" borderId="11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170" fontId="0" fillId="0" borderId="11" xfId="0" applyNumberFormat="1" applyBorder="1"/>
    <xf numFmtId="0" fontId="4" fillId="0" borderId="0" xfId="0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44" fontId="3" fillId="4" borderId="11" xfId="0" applyNumberFormat="1" applyFont="1" applyFill="1" applyBorder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172" fontId="0" fillId="0" borderId="11" xfId="0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2" applyNumberFormat="1" applyFont="1" applyBorder="1"/>
    <xf numFmtId="9" fontId="0" fillId="0" borderId="0" xfId="2" applyFont="1" applyBorder="1"/>
    <xf numFmtId="10" fontId="0" fillId="0" borderId="11" xfId="2" applyNumberFormat="1" applyFont="1" applyBorder="1"/>
    <xf numFmtId="173" fontId="0" fillId="0" borderId="0" xfId="0" applyNumberFormat="1"/>
    <xf numFmtId="0" fontId="0" fillId="0" borderId="11" xfId="0" applyFill="1" applyBorder="1"/>
    <xf numFmtId="0" fontId="0" fillId="0" borderId="19" xfId="0" applyBorder="1"/>
    <xf numFmtId="14" fontId="0" fillId="0" borderId="19" xfId="0" applyNumberFormat="1" applyBorder="1"/>
    <xf numFmtId="0" fontId="12" fillId="3" borderId="0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44" fontId="0" fillId="0" borderId="5" xfId="0" applyNumberForma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44" fontId="0" fillId="4" borderId="4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44" fontId="0" fillId="4" borderId="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5" borderId="7" xfId="0" applyNumberFormat="1" applyFill="1" applyBorder="1" applyAlignment="1">
      <alignment horizontal="center" vertical="center"/>
    </xf>
    <xf numFmtId="44" fontId="0" fillId="5" borderId="8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172" fontId="0" fillId="6" borderId="11" xfId="0" applyNumberFormat="1" applyFont="1" applyFill="1" applyBorder="1" applyAlignment="1">
      <alignment horizontal="center" vertical="center"/>
    </xf>
    <xf numFmtId="0" fontId="17" fillId="0" borderId="0" xfId="3" applyAlignment="1">
      <alignment horizontal="center"/>
    </xf>
    <xf numFmtId="0" fontId="19" fillId="0" borderId="9" xfId="3" applyFont="1" applyBorder="1" applyAlignment="1">
      <alignment horizontal="center"/>
    </xf>
    <xf numFmtId="0" fontId="19" fillId="0" borderId="13" xfId="3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left"/>
    </xf>
    <xf numFmtId="0" fontId="19" fillId="0" borderId="2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49" fontId="16" fillId="0" borderId="11" xfId="0" applyNumberFormat="1" applyFont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9" fontId="0" fillId="0" borderId="11" xfId="2" applyFont="1" applyBorder="1" applyAlignment="1">
      <alignment horizontal="center"/>
    </xf>
    <xf numFmtId="0" fontId="20" fillId="7" borderId="11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/>
    </xf>
    <xf numFmtId="0" fontId="20" fillId="8" borderId="17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20" fillId="0" borderId="16" xfId="0" applyFont="1" applyFill="1" applyBorder="1" applyAlignment="1"/>
    <xf numFmtId="0" fontId="0" fillId="0" borderId="19" xfId="0" applyFill="1" applyBorder="1"/>
    <xf numFmtId="164" fontId="0" fillId="0" borderId="19" xfId="0" applyNumberFormat="1" applyBorder="1"/>
    <xf numFmtId="10" fontId="0" fillId="0" borderId="19" xfId="2" applyNumberFormat="1" applyFont="1" applyBorder="1"/>
    <xf numFmtId="3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167" fontId="0" fillId="0" borderId="0" xfId="2" applyNumberFormat="1" applyFont="1"/>
    <xf numFmtId="0" fontId="22" fillId="0" borderId="0" xfId="1" applyFont="1" applyFill="1" applyBorder="1" applyAlignment="1">
      <alignment horizontal="center" vertical="center" wrapText="1" readingOrder="1"/>
    </xf>
    <xf numFmtId="175" fontId="22" fillId="0" borderId="0" xfId="1" applyNumberFormat="1" applyFont="1" applyFill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center"/>
    </xf>
    <xf numFmtId="49" fontId="6" fillId="0" borderId="22" xfId="0" applyNumberFormat="1" applyFont="1" applyFill="1" applyBorder="1" applyAlignment="1">
      <alignment horizontal="center"/>
    </xf>
    <xf numFmtId="175" fontId="22" fillId="0" borderId="21" xfId="1" applyNumberFormat="1" applyFont="1" applyFill="1" applyBorder="1" applyAlignment="1">
      <alignment horizontal="center" vertical="center" wrapText="1" readingOrder="1"/>
    </xf>
    <xf numFmtId="49" fontId="6" fillId="0" borderId="9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5" fontId="22" fillId="0" borderId="10" xfId="1" applyNumberFormat="1" applyFont="1" applyFill="1" applyBorder="1" applyAlignment="1">
      <alignment horizontal="center" vertical="center" wrapText="1" readingOrder="1"/>
    </xf>
    <xf numFmtId="49" fontId="6" fillId="0" borderId="13" xfId="0" applyNumberFormat="1" applyFont="1" applyFill="1" applyBorder="1" applyAlignment="1">
      <alignment horizontal="center"/>
    </xf>
    <xf numFmtId="49" fontId="6" fillId="0" borderId="14" xfId="0" applyNumberFormat="1" applyFont="1" applyFill="1" applyBorder="1" applyAlignment="1">
      <alignment horizontal="center"/>
    </xf>
    <xf numFmtId="175" fontId="22" fillId="0" borderId="15" xfId="1" applyNumberFormat="1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1" fillId="0" borderId="0" xfId="0" applyFont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3" fontId="0" fillId="0" borderId="0" xfId="2" applyNumberFormat="1" applyFont="1" applyBorder="1"/>
    <xf numFmtId="174" fontId="0" fillId="0" borderId="0" xfId="2" applyNumberFormat="1" applyFont="1" applyBorder="1"/>
    <xf numFmtId="0" fontId="0" fillId="9" borderId="12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10" fontId="11" fillId="9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14" fontId="0" fillId="0" borderId="11" xfId="0" applyNumberFormat="1" applyBorder="1" applyAlignment="1">
      <alignment vertical="center"/>
    </xf>
  </cellXfs>
  <cellStyles count="4">
    <cellStyle name="Hipervínculo" xfId="3" builtinId="8"/>
    <cellStyle name="Normal" xfId="0" builtinId="0"/>
    <cellStyle name="Normal 2" xfId="1" xr:uid="{62CD5D92-0C27-447F-888B-1242CC8D6B8D}"/>
    <cellStyle name="Porcentaje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72 Condensed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sharedStrings" Target="sharedStrings.xml"/><Relationship Id="rId89" Type="http://schemas.openxmlformats.org/officeDocument/2006/relationships/customXml" Target="../customXml/item3.xml"/><Relationship Id="rId16" Type="http://schemas.openxmlformats.org/officeDocument/2006/relationships/externalLink" Target="externalLinks/externalLink6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4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styles" Target="styles.xml"/><Relationship Id="rId88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theme" Target="theme/theme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customXml" Target="../customXml/item1.xml"/><Relationship Id="rId61" Type="http://schemas.openxmlformats.org/officeDocument/2006/relationships/externalLink" Target="externalLinks/externalLink51.xml"/><Relationship Id="rId82" Type="http://schemas.openxmlformats.org/officeDocument/2006/relationships/connections" Target="connections.xml"/><Relationship Id="rId19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Propuesta</a:t>
            </a:r>
            <a:r>
              <a:rPr lang="es-AR" b="1" baseline="0"/>
              <a:t> Base: Áreas Individuales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 Productos Químicos: 1,498 MUSD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</a:t>
            </a:r>
            <a:r>
              <a:rPr lang="es-AR" sz="1100" b="1" baseline="0">
                <a:solidFill>
                  <a:schemeClr val="bg1">
                    <a:lumMod val="50000"/>
                  </a:schemeClr>
                </a:solidFill>
              </a:rPr>
              <a:t> Servicios: 510,9 kUSD</a:t>
            </a:r>
            <a:endParaRPr lang="es-AR" sz="1100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61781692563277"/>
          <c:y val="0.21550796128699942"/>
          <c:w val="0.73763758975913218"/>
          <c:h val="0.6192535389773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Base!$C$6</c:f>
              <c:strCache>
                <c:ptCount val="1"/>
                <c:pt idx="0">
                  <c:v>Servicio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Base!$D$6:$I$6</c:f>
              <c:numCache>
                <c:formatCode>_-[$USD]\ * #,##0.00_-;\-[$USD]\ * #,##0.00_-;_-[$USD]\ * "-"_-;_-@_-</c:formatCode>
                <c:ptCount val="5"/>
                <c:pt idx="0">
                  <c:v>75.381954115184257</c:v>
                </c:pt>
                <c:pt idx="1">
                  <c:v>20.66023927601346</c:v>
                </c:pt>
                <c:pt idx="2">
                  <c:v>27.221261208260984</c:v>
                </c:pt>
                <c:pt idx="3">
                  <c:v>7.2590029888695957</c:v>
                </c:pt>
                <c:pt idx="4">
                  <c:v>29.315204378127213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6-403A-8609-85A7680A364F}"/>
            </c:ext>
          </c:extLst>
        </c:ser>
        <c:ser>
          <c:idx val="1"/>
          <c:order val="1"/>
          <c:tx>
            <c:strRef>
              <c:f>Base!$C$7</c:f>
              <c:strCache>
                <c:ptCount val="1"/>
                <c:pt idx="0">
                  <c:v>Servicio OyM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Base!$D$7:$I$7</c:f>
              <c:numCache>
                <c:formatCode>_-[$USD]\ * #,##0.00_-;\-[$USD]\ * #,##0.00_-;_-[$USD]\ * "-"_-;_-@_-</c:formatCode>
                <c:ptCount val="5"/>
                <c:pt idx="0">
                  <c:v>88.939046592043383</c:v>
                </c:pt>
                <c:pt idx="1">
                  <c:v>78.446237724442767</c:v>
                </c:pt>
                <c:pt idx="2">
                  <c:v>76.947265029071232</c:v>
                </c:pt>
                <c:pt idx="3">
                  <c:v>24.289601337308273</c:v>
                </c:pt>
                <c:pt idx="4">
                  <c:v>82.44349824543346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6-403A-8609-85A7680A364F}"/>
            </c:ext>
          </c:extLst>
        </c:ser>
        <c:ser>
          <c:idx val="3"/>
          <c:order val="2"/>
          <c:tx>
            <c:strRef>
              <c:f>Base!$C$8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Base!$D$8:$I$8</c:f>
              <c:numCache>
                <c:formatCode>_-[$USD]\ * #,##0_-;\-[$USD]\ * #,##0_-;_-[$USD]\ * "-"_-;_-@_-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8B6-403A-8609-85A7680A364F}"/>
            </c:ext>
          </c:extLst>
        </c:ser>
        <c:ser>
          <c:idx val="4"/>
          <c:order val="3"/>
          <c:tx>
            <c:strRef>
              <c:f>Base!$C$9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Base!$D$9:$H$9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8B6-403A-8609-85A7680A364F}"/>
            </c:ext>
          </c:extLst>
        </c:ser>
        <c:ser>
          <c:idx val="6"/>
          <c:order val="4"/>
          <c:tx>
            <c:strRef>
              <c:f>Base!$C$10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Base!$D$10:$H$10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8B6-403A-8609-85A7680A364F}"/>
            </c:ext>
          </c:extLst>
        </c:ser>
        <c:ser>
          <c:idx val="7"/>
          <c:order val="5"/>
          <c:tx>
            <c:strRef>
              <c:f>Base!$C$11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8B6-403A-8609-85A7680A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964975503"/>
        <c:axId val="672325919"/>
      </c:barChart>
      <c:barChart>
        <c:barDir val="col"/>
        <c:grouping val="clustered"/>
        <c:varyColors val="0"/>
        <c:ser>
          <c:idx val="8"/>
          <c:order val="6"/>
          <c:tx>
            <c:strRef>
              <c:f>Base!$C$11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38B6-403A-8609-85A7680A364F}"/>
            </c:ext>
          </c:extLst>
        </c:ser>
        <c:ser>
          <c:idx val="2"/>
          <c:order val="7"/>
          <c:tx>
            <c:strRef>
              <c:f>Base!$C$12</c:f>
              <c:strCache>
                <c:ptCount val="1"/>
                <c:pt idx="0">
                  <c:v>Producto químico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307503544682431E-2"/>
                  <c:y val="3.2277777526759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B6-403A-8609-85A7680A364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Base!$D$12:$I$12</c:f>
              <c:numCache>
                <c:formatCode>_-[$USD]\ * #,##0_-;\-[$USD]\ * #,##0_-;_-[$USD]\ * "-"_-;_-@_-</c:formatCode>
                <c:ptCount val="5"/>
                <c:pt idx="0">
                  <c:v>404.43844000000001</c:v>
                </c:pt>
                <c:pt idx="1">
                  <c:v>243.24223999999998</c:v>
                </c:pt>
                <c:pt idx="2">
                  <c:v>504.59093096359999</c:v>
                </c:pt>
                <c:pt idx="3">
                  <c:v>54.929569999999991</c:v>
                </c:pt>
                <c:pt idx="4">
                  <c:v>291.05412000000001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B6-403A-8609-85A7680A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28"/>
        <c:axId val="926717871"/>
        <c:axId val="378974191"/>
      </c:barChart>
      <c:catAx>
        <c:axId val="9649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1"/>
        <c:lblAlgn val="ctr"/>
        <c:lblOffset val="100"/>
        <c:noMultiLvlLbl val="0"/>
      </c:catAx>
      <c:valAx>
        <c:axId val="672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Servicios [KUSD]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.00_-;\-[$USD]\ * #,##0.0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 val="autoZero"/>
        <c:crossBetween val="between"/>
      </c:valAx>
      <c:valAx>
        <c:axId val="37897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Productos</a:t>
                </a:r>
                <a:r>
                  <a:rPr lang="es-AR" baseline="0"/>
                  <a:t> Químicos [KUSD]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USD]\ #,##0;\-[$USD]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6717871"/>
        <c:crosses val="max"/>
        <c:crossBetween val="between"/>
      </c:valAx>
      <c:catAx>
        <c:axId val="92671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Propuesta</a:t>
            </a:r>
            <a:r>
              <a:rPr lang="es-AR" b="1" baseline="0"/>
              <a:t> Adjudicación Integral de Area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 Productos Químicos: 1,330 MUSD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</a:t>
            </a:r>
            <a:r>
              <a:rPr lang="es-AR" sz="1100" b="1" baseline="0">
                <a:solidFill>
                  <a:schemeClr val="bg1">
                    <a:lumMod val="50000"/>
                  </a:schemeClr>
                </a:solidFill>
              </a:rPr>
              <a:t> Servicios: 460,89 kUSD</a:t>
            </a:r>
            <a:endParaRPr lang="es-AR" sz="1100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61781692563277"/>
          <c:y val="0.21550796128699942"/>
          <c:w val="0.73763758975913218"/>
          <c:h val="0.6192535389773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Areas_Integrales.!$C$6</c:f>
              <c:strCache>
                <c:ptCount val="1"/>
                <c:pt idx="0">
                  <c:v>Servicio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Areas_Integrales.!$D$6:$H$6</c:f>
              <c:numCache>
                <c:formatCode>_-[$USD]\ * #,##0.00_-;\-[$USD]\ * #,##0.00_-;_-[$USD]\ * "-"_-;_-@_-</c:formatCode>
                <c:ptCount val="5"/>
                <c:pt idx="0">
                  <c:v>50.973277372687583</c:v>
                </c:pt>
                <c:pt idx="1">
                  <c:v>17.817390351634007</c:v>
                </c:pt>
                <c:pt idx="2">
                  <c:v>17.873480109344158</c:v>
                </c:pt>
                <c:pt idx="3">
                  <c:v>4.9085378210736197</c:v>
                </c:pt>
                <c:pt idx="4">
                  <c:v>25.281432255696902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68C-8643-8A17E0704C5A}"/>
            </c:ext>
          </c:extLst>
        </c:ser>
        <c:ser>
          <c:idx val="1"/>
          <c:order val="1"/>
          <c:tx>
            <c:strRef>
              <c:f>Areas_Integrales.!$C$7</c:f>
              <c:strCache>
                <c:ptCount val="1"/>
                <c:pt idx="0">
                  <c:v>Servicio OyM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Areas_Integrales.!$D$7:$H$7</c:f>
              <c:numCache>
                <c:formatCode>_-[$USD]\ * #,##0.00_-;\-[$USD]\ * #,##0.00_-;_-[$USD]\ * "-"_-;_-@_-</c:formatCode>
                <c:ptCount val="5"/>
                <c:pt idx="0">
                  <c:v>87.160265660202512</c:v>
                </c:pt>
                <c:pt idx="1">
                  <c:v>76.877312969953906</c:v>
                </c:pt>
                <c:pt idx="2">
                  <c:v>75.408319728489801</c:v>
                </c:pt>
                <c:pt idx="3">
                  <c:v>23.803809310562109</c:v>
                </c:pt>
                <c:pt idx="4">
                  <c:v>80.79462828052479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68C-8643-8A17E0704C5A}"/>
            </c:ext>
          </c:extLst>
        </c:ser>
        <c:ser>
          <c:idx val="3"/>
          <c:order val="2"/>
          <c:tx>
            <c:strRef>
              <c:f>Areas_Integrales.!$C$8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Areas_Integrales.!$D$8:$H$8</c:f>
              <c:numCache>
                <c:formatCode>_-[$USD]\ * #,##0_-;\-[$USD]\ * #,##0_-;_-[$USD]\ * "-"_-;_-@_-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72-468C-8643-8A17E0704C5A}"/>
            </c:ext>
          </c:extLst>
        </c:ser>
        <c:ser>
          <c:idx val="4"/>
          <c:order val="3"/>
          <c:tx>
            <c:strRef>
              <c:f>Areas_Integrales.!$C$9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Areas_Integrales.!$D$9:$H$9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AF72-468C-8643-8A17E0704C5A}"/>
            </c:ext>
          </c:extLst>
        </c:ser>
        <c:ser>
          <c:idx val="6"/>
          <c:order val="4"/>
          <c:tx>
            <c:strRef>
              <c:f>Areas_Integrales.!$C$10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Areas_Integrales.!$D$10:$H$10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AF72-468C-8643-8A17E0704C5A}"/>
            </c:ext>
          </c:extLst>
        </c:ser>
        <c:ser>
          <c:idx val="7"/>
          <c:order val="5"/>
          <c:tx>
            <c:strRef>
              <c:f>Areas_Integrales.!$C$11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AF72-468C-8643-8A17E070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964975503"/>
        <c:axId val="672325919"/>
      </c:barChart>
      <c:barChart>
        <c:barDir val="col"/>
        <c:grouping val="clustered"/>
        <c:varyColors val="0"/>
        <c:ser>
          <c:idx val="8"/>
          <c:order val="6"/>
          <c:tx>
            <c:strRef>
              <c:f>Areas_Integrales.!$C$11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AF72-468C-8643-8A17E0704C5A}"/>
            </c:ext>
          </c:extLst>
        </c:ser>
        <c:ser>
          <c:idx val="2"/>
          <c:order val="7"/>
          <c:tx>
            <c:strRef>
              <c:f>Areas_Integrales.!$C$12</c:f>
              <c:strCache>
                <c:ptCount val="1"/>
                <c:pt idx="0">
                  <c:v>Producto químico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307503544682431E-2"/>
                  <c:y val="3.2277777526759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72-468C-8643-8A17E0704C5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Areas_Integrales.!$D$4:$H$4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Areas_Integrales.!$D$12:$H$12</c:f>
              <c:numCache>
                <c:formatCode>_-[$USD]\ * #,##0_-;\-[$USD]\ * #,##0_-;_-[$USD]\ * "-"_-;_-@_-</c:formatCode>
                <c:ptCount val="5"/>
                <c:pt idx="0">
                  <c:v>355.63114845999996</c:v>
                </c:pt>
                <c:pt idx="1">
                  <c:v>222.27719716999999</c:v>
                </c:pt>
                <c:pt idx="2">
                  <c:v>444.52860466086236</c:v>
                </c:pt>
                <c:pt idx="3">
                  <c:v>47.403422220000003</c:v>
                </c:pt>
                <c:pt idx="4">
                  <c:v>260.75061683999996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72-468C-8643-8A17E070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28"/>
        <c:axId val="926717871"/>
        <c:axId val="378974191"/>
      </c:barChart>
      <c:catAx>
        <c:axId val="9649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1"/>
        <c:lblAlgn val="ctr"/>
        <c:lblOffset val="100"/>
        <c:noMultiLvlLbl val="0"/>
      </c:catAx>
      <c:valAx>
        <c:axId val="672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Servicios [KUSD]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.00_-;\-[$USD]\ * #,##0.0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 val="autoZero"/>
        <c:crossBetween val="between"/>
      </c:valAx>
      <c:valAx>
        <c:axId val="37897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Productos</a:t>
                </a:r>
                <a:r>
                  <a:rPr lang="es-AR" baseline="0"/>
                  <a:t> Químicos [KUSD]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USD]\ #,##0;\-[$USD]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6717871"/>
        <c:crosses val="max"/>
        <c:crossBetween val="between"/>
      </c:valAx>
      <c:catAx>
        <c:axId val="92671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Propuesta</a:t>
            </a:r>
            <a:r>
              <a:rPr lang="en-US" sz="1200" b="1" baseline="0"/>
              <a:t> Integral  Tratamientos Químicos Mendoza</a:t>
            </a:r>
            <a:endParaRPr lang="en-US" sz="1200" b="1"/>
          </a:p>
        </c:rich>
      </c:tx>
      <c:layout>
        <c:manualLayout>
          <c:xMode val="edge"/>
          <c:yMode val="edge"/>
          <c:x val="0.1444284399205779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7012426506952758"/>
          <c:y val="0.25143308589625424"/>
          <c:w val="0.4724315789964143"/>
          <c:h val="0.5952571251730816"/>
        </c:manualLayout>
      </c:layout>
      <c:pieChart>
        <c:varyColors val="1"/>
        <c:ser>
          <c:idx val="0"/>
          <c:order val="0"/>
          <c:tx>
            <c:strRef>
              <c:f>Areas_Integrales.!$D$14:$E$14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A-49F4-A205-9845D2ED83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A-49F4-A205-9845D2ED8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Areas_Integrales.!$D$14:$E$14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cat>
          <c:val>
            <c:numRef>
              <c:f>Areas_Integrales.!$D$18:$E$18</c:f>
              <c:numCache>
                <c:formatCode>_-[$USD]\ * #,##0_-;\-[$USD]\ * #,##0_-;_-[$USD]\ * "-"_-;_-@_-</c:formatCode>
                <c:ptCount val="2"/>
                <c:pt idx="0">
                  <c:v>1330590.9893508623</c:v>
                </c:pt>
                <c:pt idx="1">
                  <c:v>460898.45386016939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A-49F4-A205-9845D2ED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OPTIMIZACIÓN DE CONSUMO POR AREA</a:t>
            </a:r>
          </a:p>
          <a:p>
            <a:pPr>
              <a:defRPr/>
            </a:pPr>
            <a:r>
              <a:rPr lang="en-US" sz="1200" b="1" baseline="0"/>
              <a:t>Base: 1,498 MUSD      -     Optimización: 1,357 MUSD     -     Ahorro: 140.509 USD/mes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0332204646536047E-2"/>
          <c:y val="0.12441833519867077"/>
          <c:w val="0.9226010608351054"/>
          <c:h val="0.33104899345734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Areas_Integrales.!$F$41</c:f>
              <c:strCache>
                <c:ptCount val="1"/>
                <c:pt idx="0">
                  <c:v>Optimización proyectada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Areas_Integrales.!$D$42:$E$64</c:f>
              <c:multiLvlStrCache>
                <c:ptCount val="23"/>
                <c:lvl>
                  <c:pt idx="0">
                    <c:v>Desemulsionates</c:v>
                  </c:pt>
                  <c:pt idx="1">
                    <c:v>Bactericidas</c:v>
                  </c:pt>
                  <c:pt idx="2">
                    <c:v>Dispersante de parafinas y/o asfaltenos</c:v>
                  </c:pt>
                  <c:pt idx="3">
                    <c:v>Desemulsionates</c:v>
                  </c:pt>
                  <c:pt idx="4">
                    <c:v>Bactericidas</c:v>
                  </c:pt>
                  <c:pt idx="5">
                    <c:v>Inhibidor de corrosión</c:v>
                  </c:pt>
                  <c:pt idx="6">
                    <c:v>Inhibidor de Incrustaciones</c:v>
                  </c:pt>
                  <c:pt idx="7">
                    <c:v>Mejorador de flujo y de Parafinas</c:v>
                  </c:pt>
                  <c:pt idx="8">
                    <c:v>Reductor de Viscocidad</c:v>
                  </c:pt>
                  <c:pt idx="9">
                    <c:v>Dispersante de parafinas y/o asfaltenos</c:v>
                  </c:pt>
                  <c:pt idx="10">
                    <c:v>Inhibidor de corrosión</c:v>
                  </c:pt>
                  <c:pt idx="11">
                    <c:v>Bactericidas</c:v>
                  </c:pt>
                  <c:pt idx="12">
                    <c:v>Humectante/Secante</c:v>
                  </c:pt>
                  <c:pt idx="13">
                    <c:v>Inhibidor de Incrustaciones</c:v>
                  </c:pt>
                  <c:pt idx="14">
                    <c:v>Desemulsionantes</c:v>
                  </c:pt>
                  <c:pt idx="15">
                    <c:v>Bactericidas</c:v>
                  </c:pt>
                  <c:pt idx="16">
                    <c:v>Dispersante de parafinas y/o asfaltenos</c:v>
                  </c:pt>
                  <c:pt idx="17">
                    <c:v>Inhibidor de Incrustaciones</c:v>
                  </c:pt>
                  <c:pt idx="18">
                    <c:v>Inhibidor de corrosión</c:v>
                  </c:pt>
                  <c:pt idx="19">
                    <c:v>Inhibidor de corrosión</c:v>
                  </c:pt>
                  <c:pt idx="20">
                    <c:v>Bactericidas</c:v>
                  </c:pt>
                  <c:pt idx="21">
                    <c:v>Inhibidor de Incrustaciones</c:v>
                  </c:pt>
                  <c:pt idx="22">
                    <c:v>Desemulsionates</c:v>
                  </c:pt>
                </c:lvl>
                <c:lvl>
                  <c:pt idx="0">
                    <c:v>Ugarteche (-6,5 KUSD)</c:v>
                  </c:pt>
                  <c:pt idx="3">
                    <c:v>Barrancas (-41,5 kUSD)</c:v>
                  </c:pt>
                  <c:pt idx="10">
                    <c:v>La Ventana (-16,4 KUSD)</c:v>
                  </c:pt>
                  <c:pt idx="14">
                    <c:v>Malargüe (-50,9 KUSD)</c:v>
                  </c:pt>
                  <c:pt idx="19">
                    <c:v>Viscacheras (-24,982 KUSD)</c:v>
                  </c:pt>
                </c:lvl>
              </c:multiLvlStrCache>
            </c:multiLvlStrRef>
          </c:cat>
          <c:val>
            <c:numRef>
              <c:f>Areas_Integrales.!$F$42:$F$64</c:f>
              <c:numCache>
                <c:formatCode>0%</c:formatCode>
                <c:ptCount val="23"/>
                <c:pt idx="0">
                  <c:v>0.15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0.15</c:v>
                </c:pt>
                <c:pt idx="13">
                  <c:v>0.15</c:v>
                </c:pt>
                <c:pt idx="14">
                  <c:v>0.2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3-46F0-9443-A981311E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13999"/>
        <c:axId val="1586511471"/>
      </c:barChart>
      <c:catAx>
        <c:axId val="18182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11471"/>
        <c:crosses val="autoZero"/>
        <c:auto val="1"/>
        <c:lblAlgn val="ctr"/>
        <c:lblOffset val="100"/>
        <c:noMultiLvlLbl val="0"/>
      </c:catAx>
      <c:valAx>
        <c:axId val="1586511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100" b="1"/>
                  <a:t>Optimización</a:t>
                </a:r>
                <a:r>
                  <a:rPr lang="es-AR" sz="1100" b="1" baseline="0"/>
                  <a:t> de consumo</a:t>
                </a:r>
                <a:endParaRPr lang="es-AR" sz="1100" b="1"/>
              </a:p>
            </c:rich>
          </c:tx>
          <c:layout>
            <c:manualLayout>
              <c:xMode val="edge"/>
              <c:yMode val="edge"/>
              <c:x val="1.2913428072409422E-2"/>
              <c:y val="0.1259433642165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crossAx val="18182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Propuesta</a:t>
            </a:r>
            <a:r>
              <a:rPr lang="es-AR" b="1" baseline="0"/>
              <a:t> Adjudicación Integral de Area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 Productos Químicos: 1,330 MUSD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</a:t>
            </a:r>
            <a:r>
              <a:rPr lang="es-AR" sz="1100" b="1" baseline="0">
                <a:solidFill>
                  <a:schemeClr val="bg1">
                    <a:lumMod val="50000"/>
                  </a:schemeClr>
                </a:solidFill>
              </a:rPr>
              <a:t> Servicios: 316,176 kUSD</a:t>
            </a:r>
            <a:endParaRPr lang="es-AR" sz="1100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61781692563277"/>
          <c:y val="0.21550796128699942"/>
          <c:w val="0.73763758975913218"/>
          <c:h val="0.6192535389773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Optimización_Estructura!$C$6</c:f>
              <c:strCache>
                <c:ptCount val="1"/>
                <c:pt idx="0">
                  <c:v>Servicio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Optimización_Estructura!$D$6:$H$6</c:f>
              <c:numCache>
                <c:formatCode>_-[$USD]\ * #,##0.00_-;\-[$USD]\ * #,##0.00_-;_-[$USD]\ * "-"_-;_-@_-</c:formatCode>
                <c:ptCount val="5"/>
                <c:pt idx="0">
                  <c:v>34.967668277663677</c:v>
                </c:pt>
                <c:pt idx="1">
                  <c:v>12.222729781220927</c:v>
                </c:pt>
                <c:pt idx="2">
                  <c:v>12.261207355010091</c:v>
                </c:pt>
                <c:pt idx="3">
                  <c:v>3.3672569452565027</c:v>
                </c:pt>
                <c:pt idx="4">
                  <c:v>17.343062527408073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0-44CD-912C-F555582F7A0F}"/>
            </c:ext>
          </c:extLst>
        </c:ser>
        <c:ser>
          <c:idx val="1"/>
          <c:order val="1"/>
          <c:tx>
            <c:strRef>
              <c:f>Optimización_Estructura!$C$7</c:f>
              <c:strCache>
                <c:ptCount val="1"/>
                <c:pt idx="0">
                  <c:v>Servicio OyM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Optimización_Estructura!$D$7:$H$7</c:f>
              <c:numCache>
                <c:formatCode>_-[$USD]\ * #,##0.00_-;\-[$USD]\ * #,##0.00_-;_-[$USD]\ * "-"_-;_-@_-</c:formatCode>
                <c:ptCount val="5"/>
                <c:pt idx="0">
                  <c:v>59.791942242898919</c:v>
                </c:pt>
                <c:pt idx="1">
                  <c:v>52.737836697388374</c:v>
                </c:pt>
                <c:pt idx="2">
                  <c:v>51.730107333744002</c:v>
                </c:pt>
                <c:pt idx="3">
                  <c:v>16.329413187045606</c:v>
                </c:pt>
                <c:pt idx="4">
                  <c:v>55.425115000440002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0-44CD-912C-F555582F7A0F}"/>
            </c:ext>
          </c:extLst>
        </c:ser>
        <c:ser>
          <c:idx val="3"/>
          <c:order val="2"/>
          <c:tx>
            <c:strRef>
              <c:f>Optimización_Estructura!$C$8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Optimización_Estructura!$D$8:$H$8</c:f>
              <c:numCache>
                <c:formatCode>_-[$USD]\ * #,##0_-;\-[$USD]\ * #,##0_-;_-[$USD]\ * "-"_-;_-@_-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4ED0-44CD-912C-F555582F7A0F}"/>
            </c:ext>
          </c:extLst>
        </c:ser>
        <c:ser>
          <c:idx val="4"/>
          <c:order val="3"/>
          <c:tx>
            <c:strRef>
              <c:f>Optimización_Estructura!$C$9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Optimización_Estructura!$D$9:$H$9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4ED0-44CD-912C-F555582F7A0F}"/>
            </c:ext>
          </c:extLst>
        </c:ser>
        <c:ser>
          <c:idx val="6"/>
          <c:order val="4"/>
          <c:tx>
            <c:strRef>
              <c:f>Optimización_Estructura!$C$10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Optimización_Estructura!$D$10:$H$10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4ED0-44CD-912C-F555582F7A0F}"/>
            </c:ext>
          </c:extLst>
        </c:ser>
        <c:ser>
          <c:idx val="7"/>
          <c:order val="5"/>
          <c:tx>
            <c:strRef>
              <c:f>Optimización_Estructura!$C$11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4ED0-44CD-912C-F555582F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964975503"/>
        <c:axId val="672325919"/>
      </c:barChart>
      <c:barChart>
        <c:barDir val="col"/>
        <c:grouping val="clustered"/>
        <c:varyColors val="0"/>
        <c:ser>
          <c:idx val="8"/>
          <c:order val="6"/>
          <c:tx>
            <c:strRef>
              <c:f>Optimización_Estructura!$C$11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4ED0-44CD-912C-F555582F7A0F}"/>
            </c:ext>
          </c:extLst>
        </c:ser>
        <c:ser>
          <c:idx val="2"/>
          <c:order val="7"/>
          <c:tx>
            <c:strRef>
              <c:f>Optimización_Estructura!$C$12</c:f>
              <c:strCache>
                <c:ptCount val="1"/>
                <c:pt idx="0">
                  <c:v>Producto químico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307503544682431E-2"/>
                  <c:y val="3.2277777526759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D0-44CD-912C-F555582F7A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Optimización_Estructura!$D$12:$H$12</c:f>
              <c:numCache>
                <c:formatCode>_-[$USD]\ * #,##0_-;\-[$USD]\ * #,##0_-;_-[$USD]\ * "-"_-;_-@_-</c:formatCode>
                <c:ptCount val="5"/>
                <c:pt idx="0">
                  <c:v>355.63114845999996</c:v>
                </c:pt>
                <c:pt idx="1">
                  <c:v>222.27719716999999</c:v>
                </c:pt>
                <c:pt idx="2">
                  <c:v>444.52860466086236</c:v>
                </c:pt>
                <c:pt idx="3">
                  <c:v>47.403422220000003</c:v>
                </c:pt>
                <c:pt idx="4">
                  <c:v>260.75061683999996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D0-44CD-912C-F555582F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28"/>
        <c:axId val="926717871"/>
        <c:axId val="378974191"/>
      </c:barChart>
      <c:catAx>
        <c:axId val="9649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1"/>
        <c:lblAlgn val="ctr"/>
        <c:lblOffset val="100"/>
        <c:noMultiLvlLbl val="0"/>
      </c:catAx>
      <c:valAx>
        <c:axId val="672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Servicios [KUSD]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.00_-;\-[$USD]\ * #,##0.0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 val="autoZero"/>
        <c:crossBetween val="between"/>
      </c:valAx>
      <c:valAx>
        <c:axId val="37897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Productos</a:t>
                </a:r>
                <a:r>
                  <a:rPr lang="es-AR" baseline="0"/>
                  <a:t> Químicos [KUSD]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USD]\ #,##0;\-[$USD]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6717871"/>
        <c:crosses val="max"/>
        <c:crossBetween val="between"/>
      </c:valAx>
      <c:catAx>
        <c:axId val="92671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Propuesta</a:t>
            </a:r>
            <a:r>
              <a:rPr lang="en-US" sz="1200" b="1" baseline="0"/>
              <a:t> Integral  Tratamientos Químicos Mendoza</a:t>
            </a:r>
            <a:endParaRPr lang="en-US" sz="1200" b="1"/>
          </a:p>
        </c:rich>
      </c:tx>
      <c:layout>
        <c:manualLayout>
          <c:xMode val="edge"/>
          <c:yMode val="edge"/>
          <c:x val="0.1444284399205779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7012426506952758"/>
          <c:y val="0.25143308589625424"/>
          <c:w val="0.4724315789964143"/>
          <c:h val="0.5952571251730816"/>
        </c:manualLayout>
      </c:layout>
      <c:pieChart>
        <c:varyColors val="1"/>
        <c:ser>
          <c:idx val="0"/>
          <c:order val="0"/>
          <c:tx>
            <c:strRef>
              <c:f>Optimización_Estructura!$D$14:$E$14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9-403D-843E-631220FB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9-403D-843E-631220FB82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Optimización_Estructura!$D$14:$E$14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cat>
          <c:val>
            <c:numRef>
              <c:f>Optimización_Estructura!$D$19:$E$19</c:f>
              <c:numCache>
                <c:formatCode>_-[$USD]\ * #,##0_-;\-[$USD]\ * #,##0_-;_-[$USD]\ * "-"_-;_-@_-</c:formatCode>
                <c:ptCount val="2"/>
                <c:pt idx="0">
                  <c:v>1330590.9893508623</c:v>
                </c:pt>
                <c:pt idx="1">
                  <c:v>316176.33934807614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9-403D-843E-631220FB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baseline="0"/>
              <a:t>Optimización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53512280613486"/>
          <c:y val="0.23597206046047259"/>
          <c:w val="0.87534669987337843"/>
          <c:h val="0.64790334213560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Optimización_Estructura!$C$56</c:f>
              <c:strCache>
                <c:ptCount val="1"/>
                <c:pt idx="0">
                  <c:v>Personas (Choferes y recorredores)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Optimización_Estructura!$D$55:$G$55</c:f>
              <c:strCache>
                <c:ptCount val="4"/>
                <c:pt idx="0">
                  <c:v>Barrancas - Ugarteche</c:v>
                </c:pt>
                <c:pt idx="1">
                  <c:v>La Ventana - Vizcacheras</c:v>
                </c:pt>
                <c:pt idx="2">
                  <c:v>Malargüe</c:v>
                </c:pt>
                <c:pt idx="3">
                  <c:v>Total</c:v>
                </c:pt>
              </c:strCache>
            </c:strRef>
          </c:cat>
          <c:val>
            <c:numRef>
              <c:f>Optimización_Estructura!$D$56:$G$56</c:f>
              <c:numCache>
                <c:formatCode>0%</c:formatCode>
                <c:ptCount val="4"/>
                <c:pt idx="0">
                  <c:v>-0.53333333333333333</c:v>
                </c:pt>
                <c:pt idx="1">
                  <c:v>-0.36363636363636365</c:v>
                </c:pt>
                <c:pt idx="2">
                  <c:v>-0.45454545454545459</c:v>
                </c:pt>
                <c:pt idx="3">
                  <c:v>-0.35135135135135132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CD6-A66D-AF9C8B4B6F87}"/>
            </c:ext>
          </c:extLst>
        </c:ser>
        <c:ser>
          <c:idx val="1"/>
          <c:order val="1"/>
          <c:tx>
            <c:strRef>
              <c:f>Optimización_Estructura!$C$57</c:f>
              <c:strCache>
                <c:ptCount val="1"/>
                <c:pt idx="0">
                  <c:v>Unidades pesadas (Camiones de reposición)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Optimización_Estructura!$D$55:$G$55</c:f>
              <c:strCache>
                <c:ptCount val="4"/>
                <c:pt idx="0">
                  <c:v>Barrancas - Ugarteche</c:v>
                </c:pt>
                <c:pt idx="1">
                  <c:v>La Ventana - Vizcacheras</c:v>
                </c:pt>
                <c:pt idx="2">
                  <c:v>Malargüe</c:v>
                </c:pt>
                <c:pt idx="3">
                  <c:v>Total</c:v>
                </c:pt>
              </c:strCache>
            </c:strRef>
          </c:cat>
          <c:val>
            <c:numRef>
              <c:f>Optimización_Estructura!$D$57:$G$57</c:f>
              <c:numCache>
                <c:formatCode>0%</c:formatCode>
                <c:ptCount val="4"/>
                <c:pt idx="0">
                  <c:v>-0.33333333333333337</c:v>
                </c:pt>
                <c:pt idx="1">
                  <c:v>-0.33333333333333337</c:v>
                </c:pt>
                <c:pt idx="2">
                  <c:v>0</c:v>
                </c:pt>
                <c:pt idx="3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2-4CD6-A66D-AF9C8B4B6F87}"/>
            </c:ext>
          </c:extLst>
        </c:ser>
        <c:ser>
          <c:idx val="2"/>
          <c:order val="2"/>
          <c:tx>
            <c:strRef>
              <c:f>Optimización_Estructura!$C$58</c:f>
              <c:strCache>
                <c:ptCount val="1"/>
                <c:pt idx="0">
                  <c:v>Unidades livianas (camionetas)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Optimización_Estructura!$D$55:$G$55</c:f>
              <c:strCache>
                <c:ptCount val="4"/>
                <c:pt idx="0">
                  <c:v>Barrancas - Ugarteche</c:v>
                </c:pt>
                <c:pt idx="1">
                  <c:v>La Ventana - Vizcacheras</c:v>
                </c:pt>
                <c:pt idx="2">
                  <c:v>Malargüe</c:v>
                </c:pt>
                <c:pt idx="3">
                  <c:v>Total</c:v>
                </c:pt>
              </c:strCache>
            </c:strRef>
          </c:cat>
          <c:val>
            <c:numRef>
              <c:f>Optimización_Estructura!$D$58:$G$58</c:f>
              <c:numCache>
                <c:formatCode>0%</c:formatCode>
                <c:ptCount val="4"/>
                <c:pt idx="0">
                  <c:v>-0.33333333333333337</c:v>
                </c:pt>
                <c:pt idx="1">
                  <c:v>-0.33333333333333337</c:v>
                </c:pt>
                <c:pt idx="2">
                  <c:v>-0.33333333333333337</c:v>
                </c:pt>
                <c:pt idx="3">
                  <c:v>-0.11111111111111116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2-4CD6-A66D-AF9C8B4B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00"/>
        <c:axId val="964975503"/>
        <c:axId val="672325919"/>
      </c:barChart>
      <c:catAx>
        <c:axId val="9649755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0"/>
        <c:lblAlgn val="ctr"/>
        <c:lblOffset val="150"/>
        <c:tickLblSkip val="1"/>
        <c:tickMarkSkip val="1"/>
        <c:noMultiLvlLbl val="0"/>
      </c:catAx>
      <c:valAx>
        <c:axId val="67232591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Optimización</a:t>
                </a:r>
                <a:r>
                  <a:rPr lang="es-AR" baseline="0"/>
                  <a:t> de recursos [%]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94477287783116E-2"/>
          <c:y val="9.8286940385809027E-2"/>
          <c:w val="0.94527567440651383"/>
          <c:h val="9.516124146225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r>
              <a:rPr lang="es-AR" sz="1800" b="1"/>
              <a:t>Resumen Económico de Propuestas</a:t>
            </a:r>
          </a:p>
          <a:p>
            <a:pPr>
              <a:defRPr/>
            </a:pPr>
            <a:r>
              <a:rPr lang="es-AR" sz="1600">
                <a:solidFill>
                  <a:srgbClr val="00B050"/>
                </a:solidFill>
              </a:rPr>
              <a:t>Reducción global: -362.391 USD/mes (-18,04%)</a:t>
            </a:r>
          </a:p>
        </c:rich>
      </c:tx>
      <c:layout>
        <c:manualLayout>
          <c:xMode val="edge"/>
          <c:yMode val="edge"/>
          <c:x val="0.24940895947328617"/>
          <c:y val="2.623860255804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xo" panose="00000500000000000000" pitchFamily="2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872548093167665"/>
          <c:y val="0.13789444934269171"/>
          <c:w val="0.76138440629156401"/>
          <c:h val="0.62427497959961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Resumen!$B$15</c:f>
              <c:strCache>
                <c:ptCount val="1"/>
                <c:pt idx="0">
                  <c:v>BARRANCAS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Resumen!$C$13:$G$14</c:f>
              <c:multiLvlStrCache>
                <c:ptCount val="5"/>
                <c:lvl>
                  <c:pt idx="0">
                    <c:v> $ 2.009.159 </c:v>
                  </c:pt>
                  <c:pt idx="1">
                    <c:v> $ 1.968.560 </c:v>
                  </c:pt>
                  <c:pt idx="2">
                    <c:v> $ 1.828.050 </c:v>
                  </c:pt>
                  <c:pt idx="3">
                    <c:v> $ 1.791.489 </c:v>
                  </c:pt>
                  <c:pt idx="4">
                    <c:v> $ 1.646.767 </c:v>
                  </c:pt>
                </c:lvl>
                <c:lvl>
                  <c:pt idx="0">
                    <c:v>Base</c:v>
                  </c:pt>
                  <c:pt idx="1">
                    <c:v>Optimización servicio                 (-2,02%)</c:v>
                  </c:pt>
                  <c:pt idx="2">
                    <c:v>Optimización consumo                                (-9,01%)</c:v>
                  </c:pt>
                  <c:pt idx="3">
                    <c:v>Descuento x area integral                                             (-10,83%)</c:v>
                  </c:pt>
                  <c:pt idx="4">
                    <c:v>Descuento x optimización de estructura                                          (-18,04%)</c:v>
                  </c:pt>
                </c:lvl>
              </c:multiLvlStrCache>
            </c:multiLvlStrRef>
          </c:cat>
          <c:val>
            <c:numRef>
              <c:f>Resumen!$C$15:$G$15</c:f>
              <c:numCache>
                <c:formatCode>_-"$"\ * #,##0_-;\-"$"\ * #,##0_-;_-"$"\ * "-"??_-;_-@_-</c:formatCode>
                <c:ptCount val="5"/>
                <c:pt idx="0">
                  <c:v>568759.44070722768</c:v>
                </c:pt>
                <c:pt idx="1">
                  <c:v>545391.03493152047</c:v>
                </c:pt>
                <c:pt idx="2">
                  <c:v>503841.52193152043</c:v>
                </c:pt>
                <c:pt idx="3">
                  <c:v>493764.69149289001</c:v>
                </c:pt>
                <c:pt idx="4">
                  <c:v>450390.75898056256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ADE-BB14-CBCABABD93A1}"/>
            </c:ext>
          </c:extLst>
        </c:ser>
        <c:ser>
          <c:idx val="1"/>
          <c:order val="1"/>
          <c:tx>
            <c:strRef>
              <c:f>Resumen!$B$16</c:f>
              <c:strCache>
                <c:ptCount val="1"/>
                <c:pt idx="0">
                  <c:v>LA VENTANA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Resumen!$C$13:$G$14</c:f>
              <c:multiLvlStrCache>
                <c:ptCount val="5"/>
                <c:lvl>
                  <c:pt idx="0">
                    <c:v> $ 2.009.159 </c:v>
                  </c:pt>
                  <c:pt idx="1">
                    <c:v> $ 1.968.560 </c:v>
                  </c:pt>
                  <c:pt idx="2">
                    <c:v> $ 1.828.050 </c:v>
                  </c:pt>
                  <c:pt idx="3">
                    <c:v> $ 1.791.489 </c:v>
                  </c:pt>
                  <c:pt idx="4">
                    <c:v> $ 1.646.767 </c:v>
                  </c:pt>
                </c:lvl>
                <c:lvl>
                  <c:pt idx="0">
                    <c:v>Base</c:v>
                  </c:pt>
                  <c:pt idx="1">
                    <c:v>Optimización servicio                 (-2,02%)</c:v>
                  </c:pt>
                  <c:pt idx="2">
                    <c:v>Optimización consumo                                (-9,01%)</c:v>
                  </c:pt>
                  <c:pt idx="3">
                    <c:v>Descuento x area integral                                             (-10,83%)</c:v>
                  </c:pt>
                  <c:pt idx="4">
                    <c:v>Descuento x optimización de estructura                                          (-18,04%)</c:v>
                  </c:pt>
                </c:lvl>
              </c:multiLvlStrCache>
            </c:multiLvlStrRef>
          </c:cat>
          <c:val>
            <c:numRef>
              <c:f>Resumen!$C$16:$G$16</c:f>
              <c:numCache>
                <c:formatCode>_-"$"\ * #,##0_-;\-"$"\ * #,##0_-;_-"$"\ * "-"??_-;_-@_-</c:formatCode>
                <c:ptCount val="5"/>
                <c:pt idx="0">
                  <c:v>342348.71700045618</c:v>
                </c:pt>
                <c:pt idx="1">
                  <c:v>339869.48828733456</c:v>
                </c:pt>
                <c:pt idx="2">
                  <c:v>323440.71478733461</c:v>
                </c:pt>
                <c:pt idx="3">
                  <c:v>316971.90049158793</c:v>
                </c:pt>
                <c:pt idx="4">
                  <c:v>287237.76364860928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D-4ADE-BB14-CBCABABD93A1}"/>
            </c:ext>
          </c:extLst>
        </c:ser>
        <c:ser>
          <c:idx val="2"/>
          <c:order val="2"/>
          <c:tx>
            <c:strRef>
              <c:f>Resumen!$B$17</c:f>
              <c:strCache>
                <c:ptCount val="1"/>
                <c:pt idx="0">
                  <c:v>MALARGUE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Resumen!$C$13:$G$14</c:f>
              <c:multiLvlStrCache>
                <c:ptCount val="5"/>
                <c:lvl>
                  <c:pt idx="0">
                    <c:v> $ 2.009.159 </c:v>
                  </c:pt>
                  <c:pt idx="1">
                    <c:v> $ 1.968.560 </c:v>
                  </c:pt>
                  <c:pt idx="2">
                    <c:v> $ 1.828.050 </c:v>
                  </c:pt>
                  <c:pt idx="3">
                    <c:v> $ 1.791.489 </c:v>
                  </c:pt>
                  <c:pt idx="4">
                    <c:v> $ 1.646.767 </c:v>
                  </c:pt>
                </c:lvl>
                <c:lvl>
                  <c:pt idx="0">
                    <c:v>Base</c:v>
                  </c:pt>
                  <c:pt idx="1">
                    <c:v>Optimización servicio                 (-2,02%)</c:v>
                  </c:pt>
                  <c:pt idx="2">
                    <c:v>Optimización consumo                                (-9,01%)</c:v>
                  </c:pt>
                  <c:pt idx="3">
                    <c:v>Descuento x area integral                                             (-10,83%)</c:v>
                  </c:pt>
                  <c:pt idx="4">
                    <c:v>Descuento x optimización de estructura                                          (-18,04%)</c:v>
                  </c:pt>
                </c:lvl>
              </c:multiLvlStrCache>
            </c:multiLvlStrRef>
          </c:cat>
          <c:val>
            <c:numRef>
              <c:f>Resumen!$C$17:$G$17</c:f>
              <c:numCache>
                <c:formatCode>_-"$"\ * #,##0_-;\-"$"\ * #,##0_-;_-"$"\ * "-"??_-;_-@_-</c:formatCode>
                <c:ptCount val="5"/>
                <c:pt idx="0">
                  <c:v>608759.4572009322</c:v>
                </c:pt>
                <c:pt idx="1">
                  <c:v>599776.44100220606</c:v>
                </c:pt>
                <c:pt idx="2">
                  <c:v>548786.12703948608</c:v>
                </c:pt>
                <c:pt idx="3">
                  <c:v>537810.40449869633</c:v>
                </c:pt>
                <c:pt idx="4">
                  <c:v>508519.91934961645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D-4ADE-BB14-CBCABABD93A1}"/>
            </c:ext>
          </c:extLst>
        </c:ser>
        <c:ser>
          <c:idx val="3"/>
          <c:order val="3"/>
          <c:tx>
            <c:strRef>
              <c:f>Resumen!$B$18</c:f>
              <c:strCache>
                <c:ptCount val="1"/>
                <c:pt idx="0">
                  <c:v>UGARTECHE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Resumen!$C$13:$G$14</c:f>
              <c:multiLvlStrCache>
                <c:ptCount val="5"/>
                <c:lvl>
                  <c:pt idx="0">
                    <c:v> $ 2.009.159 </c:v>
                  </c:pt>
                  <c:pt idx="1">
                    <c:v> $ 1.968.560 </c:v>
                  </c:pt>
                  <c:pt idx="2">
                    <c:v> $ 1.828.050 </c:v>
                  </c:pt>
                  <c:pt idx="3">
                    <c:v> $ 1.791.489 </c:v>
                  </c:pt>
                  <c:pt idx="4">
                    <c:v> $ 1.646.767 </c:v>
                  </c:pt>
                </c:lvl>
                <c:lvl>
                  <c:pt idx="0">
                    <c:v>Base</c:v>
                  </c:pt>
                  <c:pt idx="1">
                    <c:v>Optimización servicio                 (-2,02%)</c:v>
                  </c:pt>
                  <c:pt idx="2">
                    <c:v>Optimización consumo                                (-9,01%)</c:v>
                  </c:pt>
                  <c:pt idx="3">
                    <c:v>Descuento x area integral                                             (-10,83%)</c:v>
                  </c:pt>
                  <c:pt idx="4">
                    <c:v>Descuento x optimización de estructura                                          (-18,04%)</c:v>
                  </c:pt>
                </c:lvl>
              </c:multiLvlStrCache>
            </c:multiLvlStrRef>
          </c:cat>
          <c:val>
            <c:numRef>
              <c:f>Resumen!$C$18:$G$18</c:f>
              <c:numCache>
                <c:formatCode>_-"$"\ * #,##0_-;\-"$"\ * #,##0_-;_-"$"\ * "-"??_-;_-@_-</c:formatCode>
                <c:ptCount val="5"/>
                <c:pt idx="0">
                  <c:v>86478.174326177861</c:v>
                </c:pt>
                <c:pt idx="1">
                  <c:v>84227.883399628277</c:v>
                </c:pt>
                <c:pt idx="2">
                  <c:v>77669.152399628292</c:v>
                </c:pt>
                <c:pt idx="3">
                  <c:v>76115.769351635739</c:v>
                </c:pt>
                <c:pt idx="4">
                  <c:v>67100.092352302105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D-4ADE-BB14-CBCABABD93A1}"/>
            </c:ext>
          </c:extLst>
        </c:ser>
        <c:ser>
          <c:idx val="4"/>
          <c:order val="4"/>
          <c:tx>
            <c:strRef>
              <c:f>Resumen!$B$19</c:f>
              <c:strCache>
                <c:ptCount val="1"/>
                <c:pt idx="0">
                  <c:v>VIZCACHERAS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Resumen!$C$13:$G$14</c:f>
              <c:multiLvlStrCache>
                <c:ptCount val="5"/>
                <c:lvl>
                  <c:pt idx="0">
                    <c:v> $ 2.009.159 </c:v>
                  </c:pt>
                  <c:pt idx="1">
                    <c:v> $ 1.968.560 </c:v>
                  </c:pt>
                  <c:pt idx="2">
                    <c:v> $ 1.828.050 </c:v>
                  </c:pt>
                  <c:pt idx="3">
                    <c:v> $ 1.791.489 </c:v>
                  </c:pt>
                  <c:pt idx="4">
                    <c:v> $ 1.646.767 </c:v>
                  </c:pt>
                </c:lvl>
                <c:lvl>
                  <c:pt idx="0">
                    <c:v>Base</c:v>
                  </c:pt>
                  <c:pt idx="1">
                    <c:v>Optimización servicio                 (-2,02%)</c:v>
                  </c:pt>
                  <c:pt idx="2">
                    <c:v>Optimización consumo                                (-9,01%)</c:v>
                  </c:pt>
                  <c:pt idx="3">
                    <c:v>Descuento x area integral                                             (-10,83%)</c:v>
                  </c:pt>
                  <c:pt idx="4">
                    <c:v>Descuento x optimización de estructura                                          (-18,04%)</c:v>
                  </c:pt>
                </c:lvl>
              </c:multiLvlStrCache>
            </c:multiLvlStrRef>
          </c:cat>
          <c:val>
            <c:numRef>
              <c:f>Resumen!$C$19:$G$19</c:f>
              <c:numCache>
                <c:formatCode>_-"$"\ * #,##0_-;\-"$"\ * #,##0_-;_-"$"\ * "-"??_-;_-@_-</c:formatCode>
                <c:ptCount val="5"/>
                <c:pt idx="0">
                  <c:v>402812.82262356067</c:v>
                </c:pt>
                <c:pt idx="1">
                  <c:v>399294.9980981854</c:v>
                </c:pt>
                <c:pt idx="2">
                  <c:v>374312.93609818537</c:v>
                </c:pt>
                <c:pt idx="3">
                  <c:v>366826.67737622163</c:v>
                </c:pt>
                <c:pt idx="4">
                  <c:v>333518.79436784802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D-4ADE-BB14-CBCABABD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547007"/>
        <c:axId val="1228452895"/>
      </c:barChart>
      <c:catAx>
        <c:axId val="38754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1228452895"/>
        <c:crosses val="autoZero"/>
        <c:auto val="1"/>
        <c:lblAlgn val="ctr"/>
        <c:lblOffset val="100"/>
        <c:noMultiLvlLbl val="0"/>
      </c:catAx>
      <c:valAx>
        <c:axId val="12284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xo" panose="00000500000000000000" pitchFamily="2" charset="0"/>
                    <a:ea typeface="+mn-ea"/>
                    <a:cs typeface="+mn-cs"/>
                  </a:defRPr>
                </a:pPr>
                <a:r>
                  <a:rPr lang="es-AR" sz="1100" b="1"/>
                  <a:t>Costo global PQ + Servicio [KUSD/mes]</a:t>
                </a:r>
              </a:p>
            </c:rich>
          </c:tx>
          <c:layout>
            <c:manualLayout>
              <c:xMode val="edge"/>
              <c:yMode val="edge"/>
              <c:x val="1.0736614363272806E-2"/>
              <c:y val="0.24741823785788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xo" panose="00000500000000000000" pitchFamily="2" charset="0"/>
                  <a:ea typeface="+mn-ea"/>
                  <a:cs typeface="+mn-cs"/>
                </a:defRPr>
              </a:pPr>
              <a:endParaRPr lang="es-AR"/>
            </a:p>
          </c:txPr>
        </c:title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xo" panose="00000500000000000000" pitchFamily="2" charset="0"/>
                <a:ea typeface="+mn-ea"/>
                <a:cs typeface="+mn-cs"/>
              </a:defRPr>
            </a:pPr>
            <a:endParaRPr lang="es-AR"/>
          </a:p>
        </c:txPr>
        <c:crossAx val="38754700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2721002223003"/>
          <c:y val="0.2190476886444879"/>
          <c:w val="0.12389074716583909"/>
          <c:h val="0.71268550827898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xo" panose="00000500000000000000" pitchFamily="2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xo" panose="00000500000000000000" pitchFamily="2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Propuesta</a:t>
            </a:r>
            <a:r>
              <a:rPr lang="en-US" sz="1200" b="1" baseline="0"/>
              <a:t> Integral  Tratamientos Químicos Mendoza</a:t>
            </a:r>
            <a:endParaRPr lang="en-US" sz="1200" b="1"/>
          </a:p>
        </c:rich>
      </c:tx>
      <c:layout>
        <c:manualLayout>
          <c:xMode val="edge"/>
          <c:yMode val="edge"/>
          <c:x val="0.1444284399205779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3975833324699153"/>
          <c:y val="0.38264127270607712"/>
          <c:w val="0.50279747478088443"/>
          <c:h val="0.52908776482211284"/>
        </c:manualLayout>
      </c:layout>
      <c:pieChart>
        <c:varyColors val="1"/>
        <c:ser>
          <c:idx val="0"/>
          <c:order val="0"/>
          <c:tx>
            <c:strRef>
              <c:f>Base!$D$14:$E$14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F6-4A69-8F64-0689AF36F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F6-4A69-8F64-0689AF36FB2D}"/>
              </c:ext>
            </c:extLst>
          </c:dPt>
          <c:dLbls>
            <c:dLbl>
              <c:idx val="0"/>
              <c:layout>
                <c:manualLayout>
                  <c:x val="-0.17688369279423094"/>
                  <c:y val="-0.23677032130477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906580282345709"/>
                      <c:h val="0.191481661951915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F6-4A69-8F64-0689AF36FB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F6-4A69-8F64-0689AF36F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Base!$D$14:$E$14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cat>
          <c:val>
            <c:numRef>
              <c:f>Base!$D$15:$E$15</c:f>
              <c:numCache>
                <c:formatCode>_-[$USD]\ * #,##0_-;\-[$USD]\ * #,##0_-;_-[$USD]\ * "-"_-;_-@_-</c:formatCode>
                <c:ptCount val="2"/>
                <c:pt idx="0">
                  <c:v>1498255.3009635999</c:v>
                </c:pt>
                <c:pt idx="1">
                  <c:v>510903.31089475466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6-4A69-8F64-0689AF36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95017386584713"/>
          <c:y val="0.88882775880042642"/>
          <c:w val="0.52209965226830568"/>
          <c:h val="8.986989634815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Propuesta</a:t>
            </a:r>
            <a:r>
              <a:rPr lang="es-AR" b="1" baseline="0"/>
              <a:t> Optimización de Scio: Frecuencia y Tarifa Única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 Productos Químicos: 1,498 MUSD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</a:t>
            </a:r>
            <a:r>
              <a:rPr lang="es-AR" sz="1100" b="1" baseline="0">
                <a:solidFill>
                  <a:schemeClr val="bg1">
                    <a:lumMod val="50000"/>
                  </a:schemeClr>
                </a:solidFill>
              </a:rPr>
              <a:t> Servicios: 470.305 kUSD</a:t>
            </a:r>
            <a:endParaRPr lang="es-AR" sz="1100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61781692563277"/>
          <c:y val="0.21550796128699942"/>
          <c:w val="0.73763758975913218"/>
          <c:h val="0.6192535389773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Optimización_Scio!$C$6</c:f>
              <c:strCache>
                <c:ptCount val="1"/>
                <c:pt idx="0">
                  <c:v>Servicio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Optimización_Scio!$D$6:$I$6</c:f>
              <c:numCache>
                <c:formatCode>_-[$USD]\ * #,##0.00_-;\-[$USD]\ * #,##0.00_-;_-[$USD]\ * "-"_-;_-@_-</c:formatCode>
                <c:ptCount val="5"/>
                <c:pt idx="0">
                  <c:v>52.013548339477126</c:v>
                </c:pt>
                <c:pt idx="1">
                  <c:v>18.181010562891846</c:v>
                </c:pt>
                <c:pt idx="2">
                  <c:v>18.238245009534854</c:v>
                </c:pt>
                <c:pt idx="3">
                  <c:v>5.0087120623200203</c:v>
                </c:pt>
                <c:pt idx="4">
                  <c:v>25.797379852751941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EF5-A90A-ABE4A00257E7}"/>
            </c:ext>
          </c:extLst>
        </c:ser>
        <c:ser>
          <c:idx val="1"/>
          <c:order val="1"/>
          <c:tx>
            <c:strRef>
              <c:f>Optimización_Scio!$C$7</c:f>
              <c:strCache>
                <c:ptCount val="1"/>
                <c:pt idx="0">
                  <c:v>Servicio OyM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Optimización_Scio!$D$7:$I$7</c:f>
              <c:numCache>
                <c:formatCode>_-[$USD]\ * #,##0.00_-;\-[$USD]\ * #,##0.00_-;_-[$USD]\ * "-"_-;_-@_-</c:formatCode>
                <c:ptCount val="5"/>
                <c:pt idx="0">
                  <c:v>88.939046592043383</c:v>
                </c:pt>
                <c:pt idx="1">
                  <c:v>78.446237724442767</c:v>
                </c:pt>
                <c:pt idx="2">
                  <c:v>76.947265029071232</c:v>
                </c:pt>
                <c:pt idx="3">
                  <c:v>24.289601337308273</c:v>
                </c:pt>
                <c:pt idx="4">
                  <c:v>82.44349824543346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EF5-A90A-ABE4A00257E7}"/>
            </c:ext>
          </c:extLst>
        </c:ser>
        <c:ser>
          <c:idx val="3"/>
          <c:order val="2"/>
          <c:tx>
            <c:strRef>
              <c:f>Optimización_Scio!$C$8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Optimización_Scio!$D$8:$I$8</c:f>
              <c:numCache>
                <c:formatCode>_-[$USD]\ * #,##0_-;\-[$USD]\ * #,##0_-;_-[$USD]\ * "-"_-;_-@_-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E46-4EF5-A90A-ABE4A00257E7}"/>
            </c:ext>
          </c:extLst>
        </c:ser>
        <c:ser>
          <c:idx val="4"/>
          <c:order val="3"/>
          <c:tx>
            <c:strRef>
              <c:f>Optimización_Scio!$C$9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Optimización_Scio!$D$9:$H$9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7E46-4EF5-A90A-ABE4A00257E7}"/>
            </c:ext>
          </c:extLst>
        </c:ser>
        <c:ser>
          <c:idx val="6"/>
          <c:order val="4"/>
          <c:tx>
            <c:strRef>
              <c:f>Optimización_Scio!$C$10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Optimización_Scio!$D$10:$H$10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E46-4EF5-A90A-ABE4A00257E7}"/>
            </c:ext>
          </c:extLst>
        </c:ser>
        <c:ser>
          <c:idx val="7"/>
          <c:order val="5"/>
          <c:tx>
            <c:strRef>
              <c:f>Optimización_Scio!$C$11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7E46-4EF5-A90A-ABE4A002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964975503"/>
        <c:axId val="672325919"/>
      </c:barChart>
      <c:barChart>
        <c:barDir val="col"/>
        <c:grouping val="clustered"/>
        <c:varyColors val="0"/>
        <c:ser>
          <c:idx val="8"/>
          <c:order val="6"/>
          <c:tx>
            <c:strRef>
              <c:f>Optimización_Scio!$C$11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7E46-4EF5-A90A-ABE4A00257E7}"/>
            </c:ext>
          </c:extLst>
        </c:ser>
        <c:ser>
          <c:idx val="2"/>
          <c:order val="7"/>
          <c:tx>
            <c:strRef>
              <c:f>Optimización_Scio!$C$12</c:f>
              <c:strCache>
                <c:ptCount val="1"/>
                <c:pt idx="0">
                  <c:v>Producto químico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307503544682431E-2"/>
                  <c:y val="3.2277777526759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46-4EF5-A90A-ABE4A00257E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Optimización_Scio!$D$4:$I$4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Optimización_Scio!$D$12:$I$12</c:f>
              <c:numCache>
                <c:formatCode>_-[$USD]\ * #,##0_-;\-[$USD]\ * #,##0_-;_-[$USD]\ * "-"_-;_-@_-</c:formatCode>
                <c:ptCount val="5"/>
                <c:pt idx="0">
                  <c:v>404.43844000000001</c:v>
                </c:pt>
                <c:pt idx="1">
                  <c:v>243.24223999999998</c:v>
                </c:pt>
                <c:pt idx="2">
                  <c:v>504.59093096359999</c:v>
                </c:pt>
                <c:pt idx="3">
                  <c:v>54.929569999999991</c:v>
                </c:pt>
                <c:pt idx="4">
                  <c:v>291.05412000000001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46-4EF5-A90A-ABE4A002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28"/>
        <c:axId val="926717871"/>
        <c:axId val="378974191"/>
      </c:barChart>
      <c:catAx>
        <c:axId val="9649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1"/>
        <c:lblAlgn val="ctr"/>
        <c:lblOffset val="100"/>
        <c:noMultiLvlLbl val="0"/>
      </c:catAx>
      <c:valAx>
        <c:axId val="672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Servicios [KUSD]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.00_-;\-[$USD]\ * #,##0.0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 val="autoZero"/>
        <c:crossBetween val="between"/>
      </c:valAx>
      <c:valAx>
        <c:axId val="37897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Productos</a:t>
                </a:r>
                <a:r>
                  <a:rPr lang="es-AR" baseline="0"/>
                  <a:t> Químicos [KUSD]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USD]\ #,##0;\-[$USD]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6717871"/>
        <c:crosses val="max"/>
        <c:crossBetween val="between"/>
      </c:valAx>
      <c:catAx>
        <c:axId val="92671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Propuesta</a:t>
            </a:r>
            <a:r>
              <a:rPr lang="en-US" sz="1200" b="1" baseline="0"/>
              <a:t> Integral  Tratamientos Químicos Mendoza</a:t>
            </a:r>
            <a:endParaRPr lang="en-US" sz="1200" b="1"/>
          </a:p>
        </c:rich>
      </c:tx>
      <c:layout>
        <c:manualLayout>
          <c:xMode val="edge"/>
          <c:yMode val="edge"/>
          <c:x val="0.18997722967108552"/>
          <c:y val="5.55555089625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7012426506952758"/>
          <c:y val="0.25143308589625424"/>
          <c:w val="0.4724315789964143"/>
          <c:h val="0.5952571251730816"/>
        </c:manualLayout>
      </c:layout>
      <c:pieChart>
        <c:varyColors val="1"/>
        <c:ser>
          <c:idx val="0"/>
          <c:order val="0"/>
          <c:tx>
            <c:strRef>
              <c:f>Optimización_Scio!$D$14:$E$14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8-49EA-90FE-84EE2088B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8-49EA-90FE-84EE2088B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Optimización_Scio!$D$14:$E$14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cat>
          <c:val>
            <c:numRef>
              <c:f>Optimización_Scio!$D$16:$E$16</c:f>
              <c:numCache>
                <c:formatCode>_-[$USD]\ * #,##0_-;\-[$USD]\ * #,##0_-;_-[$USD]\ * "-"_-;_-@_-</c:formatCode>
                <c:ptCount val="2"/>
                <c:pt idx="0">
                  <c:v>1498255.3009635999</c:v>
                </c:pt>
                <c:pt idx="1">
                  <c:v>470304.54475527495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8-49EA-90FE-84EE2088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Variación de costo de servicio </a:t>
            </a:r>
          </a:p>
          <a:p>
            <a:pPr>
              <a:defRPr/>
            </a:pPr>
            <a:r>
              <a:rPr lang="es-AR" sz="1200" b="1"/>
              <a:t>Optimización</a:t>
            </a:r>
            <a:r>
              <a:rPr lang="es-AR" sz="1200" b="1" baseline="0"/>
              <a:t> de servicio: -7,95% respecto de oferta base</a:t>
            </a:r>
            <a:endParaRPr lang="es-AR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084149168853893"/>
          <c:y val="0.24537037037037038"/>
          <c:w val="0.7138073053368329"/>
          <c:h val="0.57778579760863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Optimización_Scio!$C$15:$C$16</c:f>
              <c:strCache>
                <c:ptCount val="2"/>
                <c:pt idx="0">
                  <c:v>Oferta Base</c:v>
                </c:pt>
                <c:pt idx="1">
                  <c:v>Optimización de servicio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9-467C-9ED4-9D10BA9478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Optimización_Scio!$C$15:$C$16</c:f>
              <c:strCache>
                <c:ptCount val="2"/>
                <c:pt idx="0">
                  <c:v>Oferta Base</c:v>
                </c:pt>
                <c:pt idx="1">
                  <c:v>Optimización de servicio</c:v>
                </c:pt>
              </c:strCache>
            </c:strRef>
          </c:cat>
          <c:val>
            <c:numRef>
              <c:f>Optimización_Scio!$E$15:$E$16</c:f>
              <c:numCache>
                <c:formatCode>_-[$USD]\ * #,##0_-;\-[$USD]\ * #,##0_-;_-[$USD]\ * "-"_-;_-@_-</c:formatCode>
                <c:ptCount val="2"/>
                <c:pt idx="0">
                  <c:v>510903.31089475466</c:v>
                </c:pt>
                <c:pt idx="1">
                  <c:v>470304.54475527495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9-467C-9ED4-9D10BA94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198399"/>
        <c:axId val="1535369951"/>
      </c:barChart>
      <c:catAx>
        <c:axId val="156119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5369951"/>
        <c:crosses val="autoZero"/>
        <c:auto val="1"/>
        <c:lblAlgn val="ctr"/>
        <c:lblOffset val="100"/>
        <c:noMultiLvlLbl val="0"/>
      </c:catAx>
      <c:valAx>
        <c:axId val="1535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Costo</a:t>
                </a:r>
                <a:r>
                  <a:rPr lang="es-AR" baseline="0"/>
                  <a:t> servicio [USD/mes]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_-;\-[$USD]\ * #,##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11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Propuesta</a:t>
            </a:r>
            <a:r>
              <a:rPr lang="es-AR" b="1" baseline="0"/>
              <a:t> Optimización de Consumo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 Productos Químicos: 1,357 MUSD</a:t>
            </a:r>
          </a:p>
          <a:p>
            <a:pPr>
              <a:defRPr/>
            </a:pPr>
            <a:r>
              <a:rPr lang="es-AR" sz="1100" b="1">
                <a:solidFill>
                  <a:schemeClr val="bg1">
                    <a:lumMod val="50000"/>
                  </a:schemeClr>
                </a:solidFill>
              </a:rPr>
              <a:t>Total</a:t>
            </a:r>
            <a:r>
              <a:rPr lang="es-AR" sz="1100" b="1" baseline="0">
                <a:solidFill>
                  <a:schemeClr val="bg1">
                    <a:lumMod val="50000"/>
                  </a:schemeClr>
                </a:solidFill>
              </a:rPr>
              <a:t> Servicios: 470,305 kUSD</a:t>
            </a:r>
            <a:endParaRPr lang="es-AR" sz="1100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461781692563277"/>
          <c:y val="0.21550796128699942"/>
          <c:w val="0.73763758975913218"/>
          <c:h val="0.61925353897732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Optimizacion_consumo!$C$6</c:f>
              <c:strCache>
                <c:ptCount val="1"/>
                <c:pt idx="0">
                  <c:v>Servicio 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Optimizacion_consumo!$D$6:$H$6</c:f>
              <c:numCache>
                <c:formatCode>_-[$USD]\ * #,##0.00_-;\-[$USD]\ * #,##0.00_-;_-[$USD]\ * "-"_-;_-@_-</c:formatCode>
                <c:ptCount val="5"/>
                <c:pt idx="0">
                  <c:v>52.013548339477126</c:v>
                </c:pt>
                <c:pt idx="1">
                  <c:v>18.181010562891846</c:v>
                </c:pt>
                <c:pt idx="2">
                  <c:v>18.238245009534854</c:v>
                </c:pt>
                <c:pt idx="3">
                  <c:v>5.0087120623200203</c:v>
                </c:pt>
                <c:pt idx="4">
                  <c:v>25.797379852751941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A79-BEEA-EB2AAE77F4C2}"/>
            </c:ext>
          </c:extLst>
        </c:ser>
        <c:ser>
          <c:idx val="1"/>
          <c:order val="1"/>
          <c:tx>
            <c:strRef>
              <c:f>Optimizacion_consumo!$C$7</c:f>
              <c:strCache>
                <c:ptCount val="1"/>
                <c:pt idx="0">
                  <c:v>Servicio OyM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Optimizacion_consumo!$D$7:$H$7</c:f>
              <c:numCache>
                <c:formatCode>_-[$USD]\ * #,##0.00_-;\-[$USD]\ * #,##0.00_-;_-[$USD]\ * "-"_-;_-@_-</c:formatCode>
                <c:ptCount val="5"/>
                <c:pt idx="0">
                  <c:v>88.939046592043383</c:v>
                </c:pt>
                <c:pt idx="1">
                  <c:v>78.446237724442767</c:v>
                </c:pt>
                <c:pt idx="2">
                  <c:v>76.947265029071232</c:v>
                </c:pt>
                <c:pt idx="3">
                  <c:v>24.289601337308273</c:v>
                </c:pt>
                <c:pt idx="4">
                  <c:v>82.44349824543346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B-4A79-BEEA-EB2AAE77F4C2}"/>
            </c:ext>
          </c:extLst>
        </c:ser>
        <c:ser>
          <c:idx val="3"/>
          <c:order val="2"/>
          <c:tx>
            <c:strRef>
              <c:f>Optimizacion_consumo!$C$8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Optimizacion_consumo!$D$8:$H$8</c:f>
              <c:numCache>
                <c:formatCode>_-[$USD]\ * #,##0_-;\-[$USD]\ * #,##0_-;_-[$USD]\ * "-"_-;_-@_-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C6B-4A79-BEEA-EB2AAE77F4C2}"/>
            </c:ext>
          </c:extLst>
        </c:ser>
        <c:ser>
          <c:idx val="4"/>
          <c:order val="3"/>
          <c:tx>
            <c:strRef>
              <c:f>Optimizacion_consumo!$C$9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Optimizacion_consumo!$D$9:$H$9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C6B-4A79-BEEA-EB2AAE77F4C2}"/>
            </c:ext>
          </c:extLst>
        </c:ser>
        <c:ser>
          <c:idx val="6"/>
          <c:order val="4"/>
          <c:tx>
            <c:strRef>
              <c:f>Optimizacion_consumo!$C$10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Optimizacion_consumo!$D$10:$H$10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DC6B-4A79-BEEA-EB2AAE77F4C2}"/>
            </c:ext>
          </c:extLst>
        </c:ser>
        <c:ser>
          <c:idx val="7"/>
          <c:order val="5"/>
          <c:tx>
            <c:strRef>
              <c:f>Optimizacion_consumo!$C$11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DC6B-4A79-BEEA-EB2AAE77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7"/>
        <c:axId val="964975503"/>
        <c:axId val="672325919"/>
      </c:barChart>
      <c:barChart>
        <c:barDir val="col"/>
        <c:grouping val="clustered"/>
        <c:varyColors val="0"/>
        <c:ser>
          <c:idx val="8"/>
          <c:order val="6"/>
          <c:tx>
            <c:strRef>
              <c:f>Optimizacion_consumo!$C$11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Optimizacion_consumo!$D$11:$H$11</c:f>
              <c:numCache>
                <c:formatCode>[$ARS]\ #,##0;\-[$ARS]\ 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DC6B-4A79-BEEA-EB2AAE77F4C2}"/>
            </c:ext>
          </c:extLst>
        </c:ser>
        <c:ser>
          <c:idx val="2"/>
          <c:order val="7"/>
          <c:tx>
            <c:strRef>
              <c:f>Optimizacion_consumo!$C$12</c:f>
              <c:strCache>
                <c:ptCount val="1"/>
                <c:pt idx="0">
                  <c:v>Producto químico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307503544682431E-2"/>
                  <c:y val="3.2277777526759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6B-4A79-BEEA-EB2AAE77F4C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Optimizacion_consumo!$D$4:$H$4</c:f>
              <c:strCache>
                <c:ptCount val="5"/>
                <c:pt idx="0">
                  <c:v>BARRANCAS</c:v>
                </c:pt>
                <c:pt idx="1">
                  <c:v>LA VENTANA</c:v>
                </c:pt>
                <c:pt idx="2">
                  <c:v>MALARGÜE</c:v>
                </c:pt>
                <c:pt idx="3">
                  <c:v>UGARTECHE</c:v>
                </c:pt>
                <c:pt idx="4">
                  <c:v>VIZCACHERAS</c:v>
                </c:pt>
              </c:strCache>
            </c:strRef>
          </c:cat>
          <c:val>
            <c:numRef>
              <c:f>Optimizacion_consumo!$D$12:$H$12</c:f>
              <c:numCache>
                <c:formatCode>_-[$USD]\ * #,##0_-;\-[$USD]\ * #,##0_-;_-[$USD]\ * "-"_-;_-@_-</c:formatCode>
                <c:ptCount val="5"/>
                <c:pt idx="0">
                  <c:v>362.88892699999997</c:v>
                </c:pt>
                <c:pt idx="1">
                  <c:v>226.8134665</c:v>
                </c:pt>
                <c:pt idx="2">
                  <c:v>453.60061700087994</c:v>
                </c:pt>
                <c:pt idx="3">
                  <c:v>48.370839000000004</c:v>
                </c:pt>
                <c:pt idx="4">
                  <c:v>266.07205799999997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6B-4A79-BEEA-EB2AAE77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28"/>
        <c:axId val="926717871"/>
        <c:axId val="378974191"/>
      </c:barChart>
      <c:catAx>
        <c:axId val="9649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325919"/>
        <c:crosses val="autoZero"/>
        <c:auto val="1"/>
        <c:lblAlgn val="ctr"/>
        <c:lblOffset val="100"/>
        <c:noMultiLvlLbl val="0"/>
      </c:catAx>
      <c:valAx>
        <c:axId val="672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Servicios [KUSD]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USD]\ * #,##0.00_-;\-[$USD]\ * #,##0.00_-;_-[$USD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4975503"/>
        <c:crosses val="autoZero"/>
        <c:crossBetween val="between"/>
      </c:valAx>
      <c:valAx>
        <c:axId val="37897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Productos</a:t>
                </a:r>
                <a:r>
                  <a:rPr lang="es-AR" baseline="0"/>
                  <a:t> Químicos [KUSD]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USD]\ #,##0;\-[$USD]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6717871"/>
        <c:crosses val="max"/>
        <c:crossBetween val="between"/>
      </c:valAx>
      <c:catAx>
        <c:axId val="92671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Propuesta</a:t>
            </a:r>
            <a:r>
              <a:rPr lang="en-US" sz="1200" b="1" baseline="0"/>
              <a:t> Integral  Tratamientos Químicos Mendoza</a:t>
            </a:r>
            <a:endParaRPr lang="en-US" sz="1200" b="1"/>
          </a:p>
        </c:rich>
      </c:tx>
      <c:layout>
        <c:manualLayout>
          <c:xMode val="edge"/>
          <c:yMode val="edge"/>
          <c:x val="0.1444284399205779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7012426506952758"/>
          <c:y val="0.25143308589625424"/>
          <c:w val="0.4724315789964143"/>
          <c:h val="0.5952571251730816"/>
        </c:manualLayout>
      </c:layout>
      <c:pieChart>
        <c:varyColors val="1"/>
        <c:ser>
          <c:idx val="0"/>
          <c:order val="0"/>
          <c:tx>
            <c:strRef>
              <c:f>Optimizacion_consumo!$D$14:$E$14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6-40B3-9542-6CF790108D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6-40B3-9542-6CF790108D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Optimizacion_consumo!$D$14:$E$14</c:f>
              <c:strCache>
                <c:ptCount val="2"/>
                <c:pt idx="0">
                  <c:v>Químicos</c:v>
                </c:pt>
                <c:pt idx="1">
                  <c:v>Servicios</c:v>
                </c:pt>
              </c:strCache>
            </c:strRef>
          </c:cat>
          <c:val>
            <c:numRef>
              <c:f>Optimizacion_consumo!$D$17:$E$17</c:f>
              <c:numCache>
                <c:formatCode>_-[$USD]\ * #,##0_-;\-[$USD]\ * #,##0_-;_-[$USD]\ * "-"_-;_-@_-</c:formatCode>
                <c:ptCount val="2"/>
                <c:pt idx="0">
                  <c:v>1357745.9075008798</c:v>
                </c:pt>
                <c:pt idx="1">
                  <c:v>470304.54475527495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6-40B3-9542-6CF79010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OPTIMIZACIÓN DE CONSUMO POR AREA</a:t>
            </a:r>
          </a:p>
          <a:p>
            <a:pPr>
              <a:defRPr/>
            </a:pPr>
            <a:r>
              <a:rPr lang="en-US" sz="1200" b="1" baseline="0"/>
              <a:t>Base: 1,498 MUSD      -     Optimización: 1,357 MUSD     -     Ahorro: 140.509 USD/mes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0332204646536047E-2"/>
          <c:y val="0.12441833519867077"/>
          <c:w val="0.9226010608351054"/>
          <c:h val="0.33104899345734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Optimizacion_consumo!$F$40</c:f>
              <c:strCache>
                <c:ptCount val="1"/>
                <c:pt idx="0">
                  <c:v>Optimización proyectada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Optimizacion_consumo!$D$41:$E$63</c:f>
              <c:multiLvlStrCache>
                <c:ptCount val="23"/>
                <c:lvl>
                  <c:pt idx="0">
                    <c:v>Desemulsionates</c:v>
                  </c:pt>
                  <c:pt idx="1">
                    <c:v>Bactericidas</c:v>
                  </c:pt>
                  <c:pt idx="2">
                    <c:v>Dispersante de parafinas y/o asfaltenos</c:v>
                  </c:pt>
                  <c:pt idx="3">
                    <c:v>Desemulsionates</c:v>
                  </c:pt>
                  <c:pt idx="4">
                    <c:v>Bactericidas</c:v>
                  </c:pt>
                  <c:pt idx="5">
                    <c:v>Inhibidor de corrosión</c:v>
                  </c:pt>
                  <c:pt idx="6">
                    <c:v>Inhibidor de Incrustaciones</c:v>
                  </c:pt>
                  <c:pt idx="7">
                    <c:v>Mejorador de flujo y de Parafinas</c:v>
                  </c:pt>
                  <c:pt idx="8">
                    <c:v>Reductor de Viscocidad</c:v>
                  </c:pt>
                  <c:pt idx="9">
                    <c:v>Dispersante de parafinas y/o asfaltenos</c:v>
                  </c:pt>
                  <c:pt idx="10">
                    <c:v>Inhibidor de corrosión</c:v>
                  </c:pt>
                  <c:pt idx="11">
                    <c:v>Bactericidas</c:v>
                  </c:pt>
                  <c:pt idx="12">
                    <c:v>Humectante/Secante</c:v>
                  </c:pt>
                  <c:pt idx="13">
                    <c:v>Inhibidor de Incrustaciones</c:v>
                  </c:pt>
                  <c:pt idx="14">
                    <c:v>Desemulsionantes</c:v>
                  </c:pt>
                  <c:pt idx="15">
                    <c:v>Bactericidas</c:v>
                  </c:pt>
                  <c:pt idx="16">
                    <c:v>Dispersante de parafinas y/o asfaltenos</c:v>
                  </c:pt>
                  <c:pt idx="17">
                    <c:v>Inhibidor de Incrustaciones</c:v>
                  </c:pt>
                  <c:pt idx="18">
                    <c:v>Inhibidor de corrosión</c:v>
                  </c:pt>
                  <c:pt idx="19">
                    <c:v>Inhibidor de corrosión</c:v>
                  </c:pt>
                  <c:pt idx="20">
                    <c:v>Bactericidas</c:v>
                  </c:pt>
                  <c:pt idx="21">
                    <c:v>Inhibidor de Incrustaciones</c:v>
                  </c:pt>
                  <c:pt idx="22">
                    <c:v>Desemulsionates</c:v>
                  </c:pt>
                </c:lvl>
                <c:lvl>
                  <c:pt idx="0">
                    <c:v>Ugarteche (-6,5 KUSD)</c:v>
                  </c:pt>
                  <c:pt idx="3">
                    <c:v>Barrancas (-41,5 kUSD)</c:v>
                  </c:pt>
                  <c:pt idx="10">
                    <c:v>La Ventana (-16,4 KUSD)</c:v>
                  </c:pt>
                  <c:pt idx="14">
                    <c:v>Malargüe (-50,9 KUSD)</c:v>
                  </c:pt>
                  <c:pt idx="19">
                    <c:v>Viscacheras (-24,982 KUSD)</c:v>
                  </c:pt>
                </c:lvl>
              </c:multiLvlStrCache>
            </c:multiLvlStrRef>
          </c:cat>
          <c:val>
            <c:numRef>
              <c:f>Optimizacion_consumo!$F$41:$F$63</c:f>
              <c:numCache>
                <c:formatCode>0%</c:formatCode>
                <c:ptCount val="23"/>
                <c:pt idx="0">
                  <c:v>0.15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0.15</c:v>
                </c:pt>
                <c:pt idx="13">
                  <c:v>0.15</c:v>
                </c:pt>
                <c:pt idx="14">
                  <c:v>0.2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C0-A81B-37610DC7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13999"/>
        <c:axId val="1586511471"/>
      </c:barChart>
      <c:catAx>
        <c:axId val="18182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6511471"/>
        <c:crosses val="autoZero"/>
        <c:auto val="1"/>
        <c:lblAlgn val="ctr"/>
        <c:lblOffset val="100"/>
        <c:noMultiLvlLbl val="0"/>
      </c:catAx>
      <c:valAx>
        <c:axId val="1586511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100" b="1"/>
                  <a:t>Optimización</a:t>
                </a:r>
                <a:r>
                  <a:rPr lang="es-AR" sz="1100" b="1" baseline="0"/>
                  <a:t> de consumo</a:t>
                </a:r>
                <a:endParaRPr lang="es-AR" sz="1100" b="1"/>
              </a:p>
            </c:rich>
          </c:tx>
          <c:layout>
            <c:manualLayout>
              <c:xMode val="edge"/>
              <c:yMode val="edge"/>
              <c:x val="1.2913428072409422E-2"/>
              <c:y val="0.1259433642165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crossAx val="18182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Costo del Tratamiento vs duración (recambio de capsulas)</a:t>
            </a:r>
          </a:p>
          <a:p>
            <a:pPr>
              <a:defRPr/>
            </a:pPr>
            <a:r>
              <a:rPr lang="en-US" sz="1100" b="1" baseline="0"/>
              <a:t>Tomando 6 meses de duración:</a:t>
            </a:r>
          </a:p>
          <a:p>
            <a:pPr>
              <a:defRPr/>
            </a:pPr>
            <a:r>
              <a:rPr lang="en-US" sz="1100" b="1" baseline="0"/>
              <a:t>-56% respecto de un tratamiento batch</a:t>
            </a:r>
          </a:p>
          <a:p>
            <a:pPr>
              <a:defRPr/>
            </a:pPr>
            <a:r>
              <a:rPr lang="en-US" sz="1100" b="1" baseline="0"/>
              <a:t>-67% respecto de un tratamiento continuo</a:t>
            </a:r>
          </a:p>
          <a:p>
            <a:pPr>
              <a:defRPr/>
            </a:pPr>
            <a:endParaRPr lang="en-US" sz="1200" b="1"/>
          </a:p>
        </c:rich>
      </c:tx>
      <c:layout>
        <c:manualLayout>
          <c:xMode val="edge"/>
          <c:yMode val="edge"/>
          <c:x val="0.16038461538461538"/>
          <c:y val="5.358560978286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5870516185475"/>
          <c:y val="0.17675925925925923"/>
          <c:w val="0.83308573928258978"/>
          <c:h val="0.660285797608632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Nuevas_Tec_ME!$F$8</c:f>
              <c:strCache>
                <c:ptCount val="1"/>
                <c:pt idx="0">
                  <c:v>Costo global 1tb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Nuevas_Tec_ME!$B$9:$B$20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Nuevas_Tec_ME!$F$9:$F$20</c:f>
              <c:numCache>
                <c:formatCode>#,##0</c:formatCode>
                <c:ptCount val="12"/>
                <c:pt idx="0">
                  <c:v>1725.9962113244153</c:v>
                </c:pt>
                <c:pt idx="1">
                  <c:v>862.99810566220765</c:v>
                </c:pt>
                <c:pt idx="2">
                  <c:v>575.33207044147184</c:v>
                </c:pt>
                <c:pt idx="3">
                  <c:v>431.49905283110382</c:v>
                </c:pt>
                <c:pt idx="4">
                  <c:v>345.19924226488308</c:v>
                </c:pt>
                <c:pt idx="5">
                  <c:v>287.66603522073592</c:v>
                </c:pt>
                <c:pt idx="6">
                  <c:v>246.57088733205933</c:v>
                </c:pt>
                <c:pt idx="7">
                  <c:v>215.74952641555191</c:v>
                </c:pt>
                <c:pt idx="8">
                  <c:v>191.77735681382393</c:v>
                </c:pt>
                <c:pt idx="9">
                  <c:v>172.59962113244154</c:v>
                </c:pt>
                <c:pt idx="10">
                  <c:v>156.90874648403775</c:v>
                </c:pt>
                <c:pt idx="11">
                  <c:v>143.83301761036796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6-4453-843D-E04E4B6370AE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Nuevas_Tec_ME!$K$25:$K$26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Nuevas_Tec_ME!$K$27:$K$28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287.66603522073592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6-4453-843D-E04E4B6370AE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7.7821027568455515E-3"/>
                  <c:y val="-2.6016264603847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96-4453-843D-E04E4B637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Nuevas_Tec_ME!$L$25:$L$26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Nuevas_Tec_ME!$L$27:$L$28</c:f>
              <c:numCache>
                <c:formatCode>#,##0</c:formatCode>
                <c:ptCount val="2"/>
                <c:pt idx="0">
                  <c:v>287.66603522073592</c:v>
                </c:pt>
                <c:pt idx="1">
                  <c:v>287.66603522073592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6-4453-843D-E04E4B6370AE}"/>
            </c:ext>
          </c:extLst>
        </c:ser>
        <c:ser>
          <c:idx val="3"/>
          <c:order val="3"/>
          <c:tx>
            <c:strRef>
              <c:f>Nuevas_Tec_ME!$J$8</c:f>
              <c:strCache>
                <c:ptCount val="1"/>
                <c:pt idx="0">
                  <c:v>Costo Global Tratamiento Batch [USD/mes]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2.5940342522820722E-3"/>
                  <c:y val="-7.80487938115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96-4453-843D-E04E4B637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Nuevas_Tec_ME!$B$9:$B$20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Nuevas_Tec_ME!$J$9:$J$20</c:f>
              <c:numCache>
                <c:formatCode>0</c:formatCode>
                <c:ptCount val="12"/>
                <c:pt idx="0">
                  <c:v>649.19242264883064</c:v>
                </c:pt>
                <c:pt idx="1">
                  <c:v>649.19242264883064</c:v>
                </c:pt>
                <c:pt idx="2">
                  <c:v>649.19242264883064</c:v>
                </c:pt>
                <c:pt idx="3">
                  <c:v>649.19242264883064</c:v>
                </c:pt>
                <c:pt idx="4">
                  <c:v>649.19242264883064</c:v>
                </c:pt>
                <c:pt idx="5">
                  <c:v>649.19242264883064</c:v>
                </c:pt>
                <c:pt idx="6">
                  <c:v>649.19242264883064</c:v>
                </c:pt>
                <c:pt idx="7">
                  <c:v>649.19242264883064</c:v>
                </c:pt>
                <c:pt idx="8">
                  <c:v>649.19242264883064</c:v>
                </c:pt>
                <c:pt idx="9">
                  <c:v>649.19242264883064</c:v>
                </c:pt>
                <c:pt idx="10">
                  <c:v>649.19242264883064</c:v>
                </c:pt>
                <c:pt idx="11">
                  <c:v>649.19242264883064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6-4453-843D-E04E4B6370AE}"/>
            </c:ext>
          </c:extLst>
        </c:ser>
        <c:ser>
          <c:idx val="4"/>
          <c:order val="4"/>
          <c:tx>
            <c:strRef>
              <c:f>Nuevas_Tec_ME!$M$8</c:f>
              <c:strCache>
                <c:ptCount val="1"/>
                <c:pt idx="0">
                  <c:v>Costo Global Tratamiento Continuo [USD/mes]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1.5564205513691292E-2"/>
                  <c:y val="7.80487938115431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96-4453-843D-E04E4B637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Nuevas_Tec_ME!$B$9:$B$20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Nuevas_Tec_ME!$M$9:$M$20</c:f>
              <c:numCache>
                <c:formatCode>0</c:formatCode>
                <c:ptCount val="12"/>
                <c:pt idx="0">
                  <c:v>869.65756512383916</c:v>
                </c:pt>
                <c:pt idx="1">
                  <c:v>869.65756512383916</c:v>
                </c:pt>
                <c:pt idx="2">
                  <c:v>869.65756512383916</c:v>
                </c:pt>
                <c:pt idx="3">
                  <c:v>869.65756512383916</c:v>
                </c:pt>
                <c:pt idx="4">
                  <c:v>869.65756512383916</c:v>
                </c:pt>
                <c:pt idx="5">
                  <c:v>869.65756512383916</c:v>
                </c:pt>
                <c:pt idx="6">
                  <c:v>869.65756512383916</c:v>
                </c:pt>
                <c:pt idx="7">
                  <c:v>869.65756512383916</c:v>
                </c:pt>
                <c:pt idx="8">
                  <c:v>869.65756512383916</c:v>
                </c:pt>
                <c:pt idx="9">
                  <c:v>869.65756512383916</c:v>
                </c:pt>
                <c:pt idx="10">
                  <c:v>869.65756512383916</c:v>
                </c:pt>
                <c:pt idx="11">
                  <c:v>869.65756512383916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96-4453-843D-E04E4B63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19312"/>
        <c:axId val="1761550560"/>
      </c:scatterChart>
      <c:valAx>
        <c:axId val="16820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1550560"/>
        <c:crosses val="autoZero"/>
        <c:crossBetween val="midCat"/>
      </c:valAx>
      <c:valAx>
        <c:axId val="1761550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Costo mensual [USD/mes]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1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108706844336766"/>
          <c:y val="0.29547327860613171"/>
          <c:w val="0.44789672925499696"/>
          <c:h val="0.239571117440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329911</xdr:colOff>
      <xdr:row>18</xdr:row>
      <xdr:rowOff>124258</xdr:rowOff>
    </xdr:from>
    <xdr:to>
      <xdr:col>7</xdr:col>
      <xdr:colOff>377536</xdr:colOff>
      <xdr:row>37</xdr:row>
      <xdr:rowOff>45894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C062AE-D7D7-46C5-9A80-824F23D69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754207</xdr:colOff>
      <xdr:row>20</xdr:row>
      <xdr:rowOff>187902</xdr:rowOff>
    </xdr:from>
    <xdr:to>
      <xdr:col>12</xdr:col>
      <xdr:colOff>329913</xdr:colOff>
      <xdr:row>33</xdr:row>
      <xdr:rowOff>96116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CE177B-7A77-4E3F-8F8D-1577E884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749011</xdr:colOff>
      <xdr:row>18</xdr:row>
      <xdr:rowOff>95683</xdr:rowOff>
    </xdr:from>
    <xdr:to>
      <xdr:col>7</xdr:col>
      <xdr:colOff>34636</xdr:colOff>
      <xdr:row>37</xdr:row>
      <xdr:rowOff>17319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7C72B-E4DB-47B4-B75F-26D91FEC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144607</xdr:colOff>
      <xdr:row>18</xdr:row>
      <xdr:rowOff>159327</xdr:rowOff>
    </xdr:from>
    <xdr:to>
      <xdr:col>11</xdr:col>
      <xdr:colOff>558513</xdr:colOff>
      <xdr:row>31</xdr:row>
      <xdr:rowOff>67541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C9129C-D069-446B-8F90-F8304C95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18</xdr:row>
      <xdr:rowOff>157162</xdr:rowOff>
    </xdr:from>
    <xdr:to>
      <xdr:col>18</xdr:col>
      <xdr:colOff>38100</xdr:colOff>
      <xdr:row>33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EB4650-25C4-4651-B95A-545B3B36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749011</xdr:colOff>
      <xdr:row>18</xdr:row>
      <xdr:rowOff>95683</xdr:rowOff>
    </xdr:from>
    <xdr:to>
      <xdr:col>7</xdr:col>
      <xdr:colOff>34636</xdr:colOff>
      <xdr:row>37</xdr:row>
      <xdr:rowOff>17319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922EFD-911A-4600-8276-0847FD95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144607</xdr:colOff>
      <xdr:row>18</xdr:row>
      <xdr:rowOff>159327</xdr:rowOff>
    </xdr:from>
    <xdr:to>
      <xdr:col>10</xdr:col>
      <xdr:colOff>558513</xdr:colOff>
      <xdr:row>31</xdr:row>
      <xdr:rowOff>67541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00744D-1B55-45EE-BD58-D522E2F1D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65</xdr:row>
      <xdr:rowOff>123825</xdr:rowOff>
    </xdr:from>
    <xdr:to>
      <xdr:col>11</xdr:col>
      <xdr:colOff>484585</xdr:colOff>
      <xdr:row>94</xdr:row>
      <xdr:rowOff>36912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8AB12C-9A5F-42CA-A769-7D2C262F4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569383</xdr:colOff>
      <xdr:row>21</xdr:row>
      <xdr:rowOff>10583</xdr:rowOff>
    </xdr:from>
    <xdr:to>
      <xdr:col>13</xdr:col>
      <xdr:colOff>110066</xdr:colOff>
      <xdr:row>42</xdr:row>
      <xdr:rowOff>37041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E1D80-71A4-4215-8BE6-50DECCF8D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749011</xdr:colOff>
      <xdr:row>19</xdr:row>
      <xdr:rowOff>95683</xdr:rowOff>
    </xdr:from>
    <xdr:to>
      <xdr:col>7</xdr:col>
      <xdr:colOff>34636</xdr:colOff>
      <xdr:row>38</xdr:row>
      <xdr:rowOff>17319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DC5856-0834-4665-BB5C-0EAC6515C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144607</xdr:colOff>
      <xdr:row>19</xdr:row>
      <xdr:rowOff>159327</xdr:rowOff>
    </xdr:from>
    <xdr:to>
      <xdr:col>10</xdr:col>
      <xdr:colOff>558513</xdr:colOff>
      <xdr:row>32</xdr:row>
      <xdr:rowOff>67541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C3009-46FD-4C0C-B728-5F9695EBA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66</xdr:row>
      <xdr:rowOff>123825</xdr:rowOff>
    </xdr:from>
    <xdr:to>
      <xdr:col>11</xdr:col>
      <xdr:colOff>484585</xdr:colOff>
      <xdr:row>95</xdr:row>
      <xdr:rowOff>36912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A849D8-0EF2-4460-803A-714B4B3A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246909</xdr:colOff>
      <xdr:row>20</xdr:row>
      <xdr:rowOff>121537</xdr:rowOff>
    </xdr:from>
    <xdr:to>
      <xdr:col>4</xdr:col>
      <xdr:colOff>996043</xdr:colOff>
      <xdr:row>38</xdr:row>
      <xdr:rowOff>149679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262BA-D098-4266-99DC-AD0D16F08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450767</xdr:colOff>
      <xdr:row>21</xdr:row>
      <xdr:rowOff>2845</xdr:rowOff>
    </xdr:from>
    <xdr:to>
      <xdr:col>7</xdr:col>
      <xdr:colOff>663287</xdr:colOff>
      <xdr:row>33</xdr:row>
      <xdr:rowOff>101559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BC4C80-C11F-4E4A-9356-FC268CD8E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442232</xdr:colOff>
      <xdr:row>31</xdr:row>
      <xdr:rowOff>100694</xdr:rowOff>
    </xdr:from>
    <xdr:to>
      <xdr:col>16</xdr:col>
      <xdr:colOff>127907</xdr:colOff>
      <xdr:row>45</xdr:row>
      <xdr:rowOff>127105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C434DB-2EC4-4B35-859B-6B2F22E4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12</xdr:row>
      <xdr:rowOff>9525</xdr:rowOff>
    </xdr:from>
    <xdr:to>
      <xdr:col>15</xdr:col>
      <xdr:colOff>226218</xdr:colOff>
      <xdr:row>36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A6CE78-F7BD-9A42-0CE0-C59C59351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ecom.sharepoint.com/sites/CotizacionessucursalOESTE/Documentos%20compartidos/General/04%20-%202024/1-Cotizaciones%20y%20licitaciones/37.%20YPF.%20TQ_Pta_Int_%20Ttos_Mendoza/Soporte%20S200.xlsx" TargetMode="External"/><Relationship Id="rId1" Type="http://schemas.openxmlformats.org/officeDocument/2006/relationships/externalLinkPath" Target="/sites/CotizacionessucursalOESTE/Documentos%20compartidos/General/04%20-%202024/1-Cotizaciones%20y%20licitaciones/37.%20YPF.%20TQ_Pta_Int_%20Ttos_Mendoza/Soporte%20S2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álculos"/>
      <sheetName val="Condiciones Operativas"/>
      <sheetName val="DiseñoTQ"/>
      <sheetName val="Comparación de costos"/>
      <sheetName val="Optimización Batch"/>
      <sheetName val="Hoja2"/>
    </sheetNames>
    <sheetDataSet>
      <sheetData sheetId="0"/>
      <sheetData sheetId="1"/>
      <sheetData sheetId="2">
        <row r="3">
          <cell r="H3">
            <v>120</v>
          </cell>
        </row>
      </sheetData>
      <sheetData sheetId="3">
        <row r="7">
          <cell r="F7" t="str">
            <v>Costo global 1tb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AEFFE-FAFA-4FDC-A0F0-5559BBF0AE16}" name="Tabla1" displayName="Tabla1" ref="B3:M112" totalsRowShown="0" headerRowDxfId="13" dataDxfId="12">
  <autoFilter ref="B3:M112" xr:uid="{3ADAEFFE-FAFA-4FDC-A0F0-5559BBF0AE16}"/>
  <tableColumns count="12">
    <tableColumn id="1" xr3:uid="{7335582E-E3F0-4F5C-A28B-800592445517}" name="Etiquetas de fila" dataDxfId="11"/>
    <tableColumn id="8" xr3:uid="{4A353F7F-C2C8-4BDA-86E8-11E07B69528B}" name="Optimización" dataDxfId="10" dataCellStyle="Porcentaje"/>
    <tableColumn id="2" xr3:uid="{9617F3B8-1E33-43A2-AD6A-498324C92187}" name="Suma de  Consumo (L/mes)" dataDxfId="9"/>
    <tableColumn id="9" xr3:uid="{43AA5387-7253-4D69-86C8-0CF9BB0BAB49}" name="Consumo optimizado lmes" dataDxfId="8">
      <calculatedColumnFormula>+Tabla1[[#This Row],[Suma de  Consumo (L/mes)]]*(1-Tabla1[[#This Row],[Optimización]])</calculatedColumnFormula>
    </tableColumn>
    <tableColumn id="10" xr3:uid="{B8A08656-C35D-4B1B-A1F2-BD8B9FBACDDE}" name="Dif litros" dataDxfId="7">
      <calculatedColumnFormula>+Tabla1[[#This Row],[Suma de  Consumo (L/mes)]]-Tabla1[[#This Row],[Consumo optimizado lmes]]</calculatedColumnFormula>
    </tableColumn>
    <tableColumn id="3" xr3:uid="{CC6B0C35-33AA-410A-B290-AE12794FFD37}" name="Suma de Bacheo B/P " dataDxfId="6"/>
    <tableColumn id="4" xr3:uid="{19E606BB-F7D2-4861-BEF4-B59D60529204}" name="Suma de Continua" dataDxfId="5"/>
    <tableColumn id="7" xr3:uid="{0E4332C0-1372-46AB-A793-35BBD37421FF}" name="Producto Químico, Denominación comercial" dataDxfId="4"/>
    <tableColumn id="5" xr3:uid="{DFF1FF82-4BF3-4142-AD7A-2DAFDD414DFD}" name="Precio [USD/litro]" dataDxfId="3"/>
    <tableColumn id="6" xr3:uid="{4128DC00-76B3-45AF-9140-BBB541DB957D}" name="Costo total [USD/mes]" dataDxfId="2">
      <calculatedColumnFormula>+IFERROR(Tabla1[[#This Row],[Suma de  Consumo (L/mes)]]*Tabla1[[#This Row],[Precio '[USD/litro']]],"")</calculatedColumnFormula>
    </tableColumn>
    <tableColumn id="11" xr3:uid="{97996EB6-135C-41F3-8A3B-CB64F4A7984E}" name="Costo optimizado [USD/mes]" dataDxfId="1">
      <calculatedColumnFormula>+IFERROR(Tabla1[[#This Row],[Precio '[USD/litro']]]*Tabla1[[#This Row],[Consumo optimizado lmes]],"")</calculatedColumnFormula>
    </tableColumn>
    <tableColumn id="12" xr3:uid="{F5B1FDC1-C071-47B9-B33D-3AD73BFC806E}" name="Dif costo" dataDxfId="0">
      <calculatedColumnFormula>IFERROR(Tabla1[[#This Row],[Costo total '[USD/mes']]]-Tabla1[[#This Row],[Costo optimizado '[USD/mes']]],"")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36CA-6517-41A4-9D18-11FB75AD4371}">
  <dimension ref="B2:C11"/>
  <sheetViews>
    <sheetView showGridLines="0" workbookViewId="0">
      <selection activeCell="B10" sqref="B10"/>
    </sheetView>
  </sheetViews>
  <sheetFormatPr baseColWidth="10" defaultRowHeight="15"/>
  <cols>
    <col min="2" max="2" width="8.5703125" style="54" bestFit="1" customWidth="1"/>
    <col min="3" max="3" width="41.42578125" customWidth="1"/>
  </cols>
  <sheetData>
    <row r="2" spans="2:3" ht="21">
      <c r="B2" s="116" t="s">
        <v>246</v>
      </c>
      <c r="C2" s="117" t="s">
        <v>247</v>
      </c>
    </row>
    <row r="3" spans="2:3" ht="21">
      <c r="B3" s="118">
        <v>1</v>
      </c>
      <c r="C3" s="117" t="s">
        <v>242</v>
      </c>
    </row>
    <row r="4" spans="2:3" ht="21">
      <c r="B4" s="110">
        <v>2</v>
      </c>
      <c r="C4" s="112" t="s">
        <v>243</v>
      </c>
    </row>
    <row r="5" spans="2:3" ht="21">
      <c r="B5" s="110">
        <v>3</v>
      </c>
      <c r="C5" s="112" t="s">
        <v>141</v>
      </c>
    </row>
    <row r="6" spans="2:3" ht="21">
      <c r="B6" s="110">
        <v>4</v>
      </c>
      <c r="C6" s="112" t="s">
        <v>145</v>
      </c>
    </row>
    <row r="7" spans="2:3" ht="21">
      <c r="B7" s="110">
        <v>5</v>
      </c>
      <c r="C7" s="112" t="s">
        <v>146</v>
      </c>
    </row>
    <row r="8" spans="2:3" ht="21">
      <c r="B8" s="110">
        <v>6</v>
      </c>
      <c r="C8" s="112" t="s">
        <v>244</v>
      </c>
    </row>
    <row r="9" spans="2:3" ht="21">
      <c r="B9" s="110">
        <v>7</v>
      </c>
      <c r="C9" s="112" t="s">
        <v>240</v>
      </c>
    </row>
    <row r="10" spans="2:3" ht="21">
      <c r="B10" s="110">
        <v>8</v>
      </c>
      <c r="C10" s="112" t="s">
        <v>249</v>
      </c>
    </row>
    <row r="11" spans="2:3" ht="21">
      <c r="B11" s="111">
        <v>9</v>
      </c>
      <c r="C11" s="113" t="s">
        <v>245</v>
      </c>
    </row>
  </sheetData>
  <hyperlinks>
    <hyperlink ref="B3" location="'PUNTOS DE INYECCIÓN'!A1" display="'PUNTOS DE INYECCIÓN'!A1" xr:uid="{5D594855-45FA-418E-ADC6-6EB411FC07E1}"/>
    <hyperlink ref="B4" location="Servicio!A1" display="Servicio!A1" xr:uid="{A03E6C0D-20DE-4031-99DC-8727F736AB8F}"/>
    <hyperlink ref="B5" location="Base!A1" display="Base!A1" xr:uid="{78199CDC-0788-4C09-BEE2-D0F88278A2FF}"/>
    <hyperlink ref="B6" location="Optimización_Scio!A1" display="Optimización_Scio!A1" xr:uid="{528D14E7-7E2C-4089-9BA0-6E8D43D41101}"/>
    <hyperlink ref="B7" location="Optimizacion_consumo!A1" display="Optimizacion_consumo!A1" xr:uid="{219BC363-A70F-47C2-9953-11C46D37F25A}"/>
    <hyperlink ref="B8" location="Nuevas_Tec_ME!A1" display="Nuevas_Tec_ME!A1" xr:uid="{1F2327C3-B8AA-4715-B1B2-68C22D89A500}"/>
    <hyperlink ref="B9" location="Areas_Integrales.!A1" display="Areas_Integrales.!A1" xr:uid="{E0FA2A87-2A23-433B-90E4-01103D397D12}"/>
    <hyperlink ref="B11" location="Resumen!A1" display="Resumen!A1" xr:uid="{E0BC6C03-0C6E-4029-B771-04F3C3302EE3}"/>
    <hyperlink ref="B10" location="Optimización_Estructura!A1" display="Optimización_Estructura!A1" xr:uid="{3704FA07-CEC1-49E9-B173-87A8D2AC785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A83-F830-42F8-9844-F7FE785E2655}">
  <dimension ref="B1:Q22"/>
  <sheetViews>
    <sheetView showGridLines="0" zoomScale="80" zoomScaleNormal="80" workbookViewId="0">
      <selection activeCell="B1" sqref="B1"/>
    </sheetView>
  </sheetViews>
  <sheetFormatPr baseColWidth="10" defaultRowHeight="15"/>
  <cols>
    <col min="1" max="1" width="5.42578125" style="54" customWidth="1"/>
    <col min="2" max="2" width="12.7109375" style="54" bestFit="1" customWidth="1"/>
    <col min="3" max="3" width="16.7109375" style="54" bestFit="1" customWidth="1"/>
    <col min="4" max="4" width="14.5703125" style="54" bestFit="1" customWidth="1"/>
    <col min="5" max="6" width="16.7109375" style="54" bestFit="1" customWidth="1"/>
    <col min="7" max="7" width="14.5703125" style="54" bestFit="1" customWidth="1"/>
    <col min="8" max="9" width="16.7109375" style="54" bestFit="1" customWidth="1"/>
    <col min="10" max="10" width="14.5703125" style="54" bestFit="1" customWidth="1"/>
    <col min="11" max="11" width="16.7109375" style="54" bestFit="1" customWidth="1"/>
    <col min="12" max="12" width="20.28515625" style="54" customWidth="1"/>
    <col min="13" max="13" width="17.28515625" style="54" customWidth="1"/>
    <col min="14" max="14" width="16.7109375" style="54" bestFit="1" customWidth="1"/>
    <col min="15" max="15" width="17.28515625" style="54" customWidth="1"/>
    <col min="16" max="16" width="18.42578125" style="54" customWidth="1"/>
    <col min="17" max="17" width="15.140625" style="54" customWidth="1"/>
    <col min="18" max="16384" width="11.42578125" style="54"/>
  </cols>
  <sheetData>
    <row r="1" spans="2:17">
      <c r="B1" s="109" t="s">
        <v>248</v>
      </c>
    </row>
    <row r="2" spans="2:17" ht="15.75" thickBot="1">
      <c r="B2" s="89" t="s">
        <v>135</v>
      </c>
      <c r="C2" s="89">
        <f>+Optimizacion_consumo!D2</f>
        <v>876.5</v>
      </c>
      <c r="D2" s="90">
        <f>+Optimizacion_consumo!E2</f>
        <v>45411</v>
      </c>
    </row>
    <row r="3" spans="2:17">
      <c r="B3" s="125" t="s">
        <v>102</v>
      </c>
      <c r="C3" s="125" t="s">
        <v>141</v>
      </c>
      <c r="D3" s="126"/>
      <c r="E3" s="127"/>
      <c r="F3" s="125" t="s">
        <v>145</v>
      </c>
      <c r="G3" s="126"/>
      <c r="H3" s="127"/>
      <c r="I3" s="125" t="s">
        <v>146</v>
      </c>
      <c r="J3" s="126"/>
      <c r="K3" s="127"/>
      <c r="L3" s="125" t="s">
        <v>236</v>
      </c>
      <c r="M3" s="126"/>
      <c r="N3" s="127"/>
      <c r="O3" s="125" t="s">
        <v>261</v>
      </c>
      <c r="P3" s="126"/>
      <c r="Q3" s="127"/>
    </row>
    <row r="4" spans="2:17">
      <c r="B4" s="128"/>
      <c r="C4" s="96" t="s">
        <v>233</v>
      </c>
      <c r="D4" s="91" t="s">
        <v>234</v>
      </c>
      <c r="E4" s="93" t="s">
        <v>235</v>
      </c>
      <c r="F4" s="96" t="s">
        <v>233</v>
      </c>
      <c r="G4" s="91" t="s">
        <v>234</v>
      </c>
      <c r="H4" s="93" t="s">
        <v>235</v>
      </c>
      <c r="I4" s="96" t="s">
        <v>233</v>
      </c>
      <c r="J4" s="91" t="s">
        <v>234</v>
      </c>
      <c r="K4" s="93" t="s">
        <v>235</v>
      </c>
      <c r="L4" s="96" t="s">
        <v>233</v>
      </c>
      <c r="M4" s="91" t="s">
        <v>234</v>
      </c>
      <c r="N4" s="93" t="s">
        <v>235</v>
      </c>
      <c r="O4" s="115" t="s">
        <v>233</v>
      </c>
      <c r="P4" s="91" t="s">
        <v>234</v>
      </c>
      <c r="Q4" s="93" t="s">
        <v>235</v>
      </c>
    </row>
    <row r="5" spans="2:17" ht="16.5">
      <c r="B5" s="94" t="s">
        <v>28</v>
      </c>
      <c r="C5" s="97">
        <f>+Servicio!I3</f>
        <v>144027357.11988503</v>
      </c>
      <c r="D5" s="92">
        <f>+Base!$D$12*1000</f>
        <v>404438.44</v>
      </c>
      <c r="E5" s="95">
        <f>+D5+C5/$C$2</f>
        <v>568759.44070722768</v>
      </c>
      <c r="F5" s="97">
        <f>+Servicio!L3</f>
        <v>123544949.45747772</v>
      </c>
      <c r="G5" s="92">
        <f>+D5</f>
        <v>404438.44</v>
      </c>
      <c r="H5" s="95">
        <f>+G5+F5/$C$2</f>
        <v>545391.03493152047</v>
      </c>
      <c r="I5" s="97">
        <f>+F5</f>
        <v>123544949.45747772</v>
      </c>
      <c r="J5" s="92">
        <f>+Optimizacion_consumo!D12*1000</f>
        <v>362888.92699999997</v>
      </c>
      <c r="K5" s="95">
        <f>+J5+I5/$C$2</f>
        <v>503841.52193152043</v>
      </c>
      <c r="L5" s="97">
        <f>+I5*0.98</f>
        <v>121074050.46832816</v>
      </c>
      <c r="M5" s="92">
        <f>+J5*0.98</f>
        <v>355631.14845999994</v>
      </c>
      <c r="N5" s="95">
        <f>+M5+L5/$C$2</f>
        <v>493764.69149289001</v>
      </c>
      <c r="O5" s="97">
        <f>+L5*(1-Optimización_Estructura!$H$2)</f>
        <v>83056798.621273115</v>
      </c>
      <c r="P5" s="92">
        <f>+M5</f>
        <v>355631.14845999994</v>
      </c>
      <c r="Q5" s="95">
        <f>+P5+O5/$C$2</f>
        <v>450390.75898056256</v>
      </c>
    </row>
    <row r="6" spans="2:17" ht="16.5">
      <c r="B6" s="98" t="s">
        <v>32</v>
      </c>
      <c r="C6" s="99">
        <f>+Servicio!I4</f>
        <v>86866827.09089987</v>
      </c>
      <c r="D6" s="100">
        <f>+Base!$E$12*1000</f>
        <v>243242.23999999999</v>
      </c>
      <c r="E6" s="101">
        <f t="shared" ref="E6:E9" si="0">+D6+C6/$C$2</f>
        <v>342348.71700045618</v>
      </c>
      <c r="F6" s="99">
        <f>+Servicio!L4</f>
        <v>84693783.123848781</v>
      </c>
      <c r="G6" s="100">
        <f t="shared" ref="G6:G9" si="1">+D6</f>
        <v>243242.23999999999</v>
      </c>
      <c r="H6" s="101">
        <f t="shared" ref="H6:H9" si="2">+G6+F6/$C$2</f>
        <v>339869.48828733456</v>
      </c>
      <c r="I6" s="99">
        <f t="shared" ref="I6:I9" si="3">+F6</f>
        <v>84693783.123848781</v>
      </c>
      <c r="J6" s="100">
        <f>+Optimizacion_consumo!E12*1000</f>
        <v>226813.46650000001</v>
      </c>
      <c r="K6" s="101">
        <f t="shared" ref="K6:K9" si="4">+J6+I6/$C$2</f>
        <v>323440.71478733461</v>
      </c>
      <c r="L6" s="99">
        <f>+I6*0.98</f>
        <v>82999907.461371809</v>
      </c>
      <c r="M6" s="100">
        <f>+J6*0.98</f>
        <v>222277.19717</v>
      </c>
      <c r="N6" s="101">
        <f t="shared" ref="N6:N9" si="5">+M6+L6/$C$2</f>
        <v>316971.90049158793</v>
      </c>
      <c r="O6" s="99">
        <f>+L6*(1-Optimización_Estructura!$H$2)</f>
        <v>56937936.518501058</v>
      </c>
      <c r="P6" s="100">
        <f>+M6</f>
        <v>222277.19717</v>
      </c>
      <c r="Q6" s="101">
        <f t="shared" ref="Q6:Q9" si="6">+P6+O6/$C$2</f>
        <v>287237.76364860928</v>
      </c>
    </row>
    <row r="7" spans="2:17" ht="16.5">
      <c r="B7" s="94" t="s">
        <v>7</v>
      </c>
      <c r="C7" s="97">
        <f>+Servicio!I5</f>
        <v>91303713.24702169</v>
      </c>
      <c r="D7" s="92">
        <f>+Base!$F$12*1000</f>
        <v>504590.9309636</v>
      </c>
      <c r="E7" s="95">
        <f t="shared" si="0"/>
        <v>608759.4572009322</v>
      </c>
      <c r="F7" s="97">
        <f>+Servicio!L5</f>
        <v>83430099.548838228</v>
      </c>
      <c r="G7" s="92">
        <f t="shared" si="1"/>
        <v>504590.9309636</v>
      </c>
      <c r="H7" s="95">
        <f t="shared" si="2"/>
        <v>599776.44100220606</v>
      </c>
      <c r="I7" s="97">
        <f t="shared" si="3"/>
        <v>83430099.548838228</v>
      </c>
      <c r="J7" s="92">
        <f>+Optimizacion_consumo!F12*1000</f>
        <v>453600.61700087995</v>
      </c>
      <c r="K7" s="95">
        <f t="shared" si="4"/>
        <v>548786.12703948608</v>
      </c>
      <c r="L7" s="97">
        <f>+I7*0.98</f>
        <v>81761497.557861462</v>
      </c>
      <c r="M7" s="92">
        <f t="shared" ref="M7:M9" si="7">+J7*0.98</f>
        <v>444528.60466086236</v>
      </c>
      <c r="N7" s="95">
        <f t="shared" si="5"/>
        <v>537810.40449869633</v>
      </c>
      <c r="O7" s="97">
        <f>+L7*(1-Optimización_Estructura!$H$2)</f>
        <v>56088387.324692957</v>
      </c>
      <c r="P7" s="92">
        <f>+M7</f>
        <v>444528.60466086236</v>
      </c>
      <c r="Q7" s="95">
        <f t="shared" si="6"/>
        <v>508519.91934961645</v>
      </c>
    </row>
    <row r="8" spans="2:17" ht="16.5">
      <c r="B8" s="98" t="s">
        <v>44</v>
      </c>
      <c r="C8" s="99">
        <f>+Servicio!I6</f>
        <v>27652351.6918949</v>
      </c>
      <c r="D8" s="100">
        <f>+Base!$G$12*1000</f>
        <v>54929.569999999992</v>
      </c>
      <c r="E8" s="101">
        <f t="shared" si="0"/>
        <v>86478.174326177861</v>
      </c>
      <c r="F8" s="99">
        <f>+Servicio!L6</f>
        <v>25679971.694774196</v>
      </c>
      <c r="G8" s="100">
        <f t="shared" si="1"/>
        <v>54929.569999999992</v>
      </c>
      <c r="H8" s="101">
        <f t="shared" si="2"/>
        <v>84227.883399628277</v>
      </c>
      <c r="I8" s="99">
        <f t="shared" si="3"/>
        <v>25679971.694774196</v>
      </c>
      <c r="J8" s="100">
        <f>+Optimizacion_consumo!G12*1000</f>
        <v>48370.839000000007</v>
      </c>
      <c r="K8" s="101">
        <f t="shared" si="4"/>
        <v>77669.152399628292</v>
      </c>
      <c r="L8" s="99">
        <f>+I8*0.98</f>
        <v>25166372.260878712</v>
      </c>
      <c r="M8" s="100">
        <f>+J8*0.98</f>
        <v>47403.422220000008</v>
      </c>
      <c r="N8" s="101">
        <f t="shared" si="5"/>
        <v>76115.769351635739</v>
      </c>
      <c r="O8" s="99">
        <f>+L8*(1-Optimización_Estructura!$H$2)</f>
        <v>17264131.370962795</v>
      </c>
      <c r="P8" s="100">
        <f>+M8</f>
        <v>47403.422220000008</v>
      </c>
      <c r="Q8" s="101">
        <f t="shared" si="6"/>
        <v>67100.092352302105</v>
      </c>
    </row>
    <row r="9" spans="2:17" ht="16.5">
      <c r="B9" s="94" t="s">
        <v>33</v>
      </c>
      <c r="C9" s="97">
        <f>+Servicio!I7</f>
        <v>97956502.849550933</v>
      </c>
      <c r="D9" s="92">
        <f>+Base!$H$12*1000</f>
        <v>291054.12</v>
      </c>
      <c r="E9" s="95">
        <f t="shared" si="0"/>
        <v>402812.82262356067</v>
      </c>
      <c r="F9" s="97">
        <f>+Servicio!L7</f>
        <v>94873129.653059512</v>
      </c>
      <c r="G9" s="92">
        <f t="shared" si="1"/>
        <v>291054.12</v>
      </c>
      <c r="H9" s="95">
        <f t="shared" si="2"/>
        <v>399294.9980981854</v>
      </c>
      <c r="I9" s="97">
        <f t="shared" si="3"/>
        <v>94873129.653059512</v>
      </c>
      <c r="J9" s="92">
        <f>+Optimizacion_consumo!H12*1000</f>
        <v>266072.05799999996</v>
      </c>
      <c r="K9" s="95">
        <f t="shared" si="4"/>
        <v>374312.93609818537</v>
      </c>
      <c r="L9" s="97">
        <f>+I9*0.98</f>
        <v>92975667.059998319</v>
      </c>
      <c r="M9" s="92">
        <f t="shared" si="7"/>
        <v>260750.61683999994</v>
      </c>
      <c r="N9" s="95">
        <f t="shared" si="5"/>
        <v>366826.67737622163</v>
      </c>
      <c r="O9" s="97">
        <f>+L9*(1-Optimización_Estructura!$H$2)</f>
        <v>63781307.603158839</v>
      </c>
      <c r="P9" s="92">
        <f>+M9</f>
        <v>260750.61683999994</v>
      </c>
      <c r="Q9" s="95">
        <f t="shared" si="6"/>
        <v>333518.79436784802</v>
      </c>
    </row>
    <row r="10" spans="2:17" ht="17.25" thickBot="1">
      <c r="B10" s="102" t="s">
        <v>198</v>
      </c>
      <c r="C10" s="103">
        <f>+SUM(C5:C9)</f>
        <v>447806751.99925244</v>
      </c>
      <c r="D10" s="104">
        <f t="shared" ref="D10:N10" si="8">+SUM(D5:D9)</f>
        <v>1498255.3009636002</v>
      </c>
      <c r="E10" s="105">
        <f>+SUM(E5:E9)</f>
        <v>2009158.6118583546</v>
      </c>
      <c r="F10" s="103">
        <f t="shared" si="8"/>
        <v>412221933.4779985</v>
      </c>
      <c r="G10" s="104">
        <f t="shared" si="8"/>
        <v>1498255.3009636002</v>
      </c>
      <c r="H10" s="105">
        <f t="shared" si="8"/>
        <v>1968559.8457188751</v>
      </c>
      <c r="I10" s="103">
        <f t="shared" si="8"/>
        <v>412221933.4779985</v>
      </c>
      <c r="J10" s="104">
        <f t="shared" si="8"/>
        <v>1357745.9075008798</v>
      </c>
      <c r="K10" s="105">
        <f t="shared" si="8"/>
        <v>1828050.4522561547</v>
      </c>
      <c r="L10" s="103">
        <f t="shared" si="8"/>
        <v>403977494.80843848</v>
      </c>
      <c r="M10" s="104">
        <f t="shared" si="8"/>
        <v>1330590.9893508623</v>
      </c>
      <c r="N10" s="105">
        <f t="shared" si="8"/>
        <v>1791489.4432110316</v>
      </c>
      <c r="O10" s="103">
        <f t="shared" ref="O10:Q10" si="9">+SUM(O5:O9)</f>
        <v>277128561.4385888</v>
      </c>
      <c r="P10" s="104">
        <f>+SUM(P5:P9)</f>
        <v>1330590.9893508623</v>
      </c>
      <c r="Q10" s="105">
        <f t="shared" si="9"/>
        <v>1646767.3286989382</v>
      </c>
    </row>
    <row r="11" spans="2:17">
      <c r="N11" s="81">
        <f>+N10/E10-1</f>
        <v>-0.10833846932870661</v>
      </c>
    </row>
    <row r="13" spans="2:17" s="77" customFormat="1" ht="78.75" customHeight="1">
      <c r="B13" s="78" t="s">
        <v>102</v>
      </c>
      <c r="C13" s="78" t="s">
        <v>141</v>
      </c>
      <c r="D13" s="78" t="s">
        <v>266</v>
      </c>
      <c r="E13" s="78" t="s">
        <v>264</v>
      </c>
      <c r="F13" s="78" t="s">
        <v>265</v>
      </c>
      <c r="G13" s="78" t="s">
        <v>267</v>
      </c>
    </row>
    <row r="14" spans="2:17" s="77" customFormat="1" ht="16.5" customHeight="1">
      <c r="B14" s="107" t="s">
        <v>198</v>
      </c>
      <c r="C14" s="108">
        <f>+E10</f>
        <v>2009158.6118583546</v>
      </c>
      <c r="D14" s="108">
        <f>+H10</f>
        <v>1968559.8457188751</v>
      </c>
      <c r="E14" s="108">
        <f>+K10</f>
        <v>1828050.4522561547</v>
      </c>
      <c r="F14" s="108">
        <f>+N10</f>
        <v>1791489.4432110316</v>
      </c>
      <c r="G14" s="108">
        <f>+Q10</f>
        <v>1646767.3286989382</v>
      </c>
    </row>
    <row r="15" spans="2:17" ht="16.5">
      <c r="B15" s="12" t="s">
        <v>28</v>
      </c>
      <c r="C15" s="79">
        <f>+E5</f>
        <v>568759.44070722768</v>
      </c>
      <c r="D15" s="79">
        <f>+H5</f>
        <v>545391.03493152047</v>
      </c>
      <c r="E15" s="79">
        <f>+K5</f>
        <v>503841.52193152043</v>
      </c>
      <c r="F15" s="79">
        <f>+N5</f>
        <v>493764.69149289001</v>
      </c>
      <c r="G15" s="79">
        <f>+Q5</f>
        <v>450390.75898056256</v>
      </c>
    </row>
    <row r="16" spans="2:17" ht="16.5">
      <c r="B16" s="12" t="s">
        <v>32</v>
      </c>
      <c r="C16" s="79">
        <f t="shared" ref="C16:C19" si="10">+E6</f>
        <v>342348.71700045618</v>
      </c>
      <c r="D16" s="79">
        <f t="shared" ref="D16:D19" si="11">+H6</f>
        <v>339869.48828733456</v>
      </c>
      <c r="E16" s="79">
        <f t="shared" ref="E16:E19" si="12">+K6</f>
        <v>323440.71478733461</v>
      </c>
      <c r="F16" s="79">
        <f t="shared" ref="F16:G19" si="13">+N6</f>
        <v>316971.90049158793</v>
      </c>
      <c r="G16" s="79">
        <f>+Q6</f>
        <v>287237.76364860928</v>
      </c>
    </row>
    <row r="17" spans="2:7" ht="16.5">
      <c r="B17" s="12" t="s">
        <v>7</v>
      </c>
      <c r="C17" s="79">
        <f t="shared" si="10"/>
        <v>608759.4572009322</v>
      </c>
      <c r="D17" s="79">
        <f t="shared" si="11"/>
        <v>599776.44100220606</v>
      </c>
      <c r="E17" s="79">
        <f t="shared" si="12"/>
        <v>548786.12703948608</v>
      </c>
      <c r="F17" s="79">
        <f t="shared" si="13"/>
        <v>537810.40449869633</v>
      </c>
      <c r="G17" s="79">
        <f>+Q7</f>
        <v>508519.91934961645</v>
      </c>
    </row>
    <row r="18" spans="2:7" ht="16.5">
      <c r="B18" s="12" t="s">
        <v>44</v>
      </c>
      <c r="C18" s="79">
        <f t="shared" si="10"/>
        <v>86478.174326177861</v>
      </c>
      <c r="D18" s="79">
        <f t="shared" si="11"/>
        <v>84227.883399628277</v>
      </c>
      <c r="E18" s="79">
        <f t="shared" si="12"/>
        <v>77669.152399628292</v>
      </c>
      <c r="F18" s="79">
        <f t="shared" si="13"/>
        <v>76115.769351635739</v>
      </c>
      <c r="G18" s="79">
        <f>+Q8</f>
        <v>67100.092352302105</v>
      </c>
    </row>
    <row r="19" spans="2:7" ht="16.5">
      <c r="B19" s="12" t="s">
        <v>33</v>
      </c>
      <c r="C19" s="79">
        <f t="shared" si="10"/>
        <v>402812.82262356067</v>
      </c>
      <c r="D19" s="79">
        <f t="shared" si="11"/>
        <v>399294.9980981854</v>
      </c>
      <c r="E19" s="79">
        <f t="shared" si="12"/>
        <v>374312.93609818537</v>
      </c>
      <c r="F19" s="79">
        <f t="shared" si="13"/>
        <v>366826.67737622163</v>
      </c>
      <c r="G19" s="79">
        <f>+Q9</f>
        <v>333518.79436784802</v>
      </c>
    </row>
    <row r="20" spans="2:7">
      <c r="D20" s="81">
        <f>+D14/$C$14-1</f>
        <v>-2.0206849722993248E-2</v>
      </c>
      <c r="E20" s="81">
        <f t="shared" ref="E20:G20" si="14">+E14/$C$14-1</f>
        <v>-9.0141295233373997E-2</v>
      </c>
      <c r="F20" s="81">
        <f>+F14/$C$14-1</f>
        <v>-0.10833846932870661</v>
      </c>
      <c r="G20" s="81">
        <f>+G14/$C$14-1</f>
        <v>-0.18036967366365642</v>
      </c>
    </row>
    <row r="21" spans="2:7">
      <c r="G21" s="80">
        <f>+C14-G14</f>
        <v>362391.2831594164</v>
      </c>
    </row>
    <row r="22" spans="2:7">
      <c r="C22" s="138">
        <f>+Base!D15+Base!E15</f>
        <v>2009158.6118583546</v>
      </c>
      <c r="D22" s="138">
        <f>+Optimización_Scio!$D$16+Optimización_Scio!$E$16</f>
        <v>1968559.8457188748</v>
      </c>
      <c r="E22" s="138">
        <f>+Optimizacion_consumo!D17+Optimizacion_consumo!E17</f>
        <v>1828050.4522561547</v>
      </c>
      <c r="F22" s="138">
        <f>+Areas_Integrales.!D18+Areas_Integrales.!E18</f>
        <v>1791489.4432110316</v>
      </c>
      <c r="G22" s="138">
        <f>+Optimización_Estructura!$D$19+Optimización_Estructura!$E$19</f>
        <v>1646767.3286989385</v>
      </c>
    </row>
  </sheetData>
  <mergeCells count="6">
    <mergeCell ref="O3:Q3"/>
    <mergeCell ref="C3:E3"/>
    <mergeCell ref="F3:H3"/>
    <mergeCell ref="I3:K3"/>
    <mergeCell ref="B3:B4"/>
    <mergeCell ref="L3:N3"/>
  </mergeCells>
  <hyperlinks>
    <hyperlink ref="B1" location="Indice!A1" display="Indice" xr:uid="{D41FDF27-47DE-4249-9DEB-D60AAABD4509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09DB-8EBB-4BFE-AEEE-753DBB36731F}">
  <dimension ref="A1:M117"/>
  <sheetViews>
    <sheetView workbookViewId="0">
      <selection activeCell="B4" sqref="B4:B112"/>
    </sheetView>
  </sheetViews>
  <sheetFormatPr baseColWidth="10" defaultRowHeight="12.75"/>
  <cols>
    <col min="1" max="1" width="5" style="1" customWidth="1"/>
    <col min="2" max="2" width="38" style="1" customWidth="1"/>
    <col min="3" max="3" width="19.7109375" style="1" customWidth="1"/>
    <col min="4" max="6" width="17.28515625" style="1" customWidth="1"/>
    <col min="7" max="7" width="16.140625" style="1" customWidth="1"/>
    <col min="8" max="8" width="12" style="1" customWidth="1"/>
    <col min="9" max="9" width="20.28515625" style="1" customWidth="1"/>
    <col min="10" max="10" width="15.85546875" style="1" customWidth="1"/>
    <col min="11" max="11" width="11.42578125" style="1" customWidth="1"/>
    <col min="12" max="12" width="14.42578125" style="1" customWidth="1"/>
    <col min="13" max="16384" width="11.42578125" style="1"/>
  </cols>
  <sheetData>
    <row r="1" spans="1:13" ht="15">
      <c r="B1" s="109" t="s">
        <v>248</v>
      </c>
    </row>
    <row r="2" spans="1:13" ht="13.5" thickBot="1">
      <c r="B2" s="106"/>
      <c r="C2" s="106"/>
    </row>
    <row r="3" spans="1:13" ht="39" thickBot="1">
      <c r="B3" s="24" t="s">
        <v>0</v>
      </c>
      <c r="C3" s="26" t="s">
        <v>149</v>
      </c>
      <c r="D3" s="26" t="s">
        <v>47</v>
      </c>
      <c r="E3" s="26" t="s">
        <v>150</v>
      </c>
      <c r="F3" s="26" t="s">
        <v>186</v>
      </c>
      <c r="G3" s="26" t="s">
        <v>48</v>
      </c>
      <c r="H3" s="25" t="s">
        <v>49</v>
      </c>
      <c r="I3" s="24" t="s">
        <v>58</v>
      </c>
      <c r="J3" s="25" t="s">
        <v>101</v>
      </c>
      <c r="K3" s="24" t="s">
        <v>148</v>
      </c>
      <c r="L3" s="25" t="s">
        <v>187</v>
      </c>
      <c r="M3" s="27" t="s">
        <v>189</v>
      </c>
    </row>
    <row r="4" spans="1:13">
      <c r="B4" s="2" t="s">
        <v>28</v>
      </c>
      <c r="C4" s="39"/>
      <c r="D4" s="3">
        <v>111305</v>
      </c>
      <c r="E4" s="3">
        <f>+Tabla1[[#This Row],[Suma de  Consumo (L/mes)]]*(1-Tabla1[[#This Row],[Optimización]])</f>
        <v>111305</v>
      </c>
      <c r="F4" s="3">
        <f>+Tabla1[[#This Row],[Suma de  Consumo (L/mes)]]-Tabla1[[#This Row],[Consumo optimizado lmes]]</f>
        <v>0</v>
      </c>
      <c r="G4" s="3">
        <v>540</v>
      </c>
      <c r="H4" s="4">
        <v>178</v>
      </c>
      <c r="I4" s="5"/>
      <c r="J4" s="7">
        <v>0</v>
      </c>
      <c r="K4" s="5">
        <f>+IFERROR(Tabla1[[#This Row],[Suma de  Consumo (L/mes)]]*Tabla1[[#This Row],[Precio '[USD/litro']]],"")</f>
        <v>0</v>
      </c>
      <c r="L4" s="7">
        <f>+IFERROR(Tabla1[[#This Row],[Precio '[USD/litro']]]*Tabla1[[#This Row],[Consumo optimizado lmes]],"")</f>
        <v>0</v>
      </c>
      <c r="M4" s="1">
        <f>IFERROR(Tabla1[[#This Row],[Costo total '[USD/mes']]]-Tabla1[[#This Row],[Costo optimizado '[USD/mes']]],"")</f>
        <v>0</v>
      </c>
    </row>
    <row r="5" spans="1:13">
      <c r="A5" s="1" t="s">
        <v>179</v>
      </c>
      <c r="B5" s="5" t="s">
        <v>34</v>
      </c>
      <c r="C5" s="40">
        <v>0.15</v>
      </c>
      <c r="D5" s="6">
        <v>17023</v>
      </c>
      <c r="E5" s="6">
        <f>+Tabla1[[#This Row],[Suma de  Consumo (L/mes)]]*(1-Tabla1[[#This Row],[Optimización]])</f>
        <v>14469.55</v>
      </c>
      <c r="F5" s="6">
        <f>+Tabla1[[#This Row],[Suma de  Consumo (L/mes)]]-Tabla1[[#This Row],[Consumo optimizado lmes]]</f>
        <v>2553.4500000000007</v>
      </c>
      <c r="G5" s="6">
        <v>98</v>
      </c>
      <c r="H5" s="7">
        <v>54</v>
      </c>
      <c r="I5" s="5" t="s">
        <v>59</v>
      </c>
      <c r="J5" s="7">
        <v>4.72</v>
      </c>
      <c r="K5" s="5">
        <f>+IFERROR(Tabla1[[#This Row],[Suma de  Consumo (L/mes)]]*Tabla1[[#This Row],[Precio '[USD/litro']]],"")</f>
        <v>80348.56</v>
      </c>
      <c r="L5" s="7">
        <f>+IFERROR(Tabla1[[#This Row],[Precio '[USD/litro']]]*Tabla1[[#This Row],[Consumo optimizado lmes]],"")</f>
        <v>68296.275999999998</v>
      </c>
      <c r="M5" s="1">
        <f>IFERROR(Tabla1[[#This Row],[Costo total '[USD/mes']]]-Tabla1[[#This Row],[Costo optimizado '[USD/mes']]],"")</f>
        <v>12052.284</v>
      </c>
    </row>
    <row r="6" spans="1:13">
      <c r="B6" s="5" t="s">
        <v>50</v>
      </c>
      <c r="C6" s="40"/>
      <c r="D6" s="6">
        <v>1540</v>
      </c>
      <c r="E6" s="6">
        <f>+Tabla1[[#This Row],[Suma de  Consumo (L/mes)]]*(1-Tabla1[[#This Row],[Optimización]])</f>
        <v>1540</v>
      </c>
      <c r="F6" s="6">
        <f>+Tabla1[[#This Row],[Suma de  Consumo (L/mes)]]-Tabla1[[#This Row],[Consumo optimizado lmes]]</f>
        <v>0</v>
      </c>
      <c r="G6" s="6"/>
      <c r="H6" s="7">
        <v>6</v>
      </c>
      <c r="I6" s="5" t="s">
        <v>60</v>
      </c>
      <c r="J6" s="7">
        <v>4.57</v>
      </c>
      <c r="K6" s="5">
        <f>+IFERROR(Tabla1[[#This Row],[Suma de  Consumo (L/mes)]]*Tabla1[[#This Row],[Precio '[USD/litro']]],"")</f>
        <v>7037.8</v>
      </c>
      <c r="L6" s="7">
        <f>+IFERROR(Tabla1[[#This Row],[Precio '[USD/litro']]]*Tabla1[[#This Row],[Consumo optimizado lmes]],"")</f>
        <v>7037.8</v>
      </c>
      <c r="M6" s="1">
        <f>IFERROR(Tabla1[[#This Row],[Costo total '[USD/mes']]]-Tabla1[[#This Row],[Costo optimizado '[USD/mes']]],"")</f>
        <v>0</v>
      </c>
    </row>
    <row r="7" spans="1:13">
      <c r="A7" s="1" t="s">
        <v>180</v>
      </c>
      <c r="B7" s="5" t="s">
        <v>35</v>
      </c>
      <c r="C7" s="40">
        <v>0.2</v>
      </c>
      <c r="D7" s="6">
        <v>110</v>
      </c>
      <c r="E7" s="6">
        <f>+Tabla1[[#This Row],[Suma de  Consumo (L/mes)]]*(1-Tabla1[[#This Row],[Optimización]])</f>
        <v>88</v>
      </c>
      <c r="F7" s="6">
        <f>+Tabla1[[#This Row],[Suma de  Consumo (L/mes)]]-Tabla1[[#This Row],[Consumo optimizado lmes]]</f>
        <v>22</v>
      </c>
      <c r="G7" s="6"/>
      <c r="H7" s="7">
        <v>2</v>
      </c>
      <c r="I7" s="5" t="s">
        <v>61</v>
      </c>
      <c r="J7" s="7">
        <v>3.25</v>
      </c>
      <c r="K7" s="5">
        <f>+IFERROR(Tabla1[[#This Row],[Suma de  Consumo (L/mes)]]*Tabla1[[#This Row],[Precio '[USD/litro']]],"")</f>
        <v>357.5</v>
      </c>
      <c r="L7" s="7">
        <f>+IFERROR(Tabla1[[#This Row],[Precio '[USD/litro']]]*Tabla1[[#This Row],[Consumo optimizado lmes]],"")</f>
        <v>286</v>
      </c>
      <c r="M7" s="1">
        <f>IFERROR(Tabla1[[#This Row],[Costo total '[USD/mes']]]-Tabla1[[#This Row],[Costo optimizado '[USD/mes']]],"")</f>
        <v>71.5</v>
      </c>
    </row>
    <row r="8" spans="1:13">
      <c r="B8" s="5" t="s">
        <v>36</v>
      </c>
      <c r="C8" s="40"/>
      <c r="D8" s="6">
        <v>3080</v>
      </c>
      <c r="E8" s="6">
        <f>+Tabla1[[#This Row],[Suma de  Consumo (L/mes)]]*(1-Tabla1[[#This Row],[Optimización]])</f>
        <v>3080</v>
      </c>
      <c r="F8" s="6">
        <f>+Tabla1[[#This Row],[Suma de  Consumo (L/mes)]]-Tabla1[[#This Row],[Consumo optimizado lmes]]</f>
        <v>0</v>
      </c>
      <c r="G8" s="6"/>
      <c r="H8" s="7">
        <v>4</v>
      </c>
      <c r="I8" s="5" t="s">
        <v>62</v>
      </c>
      <c r="J8" s="7">
        <v>2.74</v>
      </c>
      <c r="K8" s="5">
        <f>+IFERROR(Tabla1[[#This Row],[Suma de  Consumo (L/mes)]]*Tabla1[[#This Row],[Precio '[USD/litro']]],"")</f>
        <v>8439.2000000000007</v>
      </c>
      <c r="L8" s="7">
        <f>+IFERROR(Tabla1[[#This Row],[Precio '[USD/litro']]]*Tabla1[[#This Row],[Consumo optimizado lmes]],"")</f>
        <v>8439.2000000000007</v>
      </c>
      <c r="M8" s="1">
        <f>IFERROR(Tabla1[[#This Row],[Costo total '[USD/mes']]]-Tabla1[[#This Row],[Costo optimizado '[USD/mes']]],"")</f>
        <v>0</v>
      </c>
    </row>
    <row r="9" spans="1:13">
      <c r="B9" s="5" t="s">
        <v>51</v>
      </c>
      <c r="C9" s="40"/>
      <c r="D9" s="6">
        <v>17046</v>
      </c>
      <c r="E9" s="6">
        <f>+Tabla1[[#This Row],[Suma de  Consumo (L/mes)]]*(1-Tabla1[[#This Row],[Optimización]])</f>
        <v>17046</v>
      </c>
      <c r="F9" s="6">
        <f>+Tabla1[[#This Row],[Suma de  Consumo (L/mes)]]-Tabla1[[#This Row],[Consumo optimizado lmes]]</f>
        <v>0</v>
      </c>
      <c r="G9" s="6">
        <v>59</v>
      </c>
      <c r="H9" s="7">
        <v>22</v>
      </c>
      <c r="I9" s="5" t="s">
        <v>63</v>
      </c>
      <c r="J9" s="7">
        <v>6.82</v>
      </c>
      <c r="K9" s="5">
        <f>+IFERROR(Tabla1[[#This Row],[Suma de  Consumo (L/mes)]]*Tabla1[[#This Row],[Precio '[USD/litro']]],"")</f>
        <v>116253.72</v>
      </c>
      <c r="L9" s="7">
        <f>+IFERROR(Tabla1[[#This Row],[Precio '[USD/litro']]]*Tabla1[[#This Row],[Consumo optimizado lmes]],"")</f>
        <v>116253.72</v>
      </c>
      <c r="M9" s="1">
        <f>IFERROR(Tabla1[[#This Row],[Costo total '[USD/mes']]]-Tabla1[[#This Row],[Costo optimizado '[USD/mes']]],"")</f>
        <v>0</v>
      </c>
    </row>
    <row r="10" spans="1:13">
      <c r="B10" s="5" t="s">
        <v>25</v>
      </c>
      <c r="C10" s="40"/>
      <c r="D10" s="6">
        <v>0</v>
      </c>
      <c r="E10" s="6">
        <f>+Tabla1[[#This Row],[Suma de  Consumo (L/mes)]]*(1-Tabla1[[#This Row],[Optimización]])</f>
        <v>0</v>
      </c>
      <c r="F10" s="6">
        <f>+Tabla1[[#This Row],[Suma de  Consumo (L/mes)]]-Tabla1[[#This Row],[Consumo optimizado lmes]]</f>
        <v>0</v>
      </c>
      <c r="G10" s="6"/>
      <c r="H10" s="7"/>
      <c r="I10" s="5"/>
      <c r="J10" s="7"/>
      <c r="K10" s="5">
        <f>+IFERROR(Tabla1[[#This Row],[Suma de  Consumo (L/mes)]]*Tabla1[[#This Row],[Precio '[USD/litro']]],"")</f>
        <v>0</v>
      </c>
      <c r="L10" s="7">
        <f>+IFERROR(Tabla1[[#This Row],[Precio '[USD/litro']]]*Tabla1[[#This Row],[Consumo optimizado lmes]],"")</f>
        <v>0</v>
      </c>
      <c r="M10" s="1">
        <f>IFERROR(Tabla1[[#This Row],[Costo total '[USD/mes']]]-Tabla1[[#This Row],[Costo optimizado '[USD/mes']]],"")</f>
        <v>0</v>
      </c>
    </row>
    <row r="11" spans="1:13">
      <c r="B11" s="5" t="s">
        <v>18</v>
      </c>
      <c r="C11" s="40"/>
      <c r="D11" s="6">
        <v>0</v>
      </c>
      <c r="E11" s="6">
        <f>+Tabla1[[#This Row],[Suma de  Consumo (L/mes)]]*(1-Tabla1[[#This Row],[Optimización]])</f>
        <v>0</v>
      </c>
      <c r="F11" s="6">
        <f>+Tabla1[[#This Row],[Suma de  Consumo (L/mes)]]-Tabla1[[#This Row],[Consumo optimizado lmes]]</f>
        <v>0</v>
      </c>
      <c r="G11" s="6"/>
      <c r="H11" s="7">
        <v>2</v>
      </c>
      <c r="I11" s="5" t="s">
        <v>64</v>
      </c>
      <c r="J11" s="7">
        <v>1.51</v>
      </c>
      <c r="K11" s="5">
        <f>+IFERROR(Tabla1[[#This Row],[Suma de  Consumo (L/mes)]]*Tabla1[[#This Row],[Precio '[USD/litro']]],"")</f>
        <v>0</v>
      </c>
      <c r="L11" s="7">
        <f>+IFERROR(Tabla1[[#This Row],[Precio '[USD/litro']]]*Tabla1[[#This Row],[Consumo optimizado lmes]],"")</f>
        <v>0</v>
      </c>
      <c r="M11" s="1">
        <f>IFERROR(Tabla1[[#This Row],[Costo total '[USD/mes']]]-Tabla1[[#This Row],[Costo optimizado '[USD/mes']]],"")</f>
        <v>0</v>
      </c>
    </row>
    <row r="12" spans="1:13">
      <c r="B12" s="5" t="s">
        <v>37</v>
      </c>
      <c r="C12" s="40"/>
      <c r="D12" s="6">
        <v>710</v>
      </c>
      <c r="E12" s="6">
        <f>+Tabla1[[#This Row],[Suma de  Consumo (L/mes)]]*(1-Tabla1[[#This Row],[Optimización]])</f>
        <v>710</v>
      </c>
      <c r="F12" s="6">
        <f>+Tabla1[[#This Row],[Suma de  Consumo (L/mes)]]-Tabla1[[#This Row],[Consumo optimizado lmes]]</f>
        <v>0</v>
      </c>
      <c r="G12" s="6">
        <v>1</v>
      </c>
      <c r="H12" s="7">
        <v>2</v>
      </c>
      <c r="I12" s="5" t="s">
        <v>65</v>
      </c>
      <c r="J12" s="7">
        <v>4.3899999999999997</v>
      </c>
      <c r="K12" s="5">
        <f>+IFERROR(Tabla1[[#This Row],[Suma de  Consumo (L/mes)]]*Tabla1[[#This Row],[Precio '[USD/litro']]],"")</f>
        <v>3116.8999999999996</v>
      </c>
      <c r="L12" s="7">
        <f>+IFERROR(Tabla1[[#This Row],[Precio '[USD/litro']]]*Tabla1[[#This Row],[Consumo optimizado lmes]],"")</f>
        <v>3116.8999999999996</v>
      </c>
      <c r="M12" s="1">
        <f>IFERROR(Tabla1[[#This Row],[Costo total '[USD/mes']]]-Tabla1[[#This Row],[Costo optimizado '[USD/mes']]],"")</f>
        <v>0</v>
      </c>
    </row>
    <row r="13" spans="1:13">
      <c r="B13" s="5" t="s">
        <v>38</v>
      </c>
      <c r="C13" s="40"/>
      <c r="D13" s="6">
        <v>450</v>
      </c>
      <c r="E13" s="6">
        <f>+Tabla1[[#This Row],[Suma de  Consumo (L/mes)]]*(1-Tabla1[[#This Row],[Optimización]])</f>
        <v>450</v>
      </c>
      <c r="F13" s="6">
        <f>+Tabla1[[#This Row],[Suma de  Consumo (L/mes)]]-Tabla1[[#This Row],[Consumo optimizado lmes]]</f>
        <v>0</v>
      </c>
      <c r="G13" s="6"/>
      <c r="H13" s="7">
        <v>4</v>
      </c>
      <c r="I13" s="5" t="s">
        <v>66</v>
      </c>
      <c r="J13" s="7">
        <v>5.07</v>
      </c>
      <c r="K13" s="5">
        <f>+IFERROR(Tabla1[[#This Row],[Suma de  Consumo (L/mes)]]*Tabla1[[#This Row],[Precio '[USD/litro']]],"")</f>
        <v>2281.5</v>
      </c>
      <c r="L13" s="7">
        <f>+IFERROR(Tabla1[[#This Row],[Precio '[USD/litro']]]*Tabla1[[#This Row],[Consumo optimizado lmes]],"")</f>
        <v>2281.5</v>
      </c>
      <c r="M13" s="1">
        <f>IFERROR(Tabla1[[#This Row],[Costo total '[USD/mes']]]-Tabla1[[#This Row],[Costo optimizado '[USD/mes']]],"")</f>
        <v>0</v>
      </c>
    </row>
    <row r="14" spans="1:13">
      <c r="A14" s="1" t="s">
        <v>181</v>
      </c>
      <c r="B14" s="5" t="s">
        <v>39</v>
      </c>
      <c r="C14" s="40">
        <v>0.15</v>
      </c>
      <c r="D14" s="6">
        <v>4462</v>
      </c>
      <c r="E14" s="6">
        <f>+Tabla1[[#This Row],[Suma de  Consumo (L/mes)]]*(1-Tabla1[[#This Row],[Optimización]])</f>
        <v>3792.7</v>
      </c>
      <c r="F14" s="6">
        <f>+Tabla1[[#This Row],[Suma de  Consumo (L/mes)]]-Tabla1[[#This Row],[Consumo optimizado lmes]]</f>
        <v>669.30000000000018</v>
      </c>
      <c r="G14" s="6">
        <v>40</v>
      </c>
      <c r="H14" s="7">
        <v>14</v>
      </c>
      <c r="I14" s="5" t="s">
        <v>67</v>
      </c>
      <c r="J14" s="7">
        <v>7.32</v>
      </c>
      <c r="K14" s="5">
        <f>+IFERROR(Tabla1[[#This Row],[Suma de  Consumo (L/mes)]]*Tabla1[[#This Row],[Precio '[USD/litro']]],"")</f>
        <v>32661.84</v>
      </c>
      <c r="L14" s="7">
        <f>+IFERROR(Tabla1[[#This Row],[Precio '[USD/litro']]]*Tabla1[[#This Row],[Consumo optimizado lmes]],"")</f>
        <v>27762.563999999998</v>
      </c>
      <c r="M14" s="1">
        <f>IFERROR(Tabla1[[#This Row],[Costo total '[USD/mes']]]-Tabla1[[#This Row],[Costo optimizado '[USD/mes']]],"")</f>
        <v>4899.2760000000017</v>
      </c>
    </row>
    <row r="15" spans="1:13">
      <c r="B15" s="5" t="s">
        <v>26</v>
      </c>
      <c r="C15" s="40"/>
      <c r="D15" s="6">
        <v>0</v>
      </c>
      <c r="E15" s="6">
        <f>+Tabla1[[#This Row],[Suma de  Consumo (L/mes)]]*(1-Tabla1[[#This Row],[Optimización]])</f>
        <v>0</v>
      </c>
      <c r="F15" s="6">
        <f>+Tabla1[[#This Row],[Suma de  Consumo (L/mes)]]-Tabla1[[#This Row],[Consumo optimizado lmes]]</f>
        <v>0</v>
      </c>
      <c r="G15" s="6"/>
      <c r="H15" s="7"/>
      <c r="I15" s="5" t="s">
        <v>68</v>
      </c>
      <c r="J15" s="7">
        <v>3.89</v>
      </c>
      <c r="K15" s="5">
        <f>+IFERROR(Tabla1[[#This Row],[Suma de  Consumo (L/mes)]]*Tabla1[[#This Row],[Precio '[USD/litro']]],"")</f>
        <v>0</v>
      </c>
      <c r="L15" s="7">
        <f>+IFERROR(Tabla1[[#This Row],[Precio '[USD/litro']]]*Tabla1[[#This Row],[Consumo optimizado lmes]],"")</f>
        <v>0</v>
      </c>
      <c r="M15" s="1">
        <f>IFERROR(Tabla1[[#This Row],[Costo total '[USD/mes']]]-Tabla1[[#This Row],[Costo optimizado '[USD/mes']]],"")</f>
        <v>0</v>
      </c>
    </row>
    <row r="16" spans="1:13">
      <c r="B16" s="5" t="s">
        <v>27</v>
      </c>
      <c r="C16" s="40"/>
      <c r="D16" s="6">
        <v>139</v>
      </c>
      <c r="E16" s="6">
        <f>+Tabla1[[#This Row],[Suma de  Consumo (L/mes)]]*(1-Tabla1[[#This Row],[Optimización]])</f>
        <v>139</v>
      </c>
      <c r="F16" s="6">
        <f>+Tabla1[[#This Row],[Suma de  Consumo (L/mes)]]-Tabla1[[#This Row],[Consumo optimizado lmes]]</f>
        <v>0</v>
      </c>
      <c r="G16" s="6"/>
      <c r="H16" s="7">
        <v>1</v>
      </c>
      <c r="I16" s="5" t="s">
        <v>69</v>
      </c>
      <c r="J16" s="7">
        <v>3.48</v>
      </c>
      <c r="K16" s="5">
        <f>+IFERROR(Tabla1[[#This Row],[Suma de  Consumo (L/mes)]]*Tabla1[[#This Row],[Precio '[USD/litro']]],"")</f>
        <v>483.71999999999997</v>
      </c>
      <c r="L16" s="7">
        <f>+IFERROR(Tabla1[[#This Row],[Precio '[USD/litro']]]*Tabla1[[#This Row],[Consumo optimizado lmes]],"")</f>
        <v>483.71999999999997</v>
      </c>
      <c r="M16" s="1">
        <f>IFERROR(Tabla1[[#This Row],[Costo total '[USD/mes']]]-Tabla1[[#This Row],[Costo optimizado '[USD/mes']]],"")</f>
        <v>0</v>
      </c>
    </row>
    <row r="17" spans="1:13">
      <c r="A17" s="1" t="s">
        <v>182</v>
      </c>
      <c r="B17" s="5" t="s">
        <v>52</v>
      </c>
      <c r="C17" s="40">
        <v>0.15</v>
      </c>
      <c r="D17" s="6">
        <v>15147</v>
      </c>
      <c r="E17" s="6">
        <f>+Tabla1[[#This Row],[Suma de  Consumo (L/mes)]]*(1-Tabla1[[#This Row],[Optimización]])</f>
        <v>12874.949999999999</v>
      </c>
      <c r="F17" s="6">
        <f>+Tabla1[[#This Row],[Suma de  Consumo (L/mes)]]-Tabla1[[#This Row],[Consumo optimizado lmes]]</f>
        <v>2272.0500000000011</v>
      </c>
      <c r="G17" s="6">
        <v>130</v>
      </c>
      <c r="H17" s="7">
        <v>20</v>
      </c>
      <c r="I17" s="5" t="s">
        <v>70</v>
      </c>
      <c r="J17" s="7">
        <v>3.7</v>
      </c>
      <c r="K17" s="5">
        <f>+IFERROR(Tabla1[[#This Row],[Suma de  Consumo (L/mes)]]*Tabla1[[#This Row],[Precio '[USD/litro']]],"")</f>
        <v>56043.9</v>
      </c>
      <c r="L17" s="7">
        <f>+IFERROR(Tabla1[[#This Row],[Precio '[USD/litro']]]*Tabla1[[#This Row],[Consumo optimizado lmes]],"")</f>
        <v>47637.314999999995</v>
      </c>
      <c r="M17" s="1">
        <f>IFERROR(Tabla1[[#This Row],[Costo total '[USD/mes']]]-Tabla1[[#This Row],[Costo optimizado '[USD/mes']]],"")</f>
        <v>8406.5850000000064</v>
      </c>
    </row>
    <row r="18" spans="1:13">
      <c r="A18" s="1" t="s">
        <v>183</v>
      </c>
      <c r="B18" s="5" t="s">
        <v>21</v>
      </c>
      <c r="C18" s="40">
        <v>0.15</v>
      </c>
      <c r="D18" s="6">
        <v>6662</v>
      </c>
      <c r="E18" s="6">
        <f>+Tabla1[[#This Row],[Suma de  Consumo (L/mes)]]*(1-Tabla1[[#This Row],[Optimización]])</f>
        <v>5662.7</v>
      </c>
      <c r="F18" s="6">
        <f>+Tabla1[[#This Row],[Suma de  Consumo (L/mes)]]-Tabla1[[#This Row],[Consumo optimizado lmes]]</f>
        <v>999.30000000000018</v>
      </c>
      <c r="G18" s="6">
        <v>9</v>
      </c>
      <c r="H18" s="7">
        <v>14</v>
      </c>
      <c r="I18" s="5" t="s">
        <v>71</v>
      </c>
      <c r="J18" s="7">
        <v>4.0199999999999996</v>
      </c>
      <c r="K18" s="5">
        <f>+IFERROR(Tabla1[[#This Row],[Suma de  Consumo (L/mes)]]*Tabla1[[#This Row],[Precio '[USD/litro']]],"")</f>
        <v>26781.239999999998</v>
      </c>
      <c r="L18" s="7">
        <f>+IFERROR(Tabla1[[#This Row],[Precio '[USD/litro']]]*Tabla1[[#This Row],[Consumo optimizado lmes]],"")</f>
        <v>22764.053999999996</v>
      </c>
      <c r="M18" s="1">
        <f>IFERROR(Tabla1[[#This Row],[Costo total '[USD/mes']]]-Tabla1[[#This Row],[Costo optimizado '[USD/mes']]],"")</f>
        <v>4017.1860000000015</v>
      </c>
    </row>
    <row r="19" spans="1:13">
      <c r="B19" s="5" t="s">
        <v>23</v>
      </c>
      <c r="C19" s="40"/>
      <c r="D19" s="6">
        <v>0</v>
      </c>
      <c r="E19" s="6">
        <f>+Tabla1[[#This Row],[Suma de  Consumo (L/mes)]]*(1-Tabla1[[#This Row],[Optimización]])</f>
        <v>0</v>
      </c>
      <c r="F19" s="6">
        <f>+Tabla1[[#This Row],[Suma de  Consumo (L/mes)]]-Tabla1[[#This Row],[Consumo optimizado lmes]]</f>
        <v>0</v>
      </c>
      <c r="G19" s="6"/>
      <c r="H19" s="7"/>
      <c r="I19" s="5"/>
      <c r="J19" s="7" t="s">
        <v>100</v>
      </c>
      <c r="K19" s="5" t="str">
        <f>+IFERROR(Tabla1[[#This Row],[Suma de  Consumo (L/mes)]]*Tabla1[[#This Row],[Precio '[USD/litro']]],"")</f>
        <v/>
      </c>
      <c r="L19" s="7" t="str">
        <f>+IFERROR(Tabla1[[#This Row],[Precio '[USD/litro']]]*Tabla1[[#This Row],[Consumo optimizado lmes]],"")</f>
        <v/>
      </c>
      <c r="M19" s="1" t="str">
        <f>IFERROR(Tabla1[[#This Row],[Costo total '[USD/mes']]]-Tabla1[[#This Row],[Costo optimizado '[USD/mes']]],"")</f>
        <v/>
      </c>
    </row>
    <row r="20" spans="1:13">
      <c r="B20" s="5" t="s">
        <v>24</v>
      </c>
      <c r="C20" s="40"/>
      <c r="D20" s="6">
        <v>539</v>
      </c>
      <c r="E20" s="6">
        <f>+Tabla1[[#This Row],[Suma de  Consumo (L/mes)]]*(1-Tabla1[[#This Row],[Optimización]])</f>
        <v>539</v>
      </c>
      <c r="F20" s="6">
        <f>+Tabla1[[#This Row],[Suma de  Consumo (L/mes)]]-Tabla1[[#This Row],[Consumo optimizado lmes]]</f>
        <v>0</v>
      </c>
      <c r="G20" s="6"/>
      <c r="H20" s="7">
        <v>3</v>
      </c>
      <c r="I20" s="5" t="s">
        <v>72</v>
      </c>
      <c r="J20" s="7">
        <v>3.45</v>
      </c>
      <c r="K20" s="5">
        <f>+IFERROR(Tabla1[[#This Row],[Suma de  Consumo (L/mes)]]*Tabla1[[#This Row],[Precio '[USD/litro']]],"")</f>
        <v>1859.5500000000002</v>
      </c>
      <c r="L20" s="7">
        <f>+IFERROR(Tabla1[[#This Row],[Precio '[USD/litro']]]*Tabla1[[#This Row],[Consumo optimizado lmes]],"")</f>
        <v>1859.5500000000002</v>
      </c>
      <c r="M20" s="1">
        <f>IFERROR(Tabla1[[#This Row],[Costo total '[USD/mes']]]-Tabla1[[#This Row],[Costo optimizado '[USD/mes']]],"")</f>
        <v>0</v>
      </c>
    </row>
    <row r="21" spans="1:13">
      <c r="A21" s="1" t="s">
        <v>184</v>
      </c>
      <c r="B21" s="5" t="s">
        <v>45</v>
      </c>
      <c r="C21" s="40">
        <v>0.2</v>
      </c>
      <c r="D21" s="6">
        <v>7025</v>
      </c>
      <c r="E21" s="6">
        <f>+Tabla1[[#This Row],[Suma de  Consumo (L/mes)]]*(1-Tabla1[[#This Row],[Optimización]])</f>
        <v>5620</v>
      </c>
      <c r="F21" s="6">
        <f>+Tabla1[[#This Row],[Suma de  Consumo (L/mes)]]-Tabla1[[#This Row],[Consumo optimizado lmes]]</f>
        <v>1405</v>
      </c>
      <c r="G21" s="6">
        <v>156</v>
      </c>
      <c r="H21" s="7">
        <v>1</v>
      </c>
      <c r="I21" s="5" t="s">
        <v>61</v>
      </c>
      <c r="J21" s="7">
        <v>3.25</v>
      </c>
      <c r="K21" s="5">
        <f>+IFERROR(Tabla1[[#This Row],[Suma de  Consumo (L/mes)]]*Tabla1[[#This Row],[Precio '[USD/litro']]],"")</f>
        <v>22831.25</v>
      </c>
      <c r="L21" s="7">
        <f>+IFERROR(Tabla1[[#This Row],[Precio '[USD/litro']]]*Tabla1[[#This Row],[Consumo optimizado lmes]],"")</f>
        <v>18265</v>
      </c>
      <c r="M21" s="1">
        <f>IFERROR(Tabla1[[#This Row],[Costo total '[USD/mes']]]-Tabla1[[#This Row],[Costo optimizado '[USD/mes']]],"")</f>
        <v>4566.25</v>
      </c>
    </row>
    <row r="22" spans="1:13">
      <c r="B22" s="5" t="s">
        <v>40</v>
      </c>
      <c r="C22" s="40"/>
      <c r="D22" s="6">
        <v>0</v>
      </c>
      <c r="E22" s="6">
        <f>+Tabla1[[#This Row],[Suma de  Consumo (L/mes)]]*(1-Tabla1[[#This Row],[Optimización]])</f>
        <v>0</v>
      </c>
      <c r="F22" s="6">
        <f>+Tabla1[[#This Row],[Suma de  Consumo (L/mes)]]-Tabla1[[#This Row],[Consumo optimizado lmes]]</f>
        <v>0</v>
      </c>
      <c r="G22" s="6">
        <v>2</v>
      </c>
      <c r="H22" s="7"/>
      <c r="I22" s="5" t="s">
        <v>73</v>
      </c>
      <c r="J22" s="7">
        <v>3.77</v>
      </c>
      <c r="K22" s="5">
        <f>+IFERROR(Tabla1[[#This Row],[Suma de  Consumo (L/mes)]]*Tabla1[[#This Row],[Precio '[USD/litro']]],"")</f>
        <v>0</v>
      </c>
      <c r="L22" s="7">
        <f>+IFERROR(Tabla1[[#This Row],[Precio '[USD/litro']]]*Tabla1[[#This Row],[Consumo optimizado lmes]],"")</f>
        <v>0</v>
      </c>
      <c r="M22" s="1">
        <f>IFERROR(Tabla1[[#This Row],[Costo total '[USD/mes']]]-Tabla1[[#This Row],[Costo optimizado '[USD/mes']]],"")</f>
        <v>0</v>
      </c>
    </row>
    <row r="23" spans="1:13">
      <c r="A23" s="1" t="s">
        <v>185</v>
      </c>
      <c r="B23" s="5" t="s">
        <v>46</v>
      </c>
      <c r="C23" s="40">
        <v>0.2</v>
      </c>
      <c r="D23" s="6">
        <v>4782</v>
      </c>
      <c r="E23" s="6">
        <f>+Tabla1[[#This Row],[Suma de  Consumo (L/mes)]]*(1-Tabla1[[#This Row],[Optimización]])</f>
        <v>3825.6000000000004</v>
      </c>
      <c r="F23" s="6">
        <f>+Tabla1[[#This Row],[Suma de  Consumo (L/mes)]]-Tabla1[[#This Row],[Consumo optimizado lmes]]</f>
        <v>956.39999999999964</v>
      </c>
      <c r="G23" s="6">
        <v>44</v>
      </c>
      <c r="H23" s="7">
        <v>7</v>
      </c>
      <c r="I23" s="5" t="s">
        <v>74</v>
      </c>
      <c r="J23" s="7">
        <v>7.88</v>
      </c>
      <c r="K23" s="5">
        <f>+IFERROR(Tabla1[[#This Row],[Suma de  Consumo (L/mes)]]*Tabla1[[#This Row],[Precio '[USD/litro']]],"")</f>
        <v>37682.159999999996</v>
      </c>
      <c r="L23" s="7">
        <f>+IFERROR(Tabla1[[#This Row],[Precio '[USD/litro']]]*Tabla1[[#This Row],[Consumo optimizado lmes]],"")</f>
        <v>30145.728000000003</v>
      </c>
      <c r="M23" s="1">
        <f>IFERROR(Tabla1[[#This Row],[Costo total '[USD/mes']]]-Tabla1[[#This Row],[Costo optimizado '[USD/mes']]],"")</f>
        <v>7536.4319999999934</v>
      </c>
    </row>
    <row r="24" spans="1:13">
      <c r="B24" s="5" t="s">
        <v>41</v>
      </c>
      <c r="C24" s="40"/>
      <c r="D24" s="6">
        <v>1130</v>
      </c>
      <c r="E24" s="6">
        <f>+Tabla1[[#This Row],[Suma de  Consumo (L/mes)]]*(1-Tabla1[[#This Row],[Optimización]])</f>
        <v>1130</v>
      </c>
      <c r="F24" s="6">
        <f>+Tabla1[[#This Row],[Suma de  Consumo (L/mes)]]-Tabla1[[#This Row],[Consumo optimizado lmes]]</f>
        <v>0</v>
      </c>
      <c r="G24" s="6"/>
      <c r="H24" s="7">
        <v>4</v>
      </c>
      <c r="I24" s="5"/>
      <c r="J24" s="7" t="s">
        <v>100</v>
      </c>
      <c r="K24" s="5" t="str">
        <f>+IFERROR(Tabla1[[#This Row],[Suma de  Consumo (L/mes)]]*Tabla1[[#This Row],[Precio '[USD/litro']]],"")</f>
        <v/>
      </c>
      <c r="L24" s="7" t="str">
        <f>+IFERROR(Tabla1[[#This Row],[Precio '[USD/litro']]]*Tabla1[[#This Row],[Consumo optimizado lmes]],"")</f>
        <v/>
      </c>
      <c r="M24" s="1" t="str">
        <f>IFERROR(Tabla1[[#This Row],[Costo total '[USD/mes']]]-Tabla1[[#This Row],[Costo optimizado '[USD/mes']]],"")</f>
        <v/>
      </c>
    </row>
    <row r="25" spans="1:13">
      <c r="B25" s="5" t="s">
        <v>42</v>
      </c>
      <c r="C25" s="40"/>
      <c r="D25" s="6">
        <v>28500</v>
      </c>
      <c r="E25" s="6">
        <f>+Tabla1[[#This Row],[Suma de  Consumo (L/mes)]]*(1-Tabla1[[#This Row],[Optimización]])</f>
        <v>28500</v>
      </c>
      <c r="F25" s="6">
        <f>+Tabla1[[#This Row],[Suma de  Consumo (L/mes)]]-Tabla1[[#This Row],[Consumo optimizado lmes]]</f>
        <v>0</v>
      </c>
      <c r="G25" s="6"/>
      <c r="H25" s="7">
        <v>2</v>
      </c>
      <c r="I25" s="5"/>
      <c r="J25" s="7" t="s">
        <v>100</v>
      </c>
      <c r="K25" s="5" t="str">
        <f>+IFERROR(Tabla1[[#This Row],[Suma de  Consumo (L/mes)]]*Tabla1[[#This Row],[Precio '[USD/litro']]],"")</f>
        <v/>
      </c>
      <c r="L25" s="7" t="str">
        <f>+IFERROR(Tabla1[[#This Row],[Precio '[USD/litro']]]*Tabla1[[#This Row],[Consumo optimizado lmes]],"")</f>
        <v/>
      </c>
      <c r="M25" s="1" t="str">
        <f>IFERROR(Tabla1[[#This Row],[Costo total '[USD/mes']]]-Tabla1[[#This Row],[Costo optimizado '[USD/mes']]],"")</f>
        <v/>
      </c>
    </row>
    <row r="26" spans="1:13">
      <c r="B26" s="5" t="s">
        <v>43</v>
      </c>
      <c r="C26" s="40"/>
      <c r="D26" s="6">
        <v>2170</v>
      </c>
      <c r="E26" s="6">
        <f>+Tabla1[[#This Row],[Suma de  Consumo (L/mes)]]*(1-Tabla1[[#This Row],[Optimización]])</f>
        <v>2170</v>
      </c>
      <c r="F26" s="6">
        <f>+Tabla1[[#This Row],[Suma de  Consumo (L/mes)]]-Tabla1[[#This Row],[Consumo optimizado lmes]]</f>
        <v>0</v>
      </c>
      <c r="G26" s="6">
        <v>1</v>
      </c>
      <c r="H26" s="7">
        <v>8</v>
      </c>
      <c r="I26" s="5" t="s">
        <v>75</v>
      </c>
      <c r="J26" s="7">
        <v>2.31</v>
      </c>
      <c r="K26" s="5">
        <f>+IFERROR(Tabla1[[#This Row],[Suma de  Consumo (L/mes)]]*Tabla1[[#This Row],[Precio '[USD/litro']]],"")</f>
        <v>5012.7</v>
      </c>
      <c r="L26" s="7">
        <f>+IFERROR(Tabla1[[#This Row],[Precio '[USD/litro']]]*Tabla1[[#This Row],[Consumo optimizado lmes]],"")</f>
        <v>5012.7</v>
      </c>
      <c r="M26" s="1">
        <f>IFERROR(Tabla1[[#This Row],[Costo total '[USD/mes']]]-Tabla1[[#This Row],[Costo optimizado '[USD/mes']]],"")</f>
        <v>0</v>
      </c>
    </row>
    <row r="27" spans="1:13">
      <c r="B27" s="5" t="s">
        <v>14</v>
      </c>
      <c r="C27" s="40"/>
      <c r="D27" s="6">
        <v>790</v>
      </c>
      <c r="E27" s="6">
        <f>+Tabla1[[#This Row],[Suma de  Consumo (L/mes)]]*(1-Tabla1[[#This Row],[Optimización]])</f>
        <v>790</v>
      </c>
      <c r="F27" s="6">
        <f>+Tabla1[[#This Row],[Suma de  Consumo (L/mes)]]-Tabla1[[#This Row],[Consumo optimizado lmes]]</f>
        <v>0</v>
      </c>
      <c r="G27" s="6"/>
      <c r="H27" s="7">
        <v>8</v>
      </c>
      <c r="I27" s="5" t="s">
        <v>76</v>
      </c>
      <c r="J27" s="7">
        <v>4.1100000000000003</v>
      </c>
      <c r="K27" s="5">
        <f>+IFERROR(Tabla1[[#This Row],[Suma de  Consumo (L/mes)]]*Tabla1[[#This Row],[Precio '[USD/litro']]],"")</f>
        <v>3246.9</v>
      </c>
      <c r="L27" s="7">
        <f>+IFERROR(Tabla1[[#This Row],[Precio '[USD/litro']]]*Tabla1[[#This Row],[Consumo optimizado lmes]],"")</f>
        <v>3246.9</v>
      </c>
      <c r="M27" s="1">
        <f>IFERROR(Tabla1[[#This Row],[Costo total '[USD/mes']]]-Tabla1[[#This Row],[Costo optimizado '[USD/mes']]],"")</f>
        <v>0</v>
      </c>
    </row>
    <row r="28" spans="1:13">
      <c r="B28" s="8" t="s">
        <v>32</v>
      </c>
      <c r="C28" s="41"/>
      <c r="D28" s="6">
        <v>61181</v>
      </c>
      <c r="E28" s="6">
        <f>+Tabla1[[#This Row],[Suma de  Consumo (L/mes)]]*(1-Tabla1[[#This Row],[Optimización]])</f>
        <v>61181</v>
      </c>
      <c r="F28" s="6">
        <f>+Tabla1[[#This Row],[Suma de  Consumo (L/mes)]]-Tabla1[[#This Row],[Consumo optimizado lmes]]</f>
        <v>0</v>
      </c>
      <c r="G28" s="6">
        <v>148</v>
      </c>
      <c r="H28" s="7">
        <v>157</v>
      </c>
      <c r="I28" s="5"/>
      <c r="J28" s="7"/>
      <c r="K28" s="5">
        <f>+IFERROR(Tabla1[[#This Row],[Suma de  Consumo (L/mes)]]*Tabla1[[#This Row],[Precio '[USD/litro']]],"")</f>
        <v>0</v>
      </c>
      <c r="L28" s="7">
        <f>+IFERROR(Tabla1[[#This Row],[Precio '[USD/litro']]]*Tabla1[[#This Row],[Consumo optimizado lmes]],"")</f>
        <v>0</v>
      </c>
      <c r="M28" s="1">
        <f>IFERROR(Tabla1[[#This Row],[Costo total '[USD/mes']]]-Tabla1[[#This Row],[Costo optimizado '[USD/mes']]],"")</f>
        <v>0</v>
      </c>
    </row>
    <row r="29" spans="1:13">
      <c r="A29" s="1" t="s">
        <v>175</v>
      </c>
      <c r="B29" s="5" t="s">
        <v>34</v>
      </c>
      <c r="C29" s="40">
        <v>0.1</v>
      </c>
      <c r="D29" s="6">
        <v>8001</v>
      </c>
      <c r="E29" s="6">
        <f>+Tabla1[[#This Row],[Suma de  Consumo (L/mes)]]*(1-Tabla1[[#This Row],[Optimización]])</f>
        <v>7200.9000000000005</v>
      </c>
      <c r="F29" s="6">
        <f>+Tabla1[[#This Row],[Suma de  Consumo (L/mes)]]-Tabla1[[#This Row],[Consumo optimizado lmes]]</f>
        <v>800.09999999999945</v>
      </c>
      <c r="G29" s="6">
        <v>53</v>
      </c>
      <c r="H29" s="7">
        <v>12</v>
      </c>
      <c r="I29" s="5" t="s">
        <v>78</v>
      </c>
      <c r="J29" s="7">
        <v>4.5</v>
      </c>
      <c r="K29" s="5">
        <f>+IFERROR(Tabla1[[#This Row],[Suma de  Consumo (L/mes)]]*Tabla1[[#This Row],[Precio '[USD/litro']]],"")</f>
        <v>36004.5</v>
      </c>
      <c r="L29" s="7">
        <f>+IFERROR(Tabla1[[#This Row],[Precio '[USD/litro']]]*Tabla1[[#This Row],[Consumo optimizado lmes]],"")</f>
        <v>32404.050000000003</v>
      </c>
      <c r="M29" s="1">
        <f>IFERROR(Tabla1[[#This Row],[Costo total '[USD/mes']]]-Tabla1[[#This Row],[Costo optimizado '[USD/mes']]],"")</f>
        <v>3600.4499999999971</v>
      </c>
    </row>
    <row r="30" spans="1:13">
      <c r="B30" s="5" t="s">
        <v>50</v>
      </c>
      <c r="C30" s="40"/>
      <c r="D30" s="6">
        <v>1310</v>
      </c>
      <c r="E30" s="6">
        <f>+Tabla1[[#This Row],[Suma de  Consumo (L/mes)]]*(1-Tabla1[[#This Row],[Optimización]])</f>
        <v>1310</v>
      </c>
      <c r="F30" s="6">
        <f>+Tabla1[[#This Row],[Suma de  Consumo (L/mes)]]-Tabla1[[#This Row],[Consumo optimizado lmes]]</f>
        <v>0</v>
      </c>
      <c r="G30" s="6"/>
      <c r="H30" s="7">
        <v>2</v>
      </c>
      <c r="I30" s="5" t="s">
        <v>79</v>
      </c>
      <c r="J30" s="7">
        <v>9.25</v>
      </c>
      <c r="K30" s="5">
        <f>+IFERROR(Tabla1[[#This Row],[Suma de  Consumo (L/mes)]]*Tabla1[[#This Row],[Precio '[USD/litro']]],"")</f>
        <v>12117.5</v>
      </c>
      <c r="L30" s="7">
        <f>+IFERROR(Tabla1[[#This Row],[Precio '[USD/litro']]]*Tabla1[[#This Row],[Consumo optimizado lmes]],"")</f>
        <v>12117.5</v>
      </c>
      <c r="M30" s="1">
        <f>IFERROR(Tabla1[[#This Row],[Costo total '[USD/mes']]]-Tabla1[[#This Row],[Costo optimizado '[USD/mes']]],"")</f>
        <v>0</v>
      </c>
    </row>
    <row r="31" spans="1:13">
      <c r="B31" s="5" t="s">
        <v>53</v>
      </c>
      <c r="C31" s="40"/>
      <c r="D31" s="6">
        <v>1226</v>
      </c>
      <c r="E31" s="6">
        <f>+Tabla1[[#This Row],[Suma de  Consumo (L/mes)]]*(1-Tabla1[[#This Row],[Optimización]])</f>
        <v>1226</v>
      </c>
      <c r="F31" s="6">
        <f>+Tabla1[[#This Row],[Suma de  Consumo (L/mes)]]-Tabla1[[#This Row],[Consumo optimizado lmes]]</f>
        <v>0</v>
      </c>
      <c r="G31" s="6"/>
      <c r="H31" s="7">
        <v>2</v>
      </c>
      <c r="I31" s="5" t="s">
        <v>61</v>
      </c>
      <c r="J31" s="7">
        <v>3.25</v>
      </c>
      <c r="K31" s="5">
        <f>+IFERROR(Tabla1[[#This Row],[Suma de  Consumo (L/mes)]]*Tabla1[[#This Row],[Precio '[USD/litro']]],"")</f>
        <v>3984.5</v>
      </c>
      <c r="L31" s="7">
        <f>+IFERROR(Tabla1[[#This Row],[Precio '[USD/litro']]]*Tabla1[[#This Row],[Consumo optimizado lmes]],"")</f>
        <v>3984.5</v>
      </c>
      <c r="M31" s="1">
        <f>IFERROR(Tabla1[[#This Row],[Costo total '[USD/mes']]]-Tabla1[[#This Row],[Costo optimizado '[USD/mes']]],"")</f>
        <v>0</v>
      </c>
    </row>
    <row r="32" spans="1:13">
      <c r="B32" s="5" t="s">
        <v>35</v>
      </c>
      <c r="C32" s="40"/>
      <c r="D32" s="6">
        <v>80</v>
      </c>
      <c r="E32" s="6">
        <f>+Tabla1[[#This Row],[Suma de  Consumo (L/mes)]]*(1-Tabla1[[#This Row],[Optimización]])</f>
        <v>80</v>
      </c>
      <c r="F32" s="6">
        <f>+Tabla1[[#This Row],[Suma de  Consumo (L/mes)]]-Tabla1[[#This Row],[Consumo optimizado lmes]]</f>
        <v>0</v>
      </c>
      <c r="G32" s="6"/>
      <c r="H32" s="7">
        <v>2</v>
      </c>
      <c r="I32" s="5" t="s">
        <v>80</v>
      </c>
      <c r="J32" s="7">
        <v>6.61</v>
      </c>
      <c r="K32" s="5">
        <f>+IFERROR(Tabla1[[#This Row],[Suma de  Consumo (L/mes)]]*Tabla1[[#This Row],[Precio '[USD/litro']]],"")</f>
        <v>528.80000000000007</v>
      </c>
      <c r="L32" s="7">
        <f>+IFERROR(Tabla1[[#This Row],[Precio '[USD/litro']]]*Tabla1[[#This Row],[Consumo optimizado lmes]],"")</f>
        <v>528.80000000000007</v>
      </c>
      <c r="M32" s="1">
        <f>IFERROR(Tabla1[[#This Row],[Costo total '[USD/mes']]]-Tabla1[[#This Row],[Costo optimizado '[USD/mes']]],"")</f>
        <v>0</v>
      </c>
    </row>
    <row r="33" spans="1:13">
      <c r="B33" s="5" t="s">
        <v>36</v>
      </c>
      <c r="C33" s="40"/>
      <c r="D33" s="6">
        <v>3080</v>
      </c>
      <c r="E33" s="6">
        <f>+Tabla1[[#This Row],[Suma de  Consumo (L/mes)]]*(1-Tabla1[[#This Row],[Optimización]])</f>
        <v>3080</v>
      </c>
      <c r="F33" s="6">
        <f>+Tabla1[[#This Row],[Suma de  Consumo (L/mes)]]-Tabla1[[#This Row],[Consumo optimizado lmes]]</f>
        <v>0</v>
      </c>
      <c r="G33" s="6"/>
      <c r="H33" s="7">
        <v>4</v>
      </c>
      <c r="I33" s="5" t="s">
        <v>62</v>
      </c>
      <c r="J33" s="7">
        <v>2.74</v>
      </c>
      <c r="K33" s="5">
        <f>+IFERROR(Tabla1[[#This Row],[Suma de  Consumo (L/mes)]]*Tabla1[[#This Row],[Precio '[USD/litro']]],"")</f>
        <v>8439.2000000000007</v>
      </c>
      <c r="L33" s="7">
        <f>+IFERROR(Tabla1[[#This Row],[Precio '[USD/litro']]]*Tabla1[[#This Row],[Consumo optimizado lmes]],"")</f>
        <v>8439.2000000000007</v>
      </c>
      <c r="M33" s="1">
        <f>IFERROR(Tabla1[[#This Row],[Costo total '[USD/mes']]]-Tabla1[[#This Row],[Costo optimizado '[USD/mes']]],"")</f>
        <v>0</v>
      </c>
    </row>
    <row r="34" spans="1:13">
      <c r="B34" s="5" t="s">
        <v>51</v>
      </c>
      <c r="C34" s="40"/>
      <c r="D34" s="6">
        <v>2318</v>
      </c>
      <c r="E34" s="6">
        <f>+Tabla1[[#This Row],[Suma de  Consumo (L/mes)]]*(1-Tabla1[[#This Row],[Optimización]])</f>
        <v>2318</v>
      </c>
      <c r="F34" s="6">
        <f>+Tabla1[[#This Row],[Suma de  Consumo (L/mes)]]-Tabla1[[#This Row],[Consumo optimizado lmes]]</f>
        <v>0</v>
      </c>
      <c r="G34" s="6">
        <v>7</v>
      </c>
      <c r="H34" s="7">
        <v>15</v>
      </c>
      <c r="I34" s="5" t="s">
        <v>80</v>
      </c>
      <c r="J34" s="7">
        <v>6.61</v>
      </c>
      <c r="K34" s="5">
        <f>+IFERROR(Tabla1[[#This Row],[Suma de  Consumo (L/mes)]]*Tabla1[[#This Row],[Precio '[USD/litro']]],"")</f>
        <v>15321.980000000001</v>
      </c>
      <c r="L34" s="7">
        <f>+IFERROR(Tabla1[[#This Row],[Precio '[USD/litro']]]*Tabla1[[#This Row],[Consumo optimizado lmes]],"")</f>
        <v>15321.980000000001</v>
      </c>
      <c r="M34" s="1">
        <f>IFERROR(Tabla1[[#This Row],[Costo total '[USD/mes']]]-Tabla1[[#This Row],[Costo optimizado '[USD/mes']]],"")</f>
        <v>0</v>
      </c>
    </row>
    <row r="35" spans="1:13">
      <c r="B35" s="5" t="s">
        <v>18</v>
      </c>
      <c r="C35" s="40"/>
      <c r="D35" s="6">
        <v>800</v>
      </c>
      <c r="E35" s="6">
        <f>+Tabla1[[#This Row],[Suma de  Consumo (L/mes)]]*(1-Tabla1[[#This Row],[Optimización]])</f>
        <v>800</v>
      </c>
      <c r="F35" s="6">
        <f>+Tabla1[[#This Row],[Suma de  Consumo (L/mes)]]-Tabla1[[#This Row],[Consumo optimizado lmes]]</f>
        <v>0</v>
      </c>
      <c r="G35" s="6">
        <v>1</v>
      </c>
      <c r="H35" s="7">
        <v>2</v>
      </c>
      <c r="I35" s="5" t="s">
        <v>64</v>
      </c>
      <c r="J35" s="7">
        <v>1.51</v>
      </c>
      <c r="K35" s="5">
        <f>+IFERROR(Tabla1[[#This Row],[Suma de  Consumo (L/mes)]]*Tabla1[[#This Row],[Precio '[USD/litro']]],"")</f>
        <v>1208</v>
      </c>
      <c r="L35" s="7">
        <f>+IFERROR(Tabla1[[#This Row],[Precio '[USD/litro']]]*Tabla1[[#This Row],[Consumo optimizado lmes]],"")</f>
        <v>1208</v>
      </c>
      <c r="M35" s="1">
        <f>IFERROR(Tabla1[[#This Row],[Costo total '[USD/mes']]]-Tabla1[[#This Row],[Costo optimizado '[USD/mes']]],"")</f>
        <v>0</v>
      </c>
    </row>
    <row r="36" spans="1:13">
      <c r="B36" s="5" t="s">
        <v>37</v>
      </c>
      <c r="C36" s="40"/>
      <c r="D36" s="6">
        <v>0</v>
      </c>
      <c r="E36" s="6">
        <f>+Tabla1[[#This Row],[Suma de  Consumo (L/mes)]]*(1-Tabla1[[#This Row],[Optimización]])</f>
        <v>0</v>
      </c>
      <c r="F36" s="6">
        <f>+Tabla1[[#This Row],[Suma de  Consumo (L/mes)]]-Tabla1[[#This Row],[Consumo optimizado lmes]]</f>
        <v>0</v>
      </c>
      <c r="G36" s="6"/>
      <c r="H36" s="7">
        <v>4</v>
      </c>
      <c r="I36" s="5" t="s">
        <v>65</v>
      </c>
      <c r="J36" s="7">
        <v>4.3899999999999997</v>
      </c>
      <c r="K36" s="5">
        <f>+IFERROR(Tabla1[[#This Row],[Suma de  Consumo (L/mes)]]*Tabla1[[#This Row],[Precio '[USD/litro']]],"")</f>
        <v>0</v>
      </c>
      <c r="L36" s="7">
        <f>+IFERROR(Tabla1[[#This Row],[Precio '[USD/litro']]]*Tabla1[[#This Row],[Consumo optimizado lmes]],"")</f>
        <v>0</v>
      </c>
      <c r="M36" s="1">
        <f>IFERROR(Tabla1[[#This Row],[Costo total '[USD/mes']]]-Tabla1[[#This Row],[Costo optimizado '[USD/mes']]],"")</f>
        <v>0</v>
      </c>
    </row>
    <row r="37" spans="1:13">
      <c r="B37" s="5" t="s">
        <v>38</v>
      </c>
      <c r="C37" s="40"/>
      <c r="D37" s="6">
        <v>315</v>
      </c>
      <c r="E37" s="6">
        <f>+Tabla1[[#This Row],[Suma de  Consumo (L/mes)]]*(1-Tabla1[[#This Row],[Optimización]])</f>
        <v>315</v>
      </c>
      <c r="F37" s="6">
        <f>+Tabla1[[#This Row],[Suma de  Consumo (L/mes)]]-Tabla1[[#This Row],[Consumo optimizado lmes]]</f>
        <v>0</v>
      </c>
      <c r="G37" s="6">
        <v>1</v>
      </c>
      <c r="H37" s="7">
        <v>4</v>
      </c>
      <c r="I37" s="5" t="s">
        <v>65</v>
      </c>
      <c r="J37" s="7">
        <v>4.3899999999999997</v>
      </c>
      <c r="K37" s="5">
        <f>+IFERROR(Tabla1[[#This Row],[Suma de  Consumo (L/mes)]]*Tabla1[[#This Row],[Precio '[USD/litro']]],"")</f>
        <v>1382.85</v>
      </c>
      <c r="L37" s="7">
        <f>+IFERROR(Tabla1[[#This Row],[Precio '[USD/litro']]]*Tabla1[[#This Row],[Consumo optimizado lmes]],"")</f>
        <v>1382.85</v>
      </c>
      <c r="M37" s="1">
        <f>IFERROR(Tabla1[[#This Row],[Costo total '[USD/mes']]]-Tabla1[[#This Row],[Costo optimizado '[USD/mes']]],"")</f>
        <v>0</v>
      </c>
    </row>
    <row r="38" spans="1:13">
      <c r="B38" s="5" t="s">
        <v>39</v>
      </c>
      <c r="C38" s="40"/>
      <c r="D38" s="6">
        <v>912</v>
      </c>
      <c r="E38" s="6">
        <f>+Tabla1[[#This Row],[Suma de  Consumo (L/mes)]]*(1-Tabla1[[#This Row],[Optimización]])</f>
        <v>912</v>
      </c>
      <c r="F38" s="6">
        <f>+Tabla1[[#This Row],[Suma de  Consumo (L/mes)]]-Tabla1[[#This Row],[Consumo optimizado lmes]]</f>
        <v>0</v>
      </c>
      <c r="G38" s="6">
        <v>8</v>
      </c>
      <c r="H38" s="7">
        <v>15</v>
      </c>
      <c r="I38" s="5" t="s">
        <v>81</v>
      </c>
      <c r="J38" s="7">
        <v>5.07</v>
      </c>
      <c r="K38" s="5">
        <f>+IFERROR(Tabla1[[#This Row],[Suma de  Consumo (L/mes)]]*Tabla1[[#This Row],[Precio '[USD/litro']]],"")</f>
        <v>4623.84</v>
      </c>
      <c r="L38" s="7">
        <f>+IFERROR(Tabla1[[#This Row],[Precio '[USD/litro']]]*Tabla1[[#This Row],[Consumo optimizado lmes]],"")</f>
        <v>4623.84</v>
      </c>
      <c r="M38" s="1">
        <f>IFERROR(Tabla1[[#This Row],[Costo total '[USD/mes']]]-Tabla1[[#This Row],[Costo optimizado '[USD/mes']]],"")</f>
        <v>0</v>
      </c>
    </row>
    <row r="39" spans="1:13">
      <c r="B39" s="5" t="s">
        <v>29</v>
      </c>
      <c r="C39" s="40"/>
      <c r="D39" s="6">
        <v>2018</v>
      </c>
      <c r="E39" s="6">
        <f>+Tabla1[[#This Row],[Suma de  Consumo (L/mes)]]*(1-Tabla1[[#This Row],[Optimización]])</f>
        <v>2018</v>
      </c>
      <c r="F39" s="6">
        <f>+Tabla1[[#This Row],[Suma de  Consumo (L/mes)]]-Tabla1[[#This Row],[Consumo optimizado lmes]]</f>
        <v>0</v>
      </c>
      <c r="G39" s="6">
        <v>2</v>
      </c>
      <c r="H39" s="7">
        <v>3</v>
      </c>
      <c r="I39" s="5" t="s">
        <v>82</v>
      </c>
      <c r="J39" s="7">
        <v>6.61</v>
      </c>
      <c r="K39" s="5">
        <f>+IFERROR(Tabla1[[#This Row],[Suma de  Consumo (L/mes)]]*Tabla1[[#This Row],[Precio '[USD/litro']]],"")</f>
        <v>13338.980000000001</v>
      </c>
      <c r="L39" s="7">
        <f>+IFERROR(Tabla1[[#This Row],[Precio '[USD/litro']]]*Tabla1[[#This Row],[Consumo optimizado lmes]],"")</f>
        <v>13338.980000000001</v>
      </c>
      <c r="M39" s="1">
        <f>IFERROR(Tabla1[[#This Row],[Costo total '[USD/mes']]]-Tabla1[[#This Row],[Costo optimizado '[USD/mes']]],"")</f>
        <v>0</v>
      </c>
    </row>
    <row r="40" spans="1:13">
      <c r="A40" s="1" t="s">
        <v>176</v>
      </c>
      <c r="B40" s="5" t="s">
        <v>30</v>
      </c>
      <c r="C40" s="40">
        <v>0.15</v>
      </c>
      <c r="D40" s="6">
        <v>7769</v>
      </c>
      <c r="E40" s="6">
        <f>+Tabla1[[#This Row],[Suma de  Consumo (L/mes)]]*(1-Tabla1[[#This Row],[Optimización]])</f>
        <v>6603.65</v>
      </c>
      <c r="F40" s="6">
        <f>+Tabla1[[#This Row],[Suma de  Consumo (L/mes)]]-Tabla1[[#This Row],[Consumo optimizado lmes]]</f>
        <v>1165.3500000000004</v>
      </c>
      <c r="G40" s="6">
        <v>2</v>
      </c>
      <c r="H40" s="7">
        <v>10</v>
      </c>
      <c r="I40" s="5" t="s">
        <v>68</v>
      </c>
      <c r="J40" s="7">
        <v>3.89</v>
      </c>
      <c r="K40" s="5">
        <f>+IFERROR(Tabla1[[#This Row],[Suma de  Consumo (L/mes)]]*Tabla1[[#This Row],[Precio '[USD/litro']]],"")</f>
        <v>30221.41</v>
      </c>
      <c r="L40" s="7">
        <f>+IFERROR(Tabla1[[#This Row],[Precio '[USD/litro']]]*Tabla1[[#This Row],[Consumo optimizado lmes]],"")</f>
        <v>25688.198499999999</v>
      </c>
      <c r="M40" s="1">
        <f>IFERROR(Tabla1[[#This Row],[Costo total '[USD/mes']]]-Tabla1[[#This Row],[Costo optimizado '[USD/mes']]],"")</f>
        <v>4533.2115000000013</v>
      </c>
    </row>
    <row r="41" spans="1:13">
      <c r="A41" s="1" t="s">
        <v>177</v>
      </c>
      <c r="B41" s="5" t="s">
        <v>27</v>
      </c>
      <c r="C41" s="40">
        <v>0.15</v>
      </c>
      <c r="D41" s="6">
        <v>2584</v>
      </c>
      <c r="E41" s="6">
        <f>+Tabla1[[#This Row],[Suma de  Consumo (L/mes)]]*(1-Tabla1[[#This Row],[Optimización]])</f>
        <v>2196.4</v>
      </c>
      <c r="F41" s="6">
        <f>+Tabla1[[#This Row],[Suma de  Consumo (L/mes)]]-Tabla1[[#This Row],[Consumo optimizado lmes]]</f>
        <v>387.59999999999991</v>
      </c>
      <c r="G41" s="6"/>
      <c r="H41" s="7">
        <v>7</v>
      </c>
      <c r="I41" s="5" t="s">
        <v>71</v>
      </c>
      <c r="J41" s="7">
        <v>4.0199999999999996</v>
      </c>
      <c r="K41" s="5">
        <f>+IFERROR(Tabla1[[#This Row],[Suma de  Consumo (L/mes)]]*Tabla1[[#This Row],[Precio '[USD/litro']]],"")</f>
        <v>10387.679999999998</v>
      </c>
      <c r="L41" s="7">
        <f>+IFERROR(Tabla1[[#This Row],[Precio '[USD/litro']]]*Tabla1[[#This Row],[Consumo optimizado lmes]],"")</f>
        <v>8829.5280000000002</v>
      </c>
      <c r="M41" s="1">
        <f>IFERROR(Tabla1[[#This Row],[Costo total '[USD/mes']]]-Tabla1[[#This Row],[Costo optimizado '[USD/mes']]],"")</f>
        <v>1558.1519999999982</v>
      </c>
    </row>
    <row r="42" spans="1:13">
      <c r="A42" s="1" t="s">
        <v>178</v>
      </c>
      <c r="B42" s="5" t="s">
        <v>52</v>
      </c>
      <c r="C42" s="40">
        <v>0.1</v>
      </c>
      <c r="D42" s="6">
        <v>18208</v>
      </c>
      <c r="E42" s="6">
        <f>+Tabla1[[#This Row],[Suma de  Consumo (L/mes)]]*(1-Tabla1[[#This Row],[Optimización]])</f>
        <v>16387.2</v>
      </c>
      <c r="F42" s="6">
        <f>+Tabla1[[#This Row],[Suma de  Consumo (L/mes)]]-Tabla1[[#This Row],[Consumo optimizado lmes]]</f>
        <v>1820.7999999999993</v>
      </c>
      <c r="G42" s="6">
        <v>70</v>
      </c>
      <c r="H42" s="7">
        <v>35</v>
      </c>
      <c r="I42" s="5" t="s">
        <v>70</v>
      </c>
      <c r="J42" s="7">
        <v>3.7</v>
      </c>
      <c r="K42" s="5">
        <f>+IFERROR(Tabla1[[#This Row],[Suma de  Consumo (L/mes)]]*Tabla1[[#This Row],[Precio '[USD/litro']]],"")</f>
        <v>67369.600000000006</v>
      </c>
      <c r="L42" s="7">
        <f>+IFERROR(Tabla1[[#This Row],[Precio '[USD/litro']]]*Tabla1[[#This Row],[Consumo optimizado lmes]],"")</f>
        <v>60632.640000000007</v>
      </c>
      <c r="M42" s="1">
        <f>IFERROR(Tabla1[[#This Row],[Costo total '[USD/mes']]]-Tabla1[[#This Row],[Costo optimizado '[USD/mes']]],"")</f>
        <v>6736.9599999999991</v>
      </c>
    </row>
    <row r="43" spans="1:13">
      <c r="B43" s="5" t="s">
        <v>54</v>
      </c>
      <c r="C43" s="40"/>
      <c r="D43" s="6">
        <v>0</v>
      </c>
      <c r="E43" s="6">
        <f>+Tabla1[[#This Row],[Suma de  Consumo (L/mes)]]*(1-Tabla1[[#This Row],[Optimización]])</f>
        <v>0</v>
      </c>
      <c r="F43" s="6">
        <f>+Tabla1[[#This Row],[Suma de  Consumo (L/mes)]]-Tabla1[[#This Row],[Consumo optimizado lmes]]</f>
        <v>0</v>
      </c>
      <c r="G43" s="6"/>
      <c r="H43" s="7">
        <v>4</v>
      </c>
      <c r="I43" s="5" t="s">
        <v>83</v>
      </c>
      <c r="J43" s="7">
        <v>1.41</v>
      </c>
      <c r="K43" s="5">
        <f>+IFERROR(Tabla1[[#This Row],[Suma de  Consumo (L/mes)]]*Tabla1[[#This Row],[Precio '[USD/litro']]],"")</f>
        <v>0</v>
      </c>
      <c r="L43" s="7">
        <f>+IFERROR(Tabla1[[#This Row],[Precio '[USD/litro']]]*Tabla1[[#This Row],[Consumo optimizado lmes]],"")</f>
        <v>0</v>
      </c>
      <c r="M43" s="1">
        <f>IFERROR(Tabla1[[#This Row],[Costo total '[USD/mes']]]-Tabla1[[#This Row],[Costo optimizado '[USD/mes']]],"")</f>
        <v>0</v>
      </c>
    </row>
    <row r="44" spans="1:13">
      <c r="B44" s="5" t="s">
        <v>21</v>
      </c>
      <c r="C44" s="40"/>
      <c r="D44" s="6">
        <v>5350</v>
      </c>
      <c r="E44" s="6">
        <f>+Tabla1[[#This Row],[Suma de  Consumo (L/mes)]]*(1-Tabla1[[#This Row],[Optimización]])</f>
        <v>5350</v>
      </c>
      <c r="F44" s="6">
        <f>+Tabla1[[#This Row],[Suma de  Consumo (L/mes)]]-Tabla1[[#This Row],[Consumo optimizado lmes]]</f>
        <v>0</v>
      </c>
      <c r="G44" s="6">
        <v>3</v>
      </c>
      <c r="H44" s="7">
        <v>9</v>
      </c>
      <c r="I44" s="5" t="s">
        <v>71</v>
      </c>
      <c r="J44" s="7">
        <v>4.0199999999999996</v>
      </c>
      <c r="K44" s="5">
        <f>+IFERROR(Tabla1[[#This Row],[Suma de  Consumo (L/mes)]]*Tabla1[[#This Row],[Precio '[USD/litro']]],"")</f>
        <v>21506.999999999996</v>
      </c>
      <c r="L44" s="7">
        <f>+IFERROR(Tabla1[[#This Row],[Precio '[USD/litro']]]*Tabla1[[#This Row],[Consumo optimizado lmes]],"")</f>
        <v>21506.999999999996</v>
      </c>
      <c r="M44" s="1">
        <f>IFERROR(Tabla1[[#This Row],[Costo total '[USD/mes']]]-Tabla1[[#This Row],[Costo optimizado '[USD/mes']]],"")</f>
        <v>0</v>
      </c>
    </row>
    <row r="45" spans="1:13">
      <c r="B45" s="5" t="s">
        <v>31</v>
      </c>
      <c r="C45" s="40"/>
      <c r="D45" s="6">
        <v>800</v>
      </c>
      <c r="E45" s="6">
        <f>+Tabla1[[#This Row],[Suma de  Consumo (L/mes)]]*(1-Tabla1[[#This Row],[Optimización]])</f>
        <v>800</v>
      </c>
      <c r="F45" s="6">
        <f>+Tabla1[[#This Row],[Suma de  Consumo (L/mes)]]-Tabla1[[#This Row],[Consumo optimizado lmes]]</f>
        <v>0</v>
      </c>
      <c r="G45" s="6"/>
      <c r="H45" s="7">
        <v>1</v>
      </c>
      <c r="I45" s="5" t="s">
        <v>73</v>
      </c>
      <c r="J45" s="7">
        <v>3.77</v>
      </c>
      <c r="K45" s="5">
        <f>+IFERROR(Tabla1[[#This Row],[Suma de  Consumo (L/mes)]]*Tabla1[[#This Row],[Precio '[USD/litro']]],"")</f>
        <v>3016</v>
      </c>
      <c r="L45" s="7">
        <f>+IFERROR(Tabla1[[#This Row],[Precio '[USD/litro']]]*Tabla1[[#This Row],[Consumo optimizado lmes]],"")</f>
        <v>3016</v>
      </c>
      <c r="M45" s="1">
        <f>IFERROR(Tabla1[[#This Row],[Costo total '[USD/mes']]]-Tabla1[[#This Row],[Costo optimizado '[USD/mes']]],"")</f>
        <v>0</v>
      </c>
    </row>
    <row r="46" spans="1:13">
      <c r="B46" s="5" t="s">
        <v>41</v>
      </c>
      <c r="C46" s="40"/>
      <c r="D46" s="6">
        <v>970</v>
      </c>
      <c r="E46" s="6">
        <f>+Tabla1[[#This Row],[Suma de  Consumo (L/mes)]]*(1-Tabla1[[#This Row],[Optimización]])</f>
        <v>970</v>
      </c>
      <c r="F46" s="6">
        <f>+Tabla1[[#This Row],[Suma de  Consumo (L/mes)]]-Tabla1[[#This Row],[Consumo optimizado lmes]]</f>
        <v>0</v>
      </c>
      <c r="G46" s="6">
        <v>1</v>
      </c>
      <c r="H46" s="7">
        <v>4</v>
      </c>
      <c r="I46" s="5"/>
      <c r="J46" s="7" t="s">
        <v>100</v>
      </c>
      <c r="K46" s="5" t="str">
        <f>+IFERROR(Tabla1[[#This Row],[Suma de  Consumo (L/mes)]]*Tabla1[[#This Row],[Precio '[USD/litro']]],"")</f>
        <v/>
      </c>
      <c r="L46" s="7" t="str">
        <f>+IFERROR(Tabla1[[#This Row],[Precio '[USD/litro']]]*Tabla1[[#This Row],[Consumo optimizado lmes]],"")</f>
        <v/>
      </c>
      <c r="M46" s="1" t="str">
        <f>IFERROR(Tabla1[[#This Row],[Costo total '[USD/mes']]]-Tabla1[[#This Row],[Costo optimizado '[USD/mes']]],"")</f>
        <v/>
      </c>
    </row>
    <row r="47" spans="1:13">
      <c r="B47" s="5" t="s">
        <v>42</v>
      </c>
      <c r="C47" s="40"/>
      <c r="D47" s="6">
        <v>0</v>
      </c>
      <c r="E47" s="6">
        <f>+Tabla1[[#This Row],[Suma de  Consumo (L/mes)]]*(1-Tabla1[[#This Row],[Optimización]])</f>
        <v>0</v>
      </c>
      <c r="F47" s="6">
        <f>+Tabla1[[#This Row],[Suma de  Consumo (L/mes)]]-Tabla1[[#This Row],[Consumo optimizado lmes]]</f>
        <v>0</v>
      </c>
      <c r="G47" s="6"/>
      <c r="H47" s="7">
        <v>4</v>
      </c>
      <c r="I47" s="5"/>
      <c r="J47" s="7" t="s">
        <v>100</v>
      </c>
      <c r="K47" s="5" t="str">
        <f>+IFERROR(Tabla1[[#This Row],[Suma de  Consumo (L/mes)]]*Tabla1[[#This Row],[Precio '[USD/litro']]],"")</f>
        <v/>
      </c>
      <c r="L47" s="7" t="str">
        <f>+IFERROR(Tabla1[[#This Row],[Precio '[USD/litro']]]*Tabla1[[#This Row],[Consumo optimizado lmes]],"")</f>
        <v/>
      </c>
      <c r="M47" s="1" t="str">
        <f>IFERROR(Tabla1[[#This Row],[Costo total '[USD/mes']]]-Tabla1[[#This Row],[Costo optimizado '[USD/mes']]],"")</f>
        <v/>
      </c>
    </row>
    <row r="48" spans="1:13">
      <c r="B48" s="5" t="s">
        <v>43</v>
      </c>
      <c r="C48" s="40"/>
      <c r="D48" s="6">
        <v>4760</v>
      </c>
      <c r="E48" s="6">
        <f>+Tabla1[[#This Row],[Suma de  Consumo (L/mes)]]*(1-Tabla1[[#This Row],[Optimización]])</f>
        <v>4760</v>
      </c>
      <c r="F48" s="6">
        <f>+Tabla1[[#This Row],[Suma de  Consumo (L/mes)]]-Tabla1[[#This Row],[Consumo optimizado lmes]]</f>
        <v>0</v>
      </c>
      <c r="G48" s="6"/>
      <c r="H48" s="7">
        <v>12</v>
      </c>
      <c r="I48" s="5" t="s">
        <v>75</v>
      </c>
      <c r="J48" s="7">
        <v>2.31</v>
      </c>
      <c r="K48" s="5">
        <f>+IFERROR(Tabla1[[#This Row],[Suma de  Consumo (L/mes)]]*Tabla1[[#This Row],[Precio '[USD/litro']]],"")</f>
        <v>10995.6</v>
      </c>
      <c r="L48" s="7">
        <f>+IFERROR(Tabla1[[#This Row],[Precio '[USD/litro']]]*Tabla1[[#This Row],[Consumo optimizado lmes]],"")</f>
        <v>10995.6</v>
      </c>
      <c r="M48" s="1">
        <f>IFERROR(Tabla1[[#This Row],[Costo total '[USD/mes']]]-Tabla1[[#This Row],[Costo optimizado '[USD/mes']]],"")</f>
        <v>0</v>
      </c>
    </row>
    <row r="49" spans="1:13">
      <c r="B49" s="5" t="s">
        <v>14</v>
      </c>
      <c r="C49" s="40"/>
      <c r="D49" s="6">
        <v>680</v>
      </c>
      <c r="E49" s="6">
        <f>+Tabla1[[#This Row],[Suma de  Consumo (L/mes)]]*(1-Tabla1[[#This Row],[Optimización]])</f>
        <v>680</v>
      </c>
      <c r="F49" s="6">
        <f>+Tabla1[[#This Row],[Suma de  Consumo (L/mes)]]-Tabla1[[#This Row],[Consumo optimizado lmes]]</f>
        <v>0</v>
      </c>
      <c r="G49" s="6"/>
      <c r="H49" s="7">
        <v>6</v>
      </c>
      <c r="I49" s="5" t="s">
        <v>76</v>
      </c>
      <c r="J49" s="7">
        <v>4.1100000000000003</v>
      </c>
      <c r="K49" s="5">
        <f>+IFERROR(Tabla1[[#This Row],[Suma de  Consumo (L/mes)]]*Tabla1[[#This Row],[Precio '[USD/litro']]],"")</f>
        <v>2794.8</v>
      </c>
      <c r="L49" s="7">
        <f>+IFERROR(Tabla1[[#This Row],[Precio '[USD/litro']]]*Tabla1[[#This Row],[Consumo optimizado lmes]],"")</f>
        <v>2794.8</v>
      </c>
      <c r="M49" s="1">
        <f>IFERROR(Tabla1[[#This Row],[Costo total '[USD/mes']]]-Tabla1[[#This Row],[Costo optimizado '[USD/mes']]],"")</f>
        <v>0</v>
      </c>
    </row>
    <row r="50" spans="1:13">
      <c r="B50" s="8" t="s">
        <v>7</v>
      </c>
      <c r="C50" s="41"/>
      <c r="D50" s="6">
        <v>105269.83000000002</v>
      </c>
      <c r="E50" s="6">
        <f>+Tabla1[[#This Row],[Suma de  Consumo (L/mes)]]*(1-Tabla1[[#This Row],[Optimización]])</f>
        <v>105269.83000000002</v>
      </c>
      <c r="F50" s="6">
        <f>+Tabla1[[#This Row],[Suma de  Consumo (L/mes)]]-Tabla1[[#This Row],[Consumo optimizado lmes]]</f>
        <v>0</v>
      </c>
      <c r="G50" s="6">
        <v>195</v>
      </c>
      <c r="H50" s="7">
        <v>154</v>
      </c>
      <c r="I50" s="5"/>
      <c r="J50" s="7"/>
      <c r="K50" s="5">
        <f>+IFERROR(Tabla1[[#This Row],[Suma de  Consumo (L/mes)]]*Tabla1[[#This Row],[Precio '[USD/litro']]],"")</f>
        <v>0</v>
      </c>
      <c r="L50" s="7">
        <f>+IFERROR(Tabla1[[#This Row],[Precio '[USD/litro']]]*Tabla1[[#This Row],[Consumo optimizado lmes]],"")</f>
        <v>0</v>
      </c>
      <c r="M50" s="1">
        <f>IFERROR(Tabla1[[#This Row],[Costo total '[USD/mes']]]-Tabla1[[#This Row],[Costo optimizado '[USD/mes']]],"")</f>
        <v>0</v>
      </c>
    </row>
    <row r="51" spans="1:13">
      <c r="B51" s="5" t="s">
        <v>15</v>
      </c>
      <c r="C51" s="40"/>
      <c r="D51" s="6">
        <v>3923.2599999999998</v>
      </c>
      <c r="E51" s="6">
        <f>+Tabla1[[#This Row],[Suma de  Consumo (L/mes)]]*(1-Tabla1[[#This Row],[Optimización]])</f>
        <v>3923.2599999999998</v>
      </c>
      <c r="F51" s="6">
        <f>+Tabla1[[#This Row],[Suma de  Consumo (L/mes)]]-Tabla1[[#This Row],[Consumo optimizado lmes]]</f>
        <v>0</v>
      </c>
      <c r="G51" s="6"/>
      <c r="H51" s="7">
        <v>11</v>
      </c>
      <c r="I51" s="5" t="s">
        <v>77</v>
      </c>
      <c r="J51" s="7">
        <v>4.09</v>
      </c>
      <c r="K51" s="5">
        <f>+IFERROR(Tabla1[[#This Row],[Suma de  Consumo (L/mes)]]*Tabla1[[#This Row],[Precio '[USD/litro']]],"")</f>
        <v>16046.133399999999</v>
      </c>
      <c r="L51" s="7">
        <f>+IFERROR(Tabla1[[#This Row],[Precio '[USD/litro']]]*Tabla1[[#This Row],[Consumo optimizado lmes]],"")</f>
        <v>16046.133399999999</v>
      </c>
      <c r="M51" s="1">
        <f>IFERROR(Tabla1[[#This Row],[Costo total '[USD/mes']]]-Tabla1[[#This Row],[Costo optimizado '[USD/mes']]],"")</f>
        <v>0</v>
      </c>
    </row>
    <row r="52" spans="1:13">
      <c r="A52" s="1" t="s">
        <v>170</v>
      </c>
      <c r="B52" s="5" t="s">
        <v>55</v>
      </c>
      <c r="C52" s="40">
        <v>0.15</v>
      </c>
      <c r="D52" s="6">
        <v>15165.1</v>
      </c>
      <c r="E52" s="6">
        <f>+Tabla1[[#This Row],[Suma de  Consumo (L/mes)]]*(1-Tabla1[[#This Row],[Optimización]])</f>
        <v>12890.334999999999</v>
      </c>
      <c r="F52" s="6">
        <f>+Tabla1[[#This Row],[Suma de  Consumo (L/mes)]]-Tabla1[[#This Row],[Consumo optimizado lmes]]</f>
        <v>2274.7650000000012</v>
      </c>
      <c r="G52" s="6">
        <v>129</v>
      </c>
      <c r="H52" s="7">
        <v>4</v>
      </c>
      <c r="I52" s="5" t="s">
        <v>84</v>
      </c>
      <c r="J52" s="7">
        <v>6.08</v>
      </c>
      <c r="K52" s="5">
        <f>+IFERROR(Tabla1[[#This Row],[Suma de  Consumo (L/mes)]]*Tabla1[[#This Row],[Precio '[USD/litro']]],"")</f>
        <v>92203.808000000005</v>
      </c>
      <c r="L52" s="7">
        <f>+IFERROR(Tabla1[[#This Row],[Precio '[USD/litro']]]*Tabla1[[#This Row],[Consumo optimizado lmes]],"")</f>
        <v>78373.236799999999</v>
      </c>
      <c r="M52" s="1">
        <f>IFERROR(Tabla1[[#This Row],[Costo total '[USD/mes']]]-Tabla1[[#This Row],[Costo optimizado '[USD/mes']]],"")</f>
        <v>13830.571200000006</v>
      </c>
    </row>
    <row r="53" spans="1:13">
      <c r="B53" s="5" t="s">
        <v>50</v>
      </c>
      <c r="C53" s="40"/>
      <c r="D53" s="6">
        <v>1845.5</v>
      </c>
      <c r="E53" s="6">
        <f>+Tabla1[[#This Row],[Suma de  Consumo (L/mes)]]*(1-Tabla1[[#This Row],[Optimización]])</f>
        <v>1845.5</v>
      </c>
      <c r="F53" s="6">
        <f>+Tabla1[[#This Row],[Suma de  Consumo (L/mes)]]-Tabla1[[#This Row],[Consumo optimizado lmes]]</f>
        <v>0</v>
      </c>
      <c r="G53" s="6"/>
      <c r="H53" s="7">
        <v>3</v>
      </c>
      <c r="I53" s="5" t="s">
        <v>85</v>
      </c>
      <c r="J53" s="7">
        <v>9.73</v>
      </c>
      <c r="K53" s="5">
        <f>+IFERROR(Tabla1[[#This Row],[Suma de  Consumo (L/mes)]]*Tabla1[[#This Row],[Precio '[USD/litro']]],"")</f>
        <v>17956.715</v>
      </c>
      <c r="L53" s="7">
        <f>+IFERROR(Tabla1[[#This Row],[Precio '[USD/litro']]]*Tabla1[[#This Row],[Consumo optimizado lmes]],"")</f>
        <v>17956.715</v>
      </c>
      <c r="M53" s="1">
        <f>IFERROR(Tabla1[[#This Row],[Costo total '[USD/mes']]]-Tabla1[[#This Row],[Costo optimizado '[USD/mes']]],"")</f>
        <v>0</v>
      </c>
    </row>
    <row r="54" spans="1:13">
      <c r="A54" s="1" t="s">
        <v>171</v>
      </c>
      <c r="B54" s="5" t="s">
        <v>53</v>
      </c>
      <c r="C54" s="40">
        <v>0.2</v>
      </c>
      <c r="D54" s="6">
        <f>26778.01*0.413</f>
        <v>11059.31813</v>
      </c>
      <c r="E54" s="6">
        <f>+Tabla1[[#This Row],[Suma de  Consumo (L/mes)]]*(1-Tabla1[[#This Row],[Optimización]])</f>
        <v>8847.4545039999994</v>
      </c>
      <c r="F54" s="6">
        <f>+Tabla1[[#This Row],[Suma de  Consumo (L/mes)]]-Tabla1[[#This Row],[Consumo optimizado lmes]]</f>
        <v>2211.8636260000003</v>
      </c>
      <c r="G54" s="6">
        <v>2</v>
      </c>
      <c r="H54" s="7">
        <v>37</v>
      </c>
      <c r="I54" s="5" t="s">
        <v>86</v>
      </c>
      <c r="J54" s="7">
        <v>7.22</v>
      </c>
      <c r="K54" s="5">
        <f>+IFERROR(Tabla1[[#This Row],[Suma de  Consumo (L/mes)]]*Tabla1[[#This Row],[Precio '[USD/litro']]],"")</f>
        <v>79848.276898600001</v>
      </c>
      <c r="L54" s="7">
        <f>+IFERROR(Tabla1[[#This Row],[Precio '[USD/litro']]]*Tabla1[[#This Row],[Consumo optimizado lmes]],"")</f>
        <v>63878.621518879991</v>
      </c>
      <c r="M54" s="1">
        <f>IFERROR(Tabla1[[#This Row],[Costo total '[USD/mes']]]-Tabla1[[#This Row],[Costo optimizado '[USD/mes']]],"")</f>
        <v>15969.65537972001</v>
      </c>
    </row>
    <row r="55" spans="1:13">
      <c r="A55" s="1" t="s">
        <v>171</v>
      </c>
      <c r="B55" s="5" t="s">
        <v>53</v>
      </c>
      <c r="C55" s="40">
        <v>0.2</v>
      </c>
      <c r="D55" s="6">
        <f>26778.01*0.104</f>
        <v>2784.9130399999999</v>
      </c>
      <c r="E55" s="6">
        <f>+Tabla1[[#This Row],[Suma de  Consumo (L/mes)]]*(1-Tabla1[[#This Row],[Optimización]])</f>
        <v>2227.9304320000001</v>
      </c>
      <c r="F55" s="6">
        <f>+Tabla1[[#This Row],[Suma de  Consumo (L/mes)]]-Tabla1[[#This Row],[Consumo optimizado lmes]]</f>
        <v>556.9826079999998</v>
      </c>
      <c r="G55" s="6"/>
      <c r="H55" s="7"/>
      <c r="I55" s="5" t="s">
        <v>87</v>
      </c>
      <c r="J55" s="7">
        <v>5</v>
      </c>
      <c r="K55" s="5">
        <f>+IFERROR(Tabla1[[#This Row],[Suma de  Consumo (L/mes)]]*Tabla1[[#This Row],[Precio '[USD/litro']]],"")</f>
        <v>13924.565199999999</v>
      </c>
      <c r="L55" s="7">
        <f>+IFERROR(Tabla1[[#This Row],[Precio '[USD/litro']]]*Tabla1[[#This Row],[Consumo optimizado lmes]],"")</f>
        <v>11139.652160000001</v>
      </c>
      <c r="M55" s="1">
        <f>IFERROR(Tabla1[[#This Row],[Costo total '[USD/mes']]]-Tabla1[[#This Row],[Costo optimizado '[USD/mes']]],"")</f>
        <v>2784.9130399999976</v>
      </c>
    </row>
    <row r="56" spans="1:13">
      <c r="A56" s="1" t="s">
        <v>171</v>
      </c>
      <c r="B56" s="5" t="s">
        <v>53</v>
      </c>
      <c r="C56" s="40">
        <v>0.2</v>
      </c>
      <c r="D56" s="6">
        <f>26778.01*0.482</f>
        <v>12907.000819999999</v>
      </c>
      <c r="E56" s="6">
        <f>+Tabla1[[#This Row],[Suma de  Consumo (L/mes)]]*(1-Tabla1[[#This Row],[Optimización]])</f>
        <v>10325.600656000001</v>
      </c>
      <c r="F56" s="6">
        <f>+Tabla1[[#This Row],[Suma de  Consumo (L/mes)]]-Tabla1[[#This Row],[Consumo optimizado lmes]]</f>
        <v>2581.4001639999988</v>
      </c>
      <c r="G56" s="6"/>
      <c r="H56" s="7"/>
      <c r="I56" s="5" t="s">
        <v>61</v>
      </c>
      <c r="J56" s="7">
        <v>3.25</v>
      </c>
      <c r="K56" s="5">
        <f>+IFERROR(Tabla1[[#This Row],[Suma de  Consumo (L/mes)]]*Tabla1[[#This Row],[Precio '[USD/litro']]],"")</f>
        <v>41947.752665</v>
      </c>
      <c r="L56" s="7">
        <f>+IFERROR(Tabla1[[#This Row],[Precio '[USD/litro']]]*Tabla1[[#This Row],[Consumo optimizado lmes]],"")</f>
        <v>33558.202131999999</v>
      </c>
      <c r="M56" s="1">
        <f>IFERROR(Tabla1[[#This Row],[Costo total '[USD/mes']]]-Tabla1[[#This Row],[Costo optimizado '[USD/mes']]],"")</f>
        <v>8389.5505330000015</v>
      </c>
    </row>
    <row r="57" spans="1:13">
      <c r="B57" s="5" t="s">
        <v>18</v>
      </c>
      <c r="C57" s="40"/>
      <c r="D57" s="6">
        <v>1200</v>
      </c>
      <c r="E57" s="6">
        <f>+Tabla1[[#This Row],[Suma de  Consumo (L/mes)]]*(1-Tabla1[[#This Row],[Optimización]])</f>
        <v>1200</v>
      </c>
      <c r="F57" s="6">
        <f>+Tabla1[[#This Row],[Suma de  Consumo (L/mes)]]-Tabla1[[#This Row],[Consumo optimizado lmes]]</f>
        <v>0</v>
      </c>
      <c r="G57" s="6">
        <v>5</v>
      </c>
      <c r="H57" s="7"/>
      <c r="I57" s="5" t="s">
        <v>88</v>
      </c>
      <c r="J57" s="7">
        <v>1.51</v>
      </c>
      <c r="K57" s="5">
        <f>+IFERROR(Tabla1[[#This Row],[Suma de  Consumo (L/mes)]]*Tabla1[[#This Row],[Precio '[USD/litro']]],"")</f>
        <v>1812</v>
      </c>
      <c r="L57" s="7">
        <f>+IFERROR(Tabla1[[#This Row],[Precio '[USD/litro']]]*Tabla1[[#This Row],[Consumo optimizado lmes]],"")</f>
        <v>1812</v>
      </c>
      <c r="M57" s="1">
        <f>IFERROR(Tabla1[[#This Row],[Costo total '[USD/mes']]]-Tabla1[[#This Row],[Costo optimizado '[USD/mes']]],"")</f>
        <v>0</v>
      </c>
    </row>
    <row r="58" spans="1:13">
      <c r="B58" s="5" t="s">
        <v>8</v>
      </c>
      <c r="C58" s="40"/>
      <c r="D58" s="6">
        <v>11768.080000000002</v>
      </c>
      <c r="E58" s="6">
        <f>+Tabla1[[#This Row],[Suma de  Consumo (L/mes)]]*(1-Tabla1[[#This Row],[Optimización]])</f>
        <v>11768.080000000002</v>
      </c>
      <c r="F58" s="6">
        <f>+Tabla1[[#This Row],[Suma de  Consumo (L/mes)]]-Tabla1[[#This Row],[Consumo optimizado lmes]]</f>
        <v>0</v>
      </c>
      <c r="G58" s="6">
        <v>19</v>
      </c>
      <c r="H58" s="7">
        <v>20</v>
      </c>
      <c r="I58" s="5" t="s">
        <v>89</v>
      </c>
      <c r="J58" s="7">
        <v>4.7</v>
      </c>
      <c r="K58" s="5">
        <f>+IFERROR(Tabla1[[#This Row],[Suma de  Consumo (L/mes)]]*Tabla1[[#This Row],[Precio '[USD/litro']]],"")</f>
        <v>55309.97600000001</v>
      </c>
      <c r="L58" s="7">
        <f>+IFERROR(Tabla1[[#This Row],[Precio '[USD/litro']]]*Tabla1[[#This Row],[Consumo optimizado lmes]],"")</f>
        <v>55309.97600000001</v>
      </c>
      <c r="M58" s="1">
        <f>IFERROR(Tabla1[[#This Row],[Costo total '[USD/mes']]]-Tabla1[[#This Row],[Costo optimizado '[USD/mes']]],"")</f>
        <v>0</v>
      </c>
    </row>
    <row r="59" spans="1:13">
      <c r="B59" s="5" t="s">
        <v>1</v>
      </c>
      <c r="C59" s="40"/>
      <c r="D59" s="6">
        <v>647</v>
      </c>
      <c r="E59" s="6">
        <f>+Tabla1[[#This Row],[Suma de  Consumo (L/mes)]]*(1-Tabla1[[#This Row],[Optimización]])</f>
        <v>647</v>
      </c>
      <c r="F59" s="6">
        <f>+Tabla1[[#This Row],[Suma de  Consumo (L/mes)]]-Tabla1[[#This Row],[Consumo optimizado lmes]]</f>
        <v>0</v>
      </c>
      <c r="G59" s="6"/>
      <c r="H59" s="7">
        <v>2</v>
      </c>
      <c r="I59" s="5" t="s">
        <v>89</v>
      </c>
      <c r="J59" s="7">
        <v>4.7</v>
      </c>
      <c r="K59" s="5">
        <f>+IFERROR(Tabla1[[#This Row],[Suma de  Consumo (L/mes)]]*Tabla1[[#This Row],[Precio '[USD/litro']]],"")</f>
        <v>3040.9</v>
      </c>
      <c r="L59" s="7">
        <f>+IFERROR(Tabla1[[#This Row],[Precio '[USD/litro']]]*Tabla1[[#This Row],[Consumo optimizado lmes]],"")</f>
        <v>3040.9</v>
      </c>
      <c r="M59" s="1">
        <f>IFERROR(Tabla1[[#This Row],[Costo total '[USD/mes']]]-Tabla1[[#This Row],[Costo optimizado '[USD/mes']]],"")</f>
        <v>0</v>
      </c>
    </row>
    <row r="60" spans="1:13">
      <c r="A60" s="1" t="s">
        <v>172</v>
      </c>
      <c r="B60" s="5" t="s">
        <v>9</v>
      </c>
      <c r="C60" s="40">
        <v>0.15</v>
      </c>
      <c r="D60" s="6">
        <v>0</v>
      </c>
      <c r="E60" s="6">
        <f>+Tabla1[[#This Row],[Suma de  Consumo (L/mes)]]*(1-Tabla1[[#This Row],[Optimización]])</f>
        <v>0</v>
      </c>
      <c r="F60" s="6">
        <f>+Tabla1[[#This Row],[Suma de  Consumo (L/mes)]]-Tabla1[[#This Row],[Consumo optimizado lmes]]</f>
        <v>0</v>
      </c>
      <c r="G60" s="6"/>
      <c r="H60" s="7"/>
      <c r="I60" s="5" t="s">
        <v>89</v>
      </c>
      <c r="J60" s="7">
        <v>4.7</v>
      </c>
      <c r="K60" s="5">
        <f>+IFERROR(Tabla1[[#This Row],[Suma de  Consumo (L/mes)]]*Tabla1[[#This Row],[Precio '[USD/litro']]],"")</f>
        <v>0</v>
      </c>
      <c r="L60" s="7">
        <f>+IFERROR(Tabla1[[#This Row],[Precio '[USD/litro']]]*Tabla1[[#This Row],[Consumo optimizado lmes]],"")</f>
        <v>0</v>
      </c>
      <c r="M60" s="1">
        <f>IFERROR(Tabla1[[#This Row],[Costo total '[USD/mes']]]-Tabla1[[#This Row],[Costo optimizado '[USD/mes']]],"")</f>
        <v>0</v>
      </c>
    </row>
    <row r="61" spans="1:13">
      <c r="B61" s="5" t="s">
        <v>19</v>
      </c>
      <c r="C61" s="40"/>
      <c r="D61" s="6">
        <v>15.159999999999997</v>
      </c>
      <c r="E61" s="6">
        <f>+Tabla1[[#This Row],[Suma de  Consumo (L/mes)]]*(1-Tabla1[[#This Row],[Optimización]])</f>
        <v>15.159999999999997</v>
      </c>
      <c r="F61" s="6">
        <f>+Tabla1[[#This Row],[Suma de  Consumo (L/mes)]]-Tabla1[[#This Row],[Consumo optimizado lmes]]</f>
        <v>0</v>
      </c>
      <c r="G61" s="6"/>
      <c r="H61" s="7">
        <v>1</v>
      </c>
      <c r="I61" s="5" t="s">
        <v>89</v>
      </c>
      <c r="J61" s="7">
        <v>4.7</v>
      </c>
      <c r="K61" s="5">
        <f>+IFERROR(Tabla1[[#This Row],[Suma de  Consumo (L/mes)]]*Tabla1[[#This Row],[Precio '[USD/litro']]],"")</f>
        <v>71.251999999999981</v>
      </c>
      <c r="L61" s="7">
        <f>+IFERROR(Tabla1[[#This Row],[Precio '[USD/litro']]]*Tabla1[[#This Row],[Consumo optimizado lmes]],"")</f>
        <v>71.251999999999981</v>
      </c>
      <c r="M61" s="1">
        <f>IFERROR(Tabla1[[#This Row],[Costo total '[USD/mes']]]-Tabla1[[#This Row],[Costo optimizado '[USD/mes']]],"")</f>
        <v>0</v>
      </c>
    </row>
    <row r="62" spans="1:13">
      <c r="B62" s="5" t="s">
        <v>20</v>
      </c>
      <c r="C62" s="40"/>
      <c r="D62" s="6">
        <v>0</v>
      </c>
      <c r="E62" s="6">
        <f>+Tabla1[[#This Row],[Suma de  Consumo (L/mes)]]*(1-Tabla1[[#This Row],[Optimización]])</f>
        <v>0</v>
      </c>
      <c r="F62" s="6">
        <f>+Tabla1[[#This Row],[Suma de  Consumo (L/mes)]]-Tabla1[[#This Row],[Consumo optimizado lmes]]</f>
        <v>0</v>
      </c>
      <c r="G62" s="6"/>
      <c r="H62" s="7"/>
      <c r="I62" s="5"/>
      <c r="J62" s="7" t="s">
        <v>100</v>
      </c>
      <c r="K62" s="5" t="str">
        <f>+IFERROR(Tabla1[[#This Row],[Suma de  Consumo (L/mes)]]*Tabla1[[#This Row],[Precio '[USD/litro']]],"")</f>
        <v/>
      </c>
      <c r="L62" s="7" t="str">
        <f>+IFERROR(Tabla1[[#This Row],[Precio '[USD/litro']]]*Tabla1[[#This Row],[Consumo optimizado lmes]],"")</f>
        <v/>
      </c>
      <c r="M62" s="1" t="str">
        <f>IFERROR(Tabla1[[#This Row],[Costo total '[USD/mes']]]-Tabla1[[#This Row],[Costo optimizado '[USD/mes']]],"")</f>
        <v/>
      </c>
    </row>
    <row r="63" spans="1:13">
      <c r="B63" s="5" t="s">
        <v>56</v>
      </c>
      <c r="C63" s="40"/>
      <c r="D63" s="6">
        <v>3533.7999999999997</v>
      </c>
      <c r="E63" s="6">
        <f>+Tabla1[[#This Row],[Suma de  Consumo (L/mes)]]*(1-Tabla1[[#This Row],[Optimización]])</f>
        <v>3533.7999999999997</v>
      </c>
      <c r="F63" s="6">
        <f>+Tabla1[[#This Row],[Suma de  Consumo (L/mes)]]-Tabla1[[#This Row],[Consumo optimizado lmes]]</f>
        <v>0</v>
      </c>
      <c r="G63" s="6"/>
      <c r="H63" s="7">
        <v>4</v>
      </c>
      <c r="I63" s="5" t="s">
        <v>90</v>
      </c>
      <c r="J63" s="7">
        <v>8.15</v>
      </c>
      <c r="K63" s="5">
        <f>+IFERROR(Tabla1[[#This Row],[Suma de  Consumo (L/mes)]]*Tabla1[[#This Row],[Precio '[USD/litro']]],"")</f>
        <v>28800.469999999998</v>
      </c>
      <c r="L63" s="7">
        <f>+IFERROR(Tabla1[[#This Row],[Precio '[USD/litro']]]*Tabla1[[#This Row],[Consumo optimizado lmes]],"")</f>
        <v>28800.469999999998</v>
      </c>
      <c r="M63" s="1">
        <f>IFERROR(Tabla1[[#This Row],[Costo total '[USD/mes']]]-Tabla1[[#This Row],[Costo optimizado '[USD/mes']]],"")</f>
        <v>0</v>
      </c>
    </row>
    <row r="64" spans="1:13">
      <c r="B64" s="5"/>
      <c r="C64" s="40"/>
      <c r="D64" s="6"/>
      <c r="E64" s="6">
        <f>+Tabla1[[#This Row],[Suma de  Consumo (L/mes)]]*(1-Tabla1[[#This Row],[Optimización]])</f>
        <v>0</v>
      </c>
      <c r="F64" s="6">
        <f>+Tabla1[[#This Row],[Suma de  Consumo (L/mes)]]-Tabla1[[#This Row],[Consumo optimizado lmes]]</f>
        <v>0</v>
      </c>
      <c r="G64" s="6"/>
      <c r="H64" s="7"/>
      <c r="I64" s="5" t="s">
        <v>62</v>
      </c>
      <c r="J64" s="7">
        <v>2.74</v>
      </c>
      <c r="K64" s="5">
        <f>+IFERROR(Tabla1[[#This Row],[Suma de  Consumo (L/mes)]]*Tabla1[[#This Row],[Precio '[USD/litro']]],"")</f>
        <v>0</v>
      </c>
      <c r="L64" s="7">
        <f>+IFERROR(Tabla1[[#This Row],[Precio '[USD/litro']]]*Tabla1[[#This Row],[Consumo optimizado lmes]],"")</f>
        <v>0</v>
      </c>
      <c r="M64" s="1">
        <f>IFERROR(Tabla1[[#This Row],[Costo total '[USD/mes']]]-Tabla1[[#This Row],[Costo optimizado '[USD/mes']]],"")</f>
        <v>0</v>
      </c>
    </row>
    <row r="65" spans="1:13">
      <c r="B65" s="5" t="s">
        <v>16</v>
      </c>
      <c r="C65" s="40"/>
      <c r="D65" s="6">
        <v>4082.5600000000004</v>
      </c>
      <c r="E65" s="6">
        <f>+Tabla1[[#This Row],[Suma de  Consumo (L/mes)]]*(1-Tabla1[[#This Row],[Optimización]])</f>
        <v>4082.5600000000004</v>
      </c>
      <c r="F65" s="6">
        <f>+Tabla1[[#This Row],[Suma de  Consumo (L/mes)]]-Tabla1[[#This Row],[Consumo optimizado lmes]]</f>
        <v>0</v>
      </c>
      <c r="G65" s="6"/>
      <c r="H65" s="7">
        <v>8</v>
      </c>
      <c r="I65" s="5" t="s">
        <v>91</v>
      </c>
      <c r="J65" s="7">
        <v>3.89</v>
      </c>
      <c r="K65" s="5">
        <f>+IFERROR(Tabla1[[#This Row],[Suma de  Consumo (L/mes)]]*Tabla1[[#This Row],[Precio '[USD/litro']]],"")</f>
        <v>15881.158400000002</v>
      </c>
      <c r="L65" s="7">
        <f>+IFERROR(Tabla1[[#This Row],[Precio '[USD/litro']]]*Tabla1[[#This Row],[Consumo optimizado lmes]],"")</f>
        <v>15881.158400000002</v>
      </c>
      <c r="M65" s="1">
        <f>IFERROR(Tabla1[[#This Row],[Costo total '[USD/mes']]]-Tabla1[[#This Row],[Costo optimizado '[USD/mes']]],"")</f>
        <v>0</v>
      </c>
    </row>
    <row r="66" spans="1:13">
      <c r="B66" s="5" t="s">
        <v>3</v>
      </c>
      <c r="C66" s="40"/>
      <c r="D66" s="6">
        <v>1831</v>
      </c>
      <c r="E66" s="6">
        <f>+Tabla1[[#This Row],[Suma de  Consumo (L/mes)]]*(1-Tabla1[[#This Row],[Optimización]])</f>
        <v>1831</v>
      </c>
      <c r="F66" s="6">
        <f>+Tabla1[[#This Row],[Suma de  Consumo (L/mes)]]-Tabla1[[#This Row],[Consumo optimizado lmes]]</f>
        <v>0</v>
      </c>
      <c r="G66" s="6"/>
      <c r="H66" s="7">
        <v>5</v>
      </c>
      <c r="I66" s="5" t="s">
        <v>92</v>
      </c>
      <c r="J66" s="7">
        <v>4.5999999999999996</v>
      </c>
      <c r="K66" s="5">
        <f>+IFERROR(Tabla1[[#This Row],[Suma de  Consumo (L/mes)]]*Tabla1[[#This Row],[Precio '[USD/litro']]],"")</f>
        <v>8422.5999999999985</v>
      </c>
      <c r="L66" s="7">
        <f>+IFERROR(Tabla1[[#This Row],[Precio '[USD/litro']]]*Tabla1[[#This Row],[Consumo optimizado lmes]],"")</f>
        <v>8422.5999999999985</v>
      </c>
      <c r="M66" s="1">
        <f>IFERROR(Tabla1[[#This Row],[Costo total '[USD/mes']]]-Tabla1[[#This Row],[Costo optimizado '[USD/mes']]],"")</f>
        <v>0</v>
      </c>
    </row>
    <row r="67" spans="1:13">
      <c r="A67" s="1" t="s">
        <v>173</v>
      </c>
      <c r="B67" s="5" t="s">
        <v>52</v>
      </c>
      <c r="C67" s="40">
        <v>0.15</v>
      </c>
      <c r="D67" s="6">
        <v>8567.26</v>
      </c>
      <c r="E67" s="6">
        <f>+Tabla1[[#This Row],[Suma de  Consumo (L/mes)]]*(1-Tabla1[[#This Row],[Optimización]])</f>
        <v>7282.1710000000003</v>
      </c>
      <c r="F67" s="6">
        <f>+Tabla1[[#This Row],[Suma de  Consumo (L/mes)]]-Tabla1[[#This Row],[Consumo optimizado lmes]]</f>
        <v>1285.0889999999999</v>
      </c>
      <c r="G67" s="6">
        <v>37</v>
      </c>
      <c r="H67" s="7">
        <v>11</v>
      </c>
      <c r="I67" s="5" t="s">
        <v>93</v>
      </c>
      <c r="J67" s="7">
        <v>3.21</v>
      </c>
      <c r="K67" s="5">
        <f>+IFERROR(Tabla1[[#This Row],[Suma de  Consumo (L/mes)]]*Tabla1[[#This Row],[Precio '[USD/litro']]],"")</f>
        <v>27500.904600000002</v>
      </c>
      <c r="L67" s="7">
        <f>+IFERROR(Tabla1[[#This Row],[Precio '[USD/litro']]]*Tabla1[[#This Row],[Consumo optimizado lmes]],"")</f>
        <v>23375.768909999999</v>
      </c>
      <c r="M67" s="1">
        <f>IFERROR(Tabla1[[#This Row],[Costo total '[USD/mes']]]-Tabla1[[#This Row],[Costo optimizado '[USD/mes']]],"")</f>
        <v>4125.1356900000028</v>
      </c>
    </row>
    <row r="68" spans="1:13">
      <c r="B68" s="5" t="s">
        <v>54</v>
      </c>
      <c r="C68" s="40"/>
      <c r="D68" s="6">
        <v>0</v>
      </c>
      <c r="E68" s="6">
        <f>+Tabla1[[#This Row],[Suma de  Consumo (L/mes)]]*(1-Tabla1[[#This Row],[Optimización]])</f>
        <v>0</v>
      </c>
      <c r="F68" s="6">
        <f>+Tabla1[[#This Row],[Suma de  Consumo (L/mes)]]-Tabla1[[#This Row],[Consumo optimizado lmes]]</f>
        <v>0</v>
      </c>
      <c r="G68" s="6"/>
      <c r="H68" s="7"/>
      <c r="I68" s="5" t="s">
        <v>83</v>
      </c>
      <c r="J68" s="7">
        <v>1.41</v>
      </c>
      <c r="K68" s="5">
        <f>+IFERROR(Tabla1[[#This Row],[Suma de  Consumo (L/mes)]]*Tabla1[[#This Row],[Precio '[USD/litro']]],"")</f>
        <v>0</v>
      </c>
      <c r="L68" s="7">
        <f>+IFERROR(Tabla1[[#This Row],[Precio '[USD/litro']]]*Tabla1[[#This Row],[Consumo optimizado lmes]],"")</f>
        <v>0</v>
      </c>
      <c r="M68" s="1">
        <f>IFERROR(Tabla1[[#This Row],[Costo total '[USD/mes']]]-Tabla1[[#This Row],[Costo optimizado '[USD/mes']]],"")</f>
        <v>0</v>
      </c>
    </row>
    <row r="69" spans="1:13">
      <c r="A69" s="1" t="s">
        <v>174</v>
      </c>
      <c r="B69" s="5" t="s">
        <v>21</v>
      </c>
      <c r="C69" s="40">
        <v>0.15</v>
      </c>
      <c r="D69" s="6">
        <v>11284.460000000001</v>
      </c>
      <c r="E69" s="6">
        <f>+Tabla1[[#This Row],[Suma de  Consumo (L/mes)]]*(1-Tabla1[[#This Row],[Optimización]])</f>
        <v>9591.7910000000011</v>
      </c>
      <c r="F69" s="6">
        <f>+Tabla1[[#This Row],[Suma de  Consumo (L/mes)]]-Tabla1[[#This Row],[Consumo optimizado lmes]]</f>
        <v>1692.6689999999999</v>
      </c>
      <c r="G69" s="6"/>
      <c r="H69" s="7">
        <v>23</v>
      </c>
      <c r="I69" s="5" t="s">
        <v>69</v>
      </c>
      <c r="J69" s="7">
        <v>3.48</v>
      </c>
      <c r="K69" s="5">
        <f>+IFERROR(Tabla1[[#This Row],[Suma de  Consumo (L/mes)]]*Tabla1[[#This Row],[Precio '[USD/litro']]],"")</f>
        <v>39269.9208</v>
      </c>
      <c r="L69" s="7">
        <f>+IFERROR(Tabla1[[#This Row],[Precio '[USD/litro']]]*Tabla1[[#This Row],[Consumo optimizado lmes]],"")</f>
        <v>33379.432680000005</v>
      </c>
      <c r="M69" s="1">
        <f>IFERROR(Tabla1[[#This Row],[Costo total '[USD/mes']]]-Tabla1[[#This Row],[Costo optimizado '[USD/mes']]],"")</f>
        <v>5890.4881199999945</v>
      </c>
    </row>
    <row r="70" spans="1:13">
      <c r="B70" s="5" t="s">
        <v>10</v>
      </c>
      <c r="C70" s="40"/>
      <c r="D70" s="6">
        <v>0</v>
      </c>
      <c r="E70" s="6">
        <f>+Tabla1[[#This Row],[Suma de  Consumo (L/mes)]]*(1-Tabla1[[#This Row],[Optimización]])</f>
        <v>0</v>
      </c>
      <c r="F70" s="6">
        <f>+Tabla1[[#This Row],[Suma de  Consumo (L/mes)]]-Tabla1[[#This Row],[Consumo optimizado lmes]]</f>
        <v>0</v>
      </c>
      <c r="G70" s="6"/>
      <c r="H70" s="7"/>
      <c r="I70" s="5" t="s">
        <v>94</v>
      </c>
      <c r="J70" s="7">
        <v>7.2</v>
      </c>
      <c r="K70" s="5">
        <f>+IFERROR(Tabla1[[#This Row],[Suma de  Consumo (L/mes)]]*Tabla1[[#This Row],[Precio '[USD/litro']]],"")</f>
        <v>0</v>
      </c>
      <c r="L70" s="7">
        <f>+IFERROR(Tabla1[[#This Row],[Precio '[USD/litro']]]*Tabla1[[#This Row],[Consumo optimizado lmes]],"")</f>
        <v>0</v>
      </c>
      <c r="M70" s="1">
        <f>IFERROR(Tabla1[[#This Row],[Costo total '[USD/mes']]]-Tabla1[[#This Row],[Costo optimizado '[USD/mes']]],"")</f>
        <v>0</v>
      </c>
    </row>
    <row r="71" spans="1:13">
      <c r="B71" s="5" t="s">
        <v>11</v>
      </c>
      <c r="C71" s="40"/>
      <c r="D71" s="6">
        <v>1824.08</v>
      </c>
      <c r="E71" s="6">
        <f>+Tabla1[[#This Row],[Suma de  Consumo (L/mes)]]*(1-Tabla1[[#This Row],[Optimización]])</f>
        <v>1824.08</v>
      </c>
      <c r="F71" s="6">
        <f>+Tabla1[[#This Row],[Suma de  Consumo (L/mes)]]-Tabla1[[#This Row],[Consumo optimizado lmes]]</f>
        <v>0</v>
      </c>
      <c r="G71" s="6"/>
      <c r="H71" s="7">
        <v>4</v>
      </c>
      <c r="I71" s="5" t="s">
        <v>94</v>
      </c>
      <c r="J71" s="7">
        <v>7.2</v>
      </c>
      <c r="K71" s="5">
        <f>+IFERROR(Tabla1[[#This Row],[Suma de  Consumo (L/mes)]]*Tabla1[[#This Row],[Precio '[USD/litro']]],"")</f>
        <v>13133.376</v>
      </c>
      <c r="L71" s="7">
        <f>+IFERROR(Tabla1[[#This Row],[Precio '[USD/litro']]]*Tabla1[[#This Row],[Consumo optimizado lmes]],"")</f>
        <v>13133.376</v>
      </c>
      <c r="M71" s="1">
        <f>IFERROR(Tabla1[[#This Row],[Costo total '[USD/mes']]]-Tabla1[[#This Row],[Costo optimizado '[USD/mes']]],"")</f>
        <v>0</v>
      </c>
    </row>
    <row r="72" spans="1:13">
      <c r="B72" s="5" t="s">
        <v>57</v>
      </c>
      <c r="C72" s="40"/>
      <c r="D72" s="6">
        <v>0</v>
      </c>
      <c r="E72" s="6">
        <f>+Tabla1[[#This Row],[Suma de  Consumo (L/mes)]]*(1-Tabla1[[#This Row],[Optimización]])</f>
        <v>0</v>
      </c>
      <c r="F72" s="6">
        <f>+Tabla1[[#This Row],[Suma de  Consumo (L/mes)]]-Tabla1[[#This Row],[Consumo optimizado lmes]]</f>
        <v>0</v>
      </c>
      <c r="G72" s="6"/>
      <c r="H72" s="7"/>
      <c r="I72" s="5"/>
      <c r="J72" s="7" t="s">
        <v>100</v>
      </c>
      <c r="K72" s="5" t="str">
        <f>+IFERROR(Tabla1[[#This Row],[Suma de  Consumo (L/mes)]]*Tabla1[[#This Row],[Precio '[USD/litro']]],"")</f>
        <v/>
      </c>
      <c r="L72" s="7" t="str">
        <f>+IFERROR(Tabla1[[#This Row],[Precio '[USD/litro']]]*Tabla1[[#This Row],[Consumo optimizado lmes]],"")</f>
        <v/>
      </c>
      <c r="M72" s="1" t="str">
        <f>IFERROR(Tabla1[[#This Row],[Costo total '[USD/mes']]]-Tabla1[[#This Row],[Costo optimizado '[USD/mes']]],"")</f>
        <v/>
      </c>
    </row>
    <row r="73" spans="1:13">
      <c r="B73" s="5" t="s">
        <v>12</v>
      </c>
      <c r="C73" s="40"/>
      <c r="D73" s="6">
        <v>3379.06</v>
      </c>
      <c r="E73" s="6">
        <f>+Tabla1[[#This Row],[Suma de  Consumo (L/mes)]]*(1-Tabla1[[#This Row],[Optimización]])</f>
        <v>3379.06</v>
      </c>
      <c r="F73" s="6">
        <f>+Tabla1[[#This Row],[Suma de  Consumo (L/mes)]]-Tabla1[[#This Row],[Consumo optimizado lmes]]</f>
        <v>0</v>
      </c>
      <c r="G73" s="6"/>
      <c r="H73" s="7">
        <v>10</v>
      </c>
      <c r="I73" s="5" t="s">
        <v>61</v>
      </c>
      <c r="J73" s="7">
        <v>3.25</v>
      </c>
      <c r="K73" s="5">
        <f>+IFERROR(Tabla1[[#This Row],[Suma de  Consumo (L/mes)]]*Tabla1[[#This Row],[Precio '[USD/litro']]],"")</f>
        <v>10981.945</v>
      </c>
      <c r="L73" s="7">
        <f>+IFERROR(Tabla1[[#This Row],[Precio '[USD/litro']]]*Tabla1[[#This Row],[Consumo optimizado lmes]],"")</f>
        <v>10981.945</v>
      </c>
      <c r="M73" s="1">
        <f>IFERROR(Tabla1[[#This Row],[Costo total '[USD/mes']]]-Tabla1[[#This Row],[Costo optimizado '[USD/mes']]],"")</f>
        <v>0</v>
      </c>
    </row>
    <row r="74" spans="1:13">
      <c r="B74" s="5" t="s">
        <v>13</v>
      </c>
      <c r="C74" s="40"/>
      <c r="D74" s="6">
        <v>514</v>
      </c>
      <c r="E74" s="6">
        <f>+Tabla1[[#This Row],[Suma de  Consumo (L/mes)]]*(1-Tabla1[[#This Row],[Optimización]])</f>
        <v>514</v>
      </c>
      <c r="F74" s="6">
        <f>+Tabla1[[#This Row],[Suma de  Consumo (L/mes)]]-Tabla1[[#This Row],[Consumo optimizado lmes]]</f>
        <v>0</v>
      </c>
      <c r="G74" s="6"/>
      <c r="H74" s="7">
        <v>1</v>
      </c>
      <c r="I74" s="5" t="s">
        <v>82</v>
      </c>
      <c r="J74" s="7">
        <v>6.61</v>
      </c>
      <c r="K74" s="5">
        <f>+IFERROR(Tabla1[[#This Row],[Suma de  Consumo (L/mes)]]*Tabla1[[#This Row],[Precio '[USD/litro']]],"")</f>
        <v>3397.54</v>
      </c>
      <c r="L74" s="7">
        <f>+IFERROR(Tabla1[[#This Row],[Precio '[USD/litro']]]*Tabla1[[#This Row],[Consumo optimizado lmes]],"")</f>
        <v>3397.54</v>
      </c>
      <c r="M74" s="1">
        <f>IFERROR(Tabla1[[#This Row],[Costo total '[USD/mes']]]-Tabla1[[#This Row],[Costo optimizado '[USD/mes']]],"")</f>
        <v>0</v>
      </c>
    </row>
    <row r="75" spans="1:13">
      <c r="B75" s="5" t="s">
        <v>2</v>
      </c>
      <c r="C75" s="40"/>
      <c r="D75" s="6">
        <v>0</v>
      </c>
      <c r="E75" s="6">
        <f>+Tabla1[[#This Row],[Suma de  Consumo (L/mes)]]*(1-Tabla1[[#This Row],[Optimización]])</f>
        <v>0</v>
      </c>
      <c r="F75" s="6">
        <f>+Tabla1[[#This Row],[Suma de  Consumo (L/mes)]]-Tabla1[[#This Row],[Consumo optimizado lmes]]</f>
        <v>0</v>
      </c>
      <c r="G75" s="6"/>
      <c r="H75" s="7"/>
      <c r="I75" s="5" t="s">
        <v>69</v>
      </c>
      <c r="J75" s="7">
        <v>3.48</v>
      </c>
      <c r="K75" s="5">
        <f>+IFERROR(Tabla1[[#This Row],[Suma de  Consumo (L/mes)]]*Tabla1[[#This Row],[Precio '[USD/litro']]],"")</f>
        <v>0</v>
      </c>
      <c r="L75" s="7">
        <f>+IFERROR(Tabla1[[#This Row],[Precio '[USD/litro']]]*Tabla1[[#This Row],[Consumo optimizado lmes]],"")</f>
        <v>0</v>
      </c>
      <c r="M75" s="1">
        <f>IFERROR(Tabla1[[#This Row],[Costo total '[USD/mes']]]-Tabla1[[#This Row],[Costo optimizado '[USD/mes']]],"")</f>
        <v>0</v>
      </c>
    </row>
    <row r="76" spans="1:13">
      <c r="B76" s="5" t="s">
        <v>17</v>
      </c>
      <c r="C76" s="40"/>
      <c r="D76" s="6">
        <v>3030.7999999999997</v>
      </c>
      <c r="E76" s="6">
        <f>+Tabla1[[#This Row],[Suma de  Consumo (L/mes)]]*(1-Tabla1[[#This Row],[Optimización]])</f>
        <v>3030.7999999999997</v>
      </c>
      <c r="F76" s="6">
        <f>+Tabla1[[#This Row],[Suma de  Consumo (L/mes)]]-Tabla1[[#This Row],[Consumo optimizado lmes]]</f>
        <v>0</v>
      </c>
      <c r="G76" s="6">
        <v>1</v>
      </c>
      <c r="H76" s="7">
        <v>2</v>
      </c>
      <c r="I76" s="5" t="s">
        <v>95</v>
      </c>
      <c r="J76" s="7">
        <v>6.82</v>
      </c>
      <c r="K76" s="5">
        <f>+IFERROR(Tabla1[[#This Row],[Suma de  Consumo (L/mes)]]*Tabla1[[#This Row],[Precio '[USD/litro']]],"")</f>
        <v>20670.056</v>
      </c>
      <c r="L76" s="7">
        <f>+IFERROR(Tabla1[[#This Row],[Precio '[USD/litro']]]*Tabla1[[#This Row],[Consumo optimizado lmes]],"")</f>
        <v>20670.056</v>
      </c>
      <c r="M76" s="1">
        <f>IFERROR(Tabla1[[#This Row],[Costo total '[USD/mes']]]-Tabla1[[#This Row],[Costo optimizado '[USD/mes']]],"")</f>
        <v>0</v>
      </c>
    </row>
    <row r="77" spans="1:13">
      <c r="B77" s="5" t="s">
        <v>4</v>
      </c>
      <c r="C77" s="40"/>
      <c r="D77" s="6">
        <v>589</v>
      </c>
      <c r="E77" s="6">
        <f>+Tabla1[[#This Row],[Suma de  Consumo (L/mes)]]*(1-Tabla1[[#This Row],[Optimización]])</f>
        <v>589</v>
      </c>
      <c r="F77" s="6">
        <f>+Tabla1[[#This Row],[Suma de  Consumo (L/mes)]]-Tabla1[[#This Row],[Consumo optimizado lmes]]</f>
        <v>0</v>
      </c>
      <c r="G77" s="6"/>
      <c r="H77" s="7">
        <v>3</v>
      </c>
      <c r="I77" s="5" t="s">
        <v>96</v>
      </c>
      <c r="J77" s="7">
        <v>2.4500000000000002</v>
      </c>
      <c r="K77" s="5">
        <f>+IFERROR(Tabla1[[#This Row],[Suma de  Consumo (L/mes)]]*Tabla1[[#This Row],[Precio '[USD/litro']]],"")</f>
        <v>1443.0500000000002</v>
      </c>
      <c r="L77" s="7">
        <f>+IFERROR(Tabla1[[#This Row],[Precio '[USD/litro']]]*Tabla1[[#This Row],[Consumo optimizado lmes]],"")</f>
        <v>1443.0500000000002</v>
      </c>
      <c r="M77" s="1">
        <f>IFERROR(Tabla1[[#This Row],[Costo total '[USD/mes']]]-Tabla1[[#This Row],[Costo optimizado '[USD/mes']]],"")</f>
        <v>0</v>
      </c>
    </row>
    <row r="78" spans="1:13">
      <c r="B78" s="5" t="s">
        <v>5</v>
      </c>
      <c r="C78" s="40"/>
      <c r="D78" s="6">
        <v>89</v>
      </c>
      <c r="E78" s="6">
        <f>+Tabla1[[#This Row],[Suma de  Consumo (L/mes)]]*(1-Tabla1[[#This Row],[Optimización]])</f>
        <v>89</v>
      </c>
      <c r="F78" s="6">
        <f>+Tabla1[[#This Row],[Suma de  Consumo (L/mes)]]-Tabla1[[#This Row],[Consumo optimizado lmes]]</f>
        <v>0</v>
      </c>
      <c r="G78" s="6"/>
      <c r="H78" s="7">
        <v>1</v>
      </c>
      <c r="I78" s="5" t="s">
        <v>75</v>
      </c>
      <c r="J78" s="7">
        <v>2.31</v>
      </c>
      <c r="K78" s="5">
        <f>+IFERROR(Tabla1[[#This Row],[Suma de  Consumo (L/mes)]]*Tabla1[[#This Row],[Precio '[USD/litro']]],"")</f>
        <v>205.59</v>
      </c>
      <c r="L78" s="7">
        <f>+IFERROR(Tabla1[[#This Row],[Precio '[USD/litro']]]*Tabla1[[#This Row],[Consumo optimizado lmes]],"")</f>
        <v>205.59</v>
      </c>
      <c r="M78" s="1">
        <f>IFERROR(Tabla1[[#This Row],[Costo total '[USD/mes']]]-Tabla1[[#This Row],[Costo optimizado '[USD/mes']]],"")</f>
        <v>0</v>
      </c>
    </row>
    <row r="79" spans="1:13">
      <c r="B79" s="5" t="s">
        <v>22</v>
      </c>
      <c r="C79" s="40"/>
      <c r="D79" s="6">
        <v>169.1</v>
      </c>
      <c r="E79" s="6">
        <f>+Tabla1[[#This Row],[Suma de  Consumo (L/mes)]]*(1-Tabla1[[#This Row],[Optimización]])</f>
        <v>169.1</v>
      </c>
      <c r="F79" s="6">
        <f>+Tabla1[[#This Row],[Suma de  Consumo (L/mes)]]-Tabla1[[#This Row],[Consumo optimizado lmes]]</f>
        <v>0</v>
      </c>
      <c r="G79" s="6"/>
      <c r="H79" s="7">
        <v>1</v>
      </c>
      <c r="I79" s="5" t="s">
        <v>75</v>
      </c>
      <c r="J79" s="7">
        <v>2.31</v>
      </c>
      <c r="K79" s="5">
        <f>+IFERROR(Tabla1[[#This Row],[Suma de  Consumo (L/mes)]]*Tabla1[[#This Row],[Precio '[USD/litro']]],"")</f>
        <v>390.62099999999998</v>
      </c>
      <c r="L79" s="7">
        <f>+IFERROR(Tabla1[[#This Row],[Precio '[USD/litro']]]*Tabla1[[#This Row],[Consumo optimizado lmes]],"")</f>
        <v>390.62099999999998</v>
      </c>
      <c r="M79" s="1">
        <f>IFERROR(Tabla1[[#This Row],[Costo total '[USD/mes']]]-Tabla1[[#This Row],[Costo optimizado '[USD/mes']]],"")</f>
        <v>0</v>
      </c>
    </row>
    <row r="80" spans="1:13">
      <c r="B80" s="5" t="s">
        <v>14</v>
      </c>
      <c r="C80" s="40"/>
      <c r="D80" s="6">
        <v>5033.6000000000004</v>
      </c>
      <c r="E80" s="6">
        <f>+Tabla1[[#This Row],[Suma de  Consumo (L/mes)]]*(1-Tabla1[[#This Row],[Optimización]])</f>
        <v>5033.6000000000004</v>
      </c>
      <c r="F80" s="6">
        <f>+Tabla1[[#This Row],[Suma de  Consumo (L/mes)]]-Tabla1[[#This Row],[Consumo optimizado lmes]]</f>
        <v>0</v>
      </c>
      <c r="G80" s="6">
        <v>2</v>
      </c>
      <c r="H80" s="7">
        <v>3</v>
      </c>
      <c r="I80" s="5" t="s">
        <v>96</v>
      </c>
      <c r="J80" s="7">
        <v>2.4500000000000002</v>
      </c>
      <c r="K80" s="5">
        <f>+IFERROR(Tabla1[[#This Row],[Suma de  Consumo (L/mes)]]*Tabla1[[#This Row],[Precio '[USD/litro']]],"")</f>
        <v>12332.320000000002</v>
      </c>
      <c r="L80" s="7">
        <f>+IFERROR(Tabla1[[#This Row],[Precio '[USD/litro']]]*Tabla1[[#This Row],[Consumo optimizado lmes]],"")</f>
        <v>12332.320000000002</v>
      </c>
      <c r="M80" s="1">
        <f>IFERROR(Tabla1[[#This Row],[Costo total '[USD/mes']]]-Tabla1[[#This Row],[Costo optimizado '[USD/mes']]],"")</f>
        <v>0</v>
      </c>
    </row>
    <row r="81" spans="1:13">
      <c r="B81" s="8" t="s">
        <v>44</v>
      </c>
      <c r="C81" s="41"/>
      <c r="D81" s="6">
        <v>10188</v>
      </c>
      <c r="E81" s="6">
        <f>+Tabla1[[#This Row],[Suma de  Consumo (L/mes)]]*(1-Tabla1[[#This Row],[Optimización]])</f>
        <v>10188</v>
      </c>
      <c r="F81" s="6">
        <f>+Tabla1[[#This Row],[Suma de  Consumo (L/mes)]]-Tabla1[[#This Row],[Consumo optimizado lmes]]</f>
        <v>0</v>
      </c>
      <c r="G81" s="6">
        <v>52</v>
      </c>
      <c r="H81" s="7">
        <v>41</v>
      </c>
      <c r="I81" s="5"/>
      <c r="J81" s="7"/>
      <c r="K81" s="5">
        <f>+IFERROR(Tabla1[[#This Row],[Suma de  Consumo (L/mes)]]*Tabla1[[#This Row],[Precio '[USD/litro']]],"")</f>
        <v>0</v>
      </c>
      <c r="L81" s="7">
        <f>+IFERROR(Tabla1[[#This Row],[Precio '[USD/litro']]]*Tabla1[[#This Row],[Consumo optimizado lmes]],"")</f>
        <v>0</v>
      </c>
      <c r="M81" s="1">
        <f>IFERROR(Tabla1[[#This Row],[Costo total '[USD/mes']]]-Tabla1[[#This Row],[Costo optimizado '[USD/mes']]],"")</f>
        <v>0</v>
      </c>
    </row>
    <row r="82" spans="1:13">
      <c r="A82" s="1" t="s">
        <v>164</v>
      </c>
      <c r="B82" s="5" t="s">
        <v>34</v>
      </c>
      <c r="C82" s="40">
        <v>0.1</v>
      </c>
      <c r="D82" s="6">
        <v>2185</v>
      </c>
      <c r="E82" s="6">
        <f>+Tabla1[[#This Row],[Suma de  Consumo (L/mes)]]*(1-Tabla1[[#This Row],[Optimización]])</f>
        <v>1966.5</v>
      </c>
      <c r="F82" s="6">
        <f>+Tabla1[[#This Row],[Suma de  Consumo (L/mes)]]-Tabla1[[#This Row],[Consumo optimizado lmes]]</f>
        <v>218.5</v>
      </c>
      <c r="G82" s="6">
        <v>21</v>
      </c>
      <c r="H82" s="7">
        <v>8</v>
      </c>
      <c r="I82" s="5" t="s">
        <v>97</v>
      </c>
      <c r="J82" s="7">
        <v>2.84</v>
      </c>
      <c r="K82" s="5">
        <f>+IFERROR(Tabla1[[#This Row],[Suma de  Consumo (L/mes)]]*Tabla1[[#This Row],[Precio '[USD/litro']]],"")</f>
        <v>6205.4</v>
      </c>
      <c r="L82" s="7">
        <f>+IFERROR(Tabla1[[#This Row],[Precio '[USD/litro']]]*Tabla1[[#This Row],[Consumo optimizado lmes]],"")</f>
        <v>5584.86</v>
      </c>
      <c r="M82" s="1">
        <f>IFERROR(Tabla1[[#This Row],[Costo total '[USD/mes']]]-Tabla1[[#This Row],[Costo optimizado '[USD/mes']]],"")</f>
        <v>620.54</v>
      </c>
    </row>
    <row r="83" spans="1:13">
      <c r="B83" s="5" t="s">
        <v>50</v>
      </c>
      <c r="C83" s="40"/>
      <c r="D83" s="6">
        <v>0</v>
      </c>
      <c r="E83" s="6">
        <f>+Tabla1[[#This Row],[Suma de  Consumo (L/mes)]]*(1-Tabla1[[#This Row],[Optimización]])</f>
        <v>0</v>
      </c>
      <c r="F83" s="6">
        <f>+Tabla1[[#This Row],[Suma de  Consumo (L/mes)]]-Tabla1[[#This Row],[Consumo optimizado lmes]]</f>
        <v>0</v>
      </c>
      <c r="G83" s="6"/>
      <c r="H83" s="7">
        <v>2</v>
      </c>
      <c r="I83" s="5"/>
      <c r="J83" s="7" t="s">
        <v>100</v>
      </c>
      <c r="K83" s="5" t="str">
        <f>+IFERROR(Tabla1[[#This Row],[Suma de  Consumo (L/mes)]]*Tabla1[[#This Row],[Precio '[USD/litro']]],"")</f>
        <v/>
      </c>
      <c r="L83" s="7" t="str">
        <f>+IFERROR(Tabla1[[#This Row],[Precio '[USD/litro']]]*Tabla1[[#This Row],[Consumo optimizado lmes]],"")</f>
        <v/>
      </c>
      <c r="M83" s="1" t="str">
        <f>IFERROR(Tabla1[[#This Row],[Costo total '[USD/mes']]]-Tabla1[[#This Row],[Costo optimizado '[USD/mes']]],"")</f>
        <v/>
      </c>
    </row>
    <row r="84" spans="1:13">
      <c r="B84" s="5" t="s">
        <v>36</v>
      </c>
      <c r="C84" s="40"/>
      <c r="D84" s="6">
        <v>120</v>
      </c>
      <c r="E84" s="6">
        <f>+Tabla1[[#This Row],[Suma de  Consumo (L/mes)]]*(1-Tabla1[[#This Row],[Optimización]])</f>
        <v>120</v>
      </c>
      <c r="F84" s="6">
        <f>+Tabla1[[#This Row],[Suma de  Consumo (L/mes)]]-Tabla1[[#This Row],[Consumo optimizado lmes]]</f>
        <v>0</v>
      </c>
      <c r="G84" s="6"/>
      <c r="H84" s="7">
        <v>4</v>
      </c>
      <c r="I84" s="5" t="s">
        <v>62</v>
      </c>
      <c r="J84" s="7">
        <v>2.74</v>
      </c>
      <c r="K84" s="5">
        <f>+IFERROR(Tabla1[[#This Row],[Suma de  Consumo (L/mes)]]*Tabla1[[#This Row],[Precio '[USD/litro']]],"")</f>
        <v>328.8</v>
      </c>
      <c r="L84" s="7">
        <f>+IFERROR(Tabla1[[#This Row],[Precio '[USD/litro']]]*Tabla1[[#This Row],[Consumo optimizado lmes]],"")</f>
        <v>328.8</v>
      </c>
      <c r="M84" s="1">
        <f>IFERROR(Tabla1[[#This Row],[Costo total '[USD/mes']]]-Tabla1[[#This Row],[Costo optimizado '[USD/mes']]],"")</f>
        <v>0</v>
      </c>
    </row>
    <row r="85" spans="1:13">
      <c r="A85" s="1" t="s">
        <v>165</v>
      </c>
      <c r="B85" s="5" t="s">
        <v>51</v>
      </c>
      <c r="C85" s="40">
        <v>0.15</v>
      </c>
      <c r="D85" s="6">
        <v>4977</v>
      </c>
      <c r="E85" s="6">
        <f>+Tabla1[[#This Row],[Suma de  Consumo (L/mes)]]*(1-Tabla1[[#This Row],[Optimización]])</f>
        <v>4230.45</v>
      </c>
      <c r="F85" s="6">
        <f>+Tabla1[[#This Row],[Suma de  Consumo (L/mes)]]-Tabla1[[#This Row],[Consumo optimizado lmes]]</f>
        <v>746.55000000000018</v>
      </c>
      <c r="G85" s="6">
        <v>9</v>
      </c>
      <c r="H85" s="7">
        <v>8</v>
      </c>
      <c r="I85" s="5" t="s">
        <v>63</v>
      </c>
      <c r="J85" s="7">
        <v>6.82</v>
      </c>
      <c r="K85" s="5">
        <f>+IFERROR(Tabla1[[#This Row],[Suma de  Consumo (L/mes)]]*Tabla1[[#This Row],[Precio '[USD/litro']]],"")</f>
        <v>33943.14</v>
      </c>
      <c r="L85" s="7">
        <f>+IFERROR(Tabla1[[#This Row],[Precio '[USD/litro']]]*Tabla1[[#This Row],[Consumo optimizado lmes]],"")</f>
        <v>28851.669000000002</v>
      </c>
      <c r="M85" s="1">
        <f>IFERROR(Tabla1[[#This Row],[Costo total '[USD/mes']]]-Tabla1[[#This Row],[Costo optimizado '[USD/mes']]],"")</f>
        <v>5091.4709999999977</v>
      </c>
    </row>
    <row r="86" spans="1:13">
      <c r="A86" s="1" t="s">
        <v>166</v>
      </c>
      <c r="B86" s="5" t="s">
        <v>39</v>
      </c>
      <c r="C86" s="40">
        <v>0.1</v>
      </c>
      <c r="D86" s="6">
        <v>1176</v>
      </c>
      <c r="E86" s="6">
        <f>+Tabla1[[#This Row],[Suma de  Consumo (L/mes)]]*(1-Tabla1[[#This Row],[Optimización]])</f>
        <v>1058.4000000000001</v>
      </c>
      <c r="F86" s="6">
        <f>+Tabla1[[#This Row],[Suma de  Consumo (L/mes)]]-Tabla1[[#This Row],[Consumo optimizado lmes]]</f>
        <v>117.59999999999991</v>
      </c>
      <c r="G86" s="6">
        <v>7</v>
      </c>
      <c r="H86" s="7">
        <v>4</v>
      </c>
      <c r="I86" s="5" t="s">
        <v>94</v>
      </c>
      <c r="J86" s="7">
        <v>7.2</v>
      </c>
      <c r="K86" s="5">
        <f>+IFERROR(Tabla1[[#This Row],[Suma de  Consumo (L/mes)]]*Tabla1[[#This Row],[Precio '[USD/litro']]],"")</f>
        <v>8467.2000000000007</v>
      </c>
      <c r="L86" s="7">
        <f>+IFERROR(Tabla1[[#This Row],[Precio '[USD/litro']]]*Tabla1[[#This Row],[Consumo optimizado lmes]],"")</f>
        <v>7620.4800000000005</v>
      </c>
      <c r="M86" s="1">
        <f>IFERROR(Tabla1[[#This Row],[Costo total '[USD/mes']]]-Tabla1[[#This Row],[Costo optimizado '[USD/mes']]],"")</f>
        <v>846.72000000000025</v>
      </c>
    </row>
    <row r="87" spans="1:13">
      <c r="B87" s="5" t="s">
        <v>52</v>
      </c>
      <c r="C87" s="40"/>
      <c r="D87" s="6">
        <v>1197</v>
      </c>
      <c r="E87" s="6">
        <f>+Tabla1[[#This Row],[Suma de  Consumo (L/mes)]]*(1-Tabla1[[#This Row],[Optimización]])</f>
        <v>1197</v>
      </c>
      <c r="F87" s="6">
        <f>+Tabla1[[#This Row],[Suma de  Consumo (L/mes)]]-Tabla1[[#This Row],[Consumo optimizado lmes]]</f>
        <v>0</v>
      </c>
      <c r="G87" s="6">
        <v>13</v>
      </c>
      <c r="H87" s="7">
        <v>6</v>
      </c>
      <c r="I87" s="5" t="s">
        <v>93</v>
      </c>
      <c r="J87" s="7">
        <v>3.21</v>
      </c>
      <c r="K87" s="5">
        <f>+IFERROR(Tabla1[[#This Row],[Suma de  Consumo (L/mes)]]*Tabla1[[#This Row],[Precio '[USD/litro']]],"")</f>
        <v>3842.37</v>
      </c>
      <c r="L87" s="7">
        <f>+IFERROR(Tabla1[[#This Row],[Precio '[USD/litro']]]*Tabla1[[#This Row],[Consumo optimizado lmes]],"")</f>
        <v>3842.37</v>
      </c>
      <c r="M87" s="1">
        <f>IFERROR(Tabla1[[#This Row],[Costo total '[USD/mes']]]-Tabla1[[#This Row],[Costo optimizado '[USD/mes']]],"")</f>
        <v>0</v>
      </c>
    </row>
    <row r="88" spans="1:13">
      <c r="B88" s="5" t="s">
        <v>21</v>
      </c>
      <c r="C88" s="40"/>
      <c r="D88" s="6">
        <v>533</v>
      </c>
      <c r="E88" s="6">
        <f>+Tabla1[[#This Row],[Suma de  Consumo (L/mes)]]*(1-Tabla1[[#This Row],[Optimización]])</f>
        <v>533</v>
      </c>
      <c r="F88" s="6">
        <f>+Tabla1[[#This Row],[Suma de  Consumo (L/mes)]]-Tabla1[[#This Row],[Consumo optimizado lmes]]</f>
        <v>0</v>
      </c>
      <c r="G88" s="6">
        <v>1</v>
      </c>
      <c r="H88" s="7">
        <v>7</v>
      </c>
      <c r="I88" s="5" t="s">
        <v>71</v>
      </c>
      <c r="J88" s="7">
        <v>4.0199999999999996</v>
      </c>
      <c r="K88" s="5">
        <f>+IFERROR(Tabla1[[#This Row],[Suma de  Consumo (L/mes)]]*Tabla1[[#This Row],[Precio '[USD/litro']]],"")</f>
        <v>2142.66</v>
      </c>
      <c r="L88" s="7">
        <f>+IFERROR(Tabla1[[#This Row],[Precio '[USD/litro']]]*Tabla1[[#This Row],[Consumo optimizado lmes]],"")</f>
        <v>2142.66</v>
      </c>
      <c r="M88" s="1">
        <f>IFERROR(Tabla1[[#This Row],[Costo total '[USD/mes']]]-Tabla1[[#This Row],[Costo optimizado '[USD/mes']]],"")</f>
        <v>0</v>
      </c>
    </row>
    <row r="89" spans="1:13">
      <c r="B89" s="5" t="s">
        <v>12</v>
      </c>
      <c r="C89" s="40"/>
      <c r="D89" s="6">
        <v>0</v>
      </c>
      <c r="E89" s="6">
        <f>+Tabla1[[#This Row],[Suma de  Consumo (L/mes)]]*(1-Tabla1[[#This Row],[Optimización]])</f>
        <v>0</v>
      </c>
      <c r="F89" s="6">
        <f>+Tabla1[[#This Row],[Suma de  Consumo (L/mes)]]-Tabla1[[#This Row],[Consumo optimizado lmes]]</f>
        <v>0</v>
      </c>
      <c r="G89" s="6"/>
      <c r="H89" s="7">
        <v>2</v>
      </c>
      <c r="I89" s="5"/>
      <c r="J89" s="7" t="s">
        <v>100</v>
      </c>
      <c r="K89" s="5" t="str">
        <f>+IFERROR(Tabla1[[#This Row],[Suma de  Consumo (L/mes)]]*Tabla1[[#This Row],[Precio '[USD/litro']]],"")</f>
        <v/>
      </c>
      <c r="L89" s="7" t="str">
        <f>+IFERROR(Tabla1[[#This Row],[Precio '[USD/litro']]]*Tabla1[[#This Row],[Consumo optimizado lmes]],"")</f>
        <v/>
      </c>
      <c r="M89" s="1" t="str">
        <f>IFERROR(Tabla1[[#This Row],[Costo total '[USD/mes']]]-Tabla1[[#This Row],[Costo optimizado '[USD/mes']]],"")</f>
        <v/>
      </c>
    </row>
    <row r="90" spans="1:13">
      <c r="B90" s="5" t="s">
        <v>43</v>
      </c>
      <c r="C90" s="40"/>
      <c r="D90" s="6">
        <v>0</v>
      </c>
      <c r="E90" s="6">
        <f>+Tabla1[[#This Row],[Suma de  Consumo (L/mes)]]*(1-Tabla1[[#This Row],[Optimización]])</f>
        <v>0</v>
      </c>
      <c r="F90" s="6">
        <f>+Tabla1[[#This Row],[Suma de  Consumo (L/mes)]]-Tabla1[[#This Row],[Consumo optimizado lmes]]</f>
        <v>0</v>
      </c>
      <c r="G90" s="6">
        <v>1</v>
      </c>
      <c r="H90" s="7"/>
      <c r="I90" s="5" t="s">
        <v>75</v>
      </c>
      <c r="J90" s="7">
        <v>2.31</v>
      </c>
      <c r="K90" s="5">
        <f>+IFERROR(Tabla1[[#This Row],[Suma de  Consumo (L/mes)]]*Tabla1[[#This Row],[Precio '[USD/litro']]],"")</f>
        <v>0</v>
      </c>
      <c r="L90" s="7">
        <f>+IFERROR(Tabla1[[#This Row],[Precio '[USD/litro']]]*Tabla1[[#This Row],[Consumo optimizado lmes]],"")</f>
        <v>0</v>
      </c>
      <c r="M90" s="1">
        <f>IFERROR(Tabla1[[#This Row],[Costo total '[USD/mes']]]-Tabla1[[#This Row],[Costo optimizado '[USD/mes']]],"")</f>
        <v>0</v>
      </c>
    </row>
    <row r="91" spans="1:13">
      <c r="B91" s="8" t="s">
        <v>33</v>
      </c>
      <c r="C91" s="41"/>
      <c r="D91" s="6">
        <v>78935</v>
      </c>
      <c r="E91" s="6">
        <f>+Tabla1[[#This Row],[Suma de  Consumo (L/mes)]]*(1-Tabla1[[#This Row],[Optimización]])</f>
        <v>78935</v>
      </c>
      <c r="F91" s="6">
        <f>+Tabla1[[#This Row],[Suma de  Consumo (L/mes)]]-Tabla1[[#This Row],[Consumo optimizado lmes]]</f>
        <v>0</v>
      </c>
      <c r="G91" s="6">
        <v>210</v>
      </c>
      <c r="H91" s="7">
        <v>165</v>
      </c>
      <c r="I91" s="5"/>
      <c r="J91" s="7"/>
      <c r="K91" s="5">
        <f>+IFERROR(Tabla1[[#This Row],[Suma de  Consumo (L/mes)]]*Tabla1[[#This Row],[Precio '[USD/litro']]],"")</f>
        <v>0</v>
      </c>
      <c r="L91" s="7">
        <f>+IFERROR(Tabla1[[#This Row],[Precio '[USD/litro']]]*Tabla1[[#This Row],[Consumo optimizado lmes]],"")</f>
        <v>0</v>
      </c>
      <c r="M91" s="1">
        <f>IFERROR(Tabla1[[#This Row],[Costo total '[USD/mes']]]-Tabla1[[#This Row],[Costo optimizado '[USD/mes']]],"")</f>
        <v>0</v>
      </c>
    </row>
    <row r="92" spans="1:13">
      <c r="A92" s="1" t="s">
        <v>167</v>
      </c>
      <c r="B92" s="5" t="s">
        <v>34</v>
      </c>
      <c r="C92" s="40">
        <v>0.15</v>
      </c>
      <c r="D92" s="6">
        <v>15187</v>
      </c>
      <c r="E92" s="6">
        <f>+Tabla1[[#This Row],[Suma de  Consumo (L/mes)]]*(1-Tabla1[[#This Row],[Optimización]])</f>
        <v>12908.949999999999</v>
      </c>
      <c r="F92" s="6">
        <f>+Tabla1[[#This Row],[Suma de  Consumo (L/mes)]]-Tabla1[[#This Row],[Consumo optimizado lmes]]</f>
        <v>2278.0500000000011</v>
      </c>
      <c r="G92" s="6">
        <v>10</v>
      </c>
      <c r="H92" s="7">
        <v>28</v>
      </c>
      <c r="I92" s="5" t="s">
        <v>97</v>
      </c>
      <c r="J92" s="7">
        <v>2.84</v>
      </c>
      <c r="K92" s="5">
        <f>+IFERROR(Tabla1[[#This Row],[Suma de  Consumo (L/mes)]]*Tabla1[[#This Row],[Precio '[USD/litro']]],"")</f>
        <v>43131.079999999994</v>
      </c>
      <c r="L92" s="7">
        <f>+IFERROR(Tabla1[[#This Row],[Precio '[USD/litro']]]*Tabla1[[#This Row],[Consumo optimizado lmes]],"")</f>
        <v>36661.417999999998</v>
      </c>
      <c r="M92" s="1">
        <f>IFERROR(Tabla1[[#This Row],[Costo total '[USD/mes']]]-Tabla1[[#This Row],[Costo optimizado '[USD/mes']]],"")</f>
        <v>6469.6619999999966</v>
      </c>
    </row>
    <row r="93" spans="1:13">
      <c r="A93" s="1" t="s">
        <v>188</v>
      </c>
      <c r="B93" s="5" t="s">
        <v>35</v>
      </c>
      <c r="C93" s="40">
        <v>0.15</v>
      </c>
      <c r="D93" s="6">
        <v>60</v>
      </c>
      <c r="E93" s="6">
        <f>+Tabla1[[#This Row],[Suma de  Consumo (L/mes)]]*(1-Tabla1[[#This Row],[Optimización]])</f>
        <v>51</v>
      </c>
      <c r="F93" s="6">
        <f>+Tabla1[[#This Row],[Suma de  Consumo (L/mes)]]-Tabla1[[#This Row],[Consumo optimizado lmes]]</f>
        <v>9</v>
      </c>
      <c r="G93" s="6"/>
      <c r="H93" s="7">
        <v>2</v>
      </c>
      <c r="I93" s="5" t="s">
        <v>98</v>
      </c>
      <c r="J93" s="7">
        <v>6.62</v>
      </c>
      <c r="K93" s="5">
        <f>+IFERROR(Tabla1[[#This Row],[Suma de  Consumo (L/mes)]]*Tabla1[[#This Row],[Precio '[USD/litro']]],"")</f>
        <v>397.2</v>
      </c>
      <c r="L93" s="7">
        <f>+IFERROR(Tabla1[[#This Row],[Precio '[USD/litro']]]*Tabla1[[#This Row],[Consumo optimizado lmes]],"")</f>
        <v>337.62</v>
      </c>
      <c r="M93" s="1">
        <f>IFERROR(Tabla1[[#This Row],[Costo total '[USD/mes']]]-Tabla1[[#This Row],[Costo optimizado '[USD/mes']]],"")</f>
        <v>59.579999999999984</v>
      </c>
    </row>
    <row r="94" spans="1:13">
      <c r="B94" s="5" t="s">
        <v>36</v>
      </c>
      <c r="C94" s="40"/>
      <c r="D94" s="6">
        <v>1880</v>
      </c>
      <c r="E94" s="6">
        <f>+Tabla1[[#This Row],[Suma de  Consumo (L/mes)]]*(1-Tabla1[[#This Row],[Optimización]])</f>
        <v>1880</v>
      </c>
      <c r="F94" s="6">
        <f>+Tabla1[[#This Row],[Suma de  Consumo (L/mes)]]-Tabla1[[#This Row],[Consumo optimizado lmes]]</f>
        <v>0</v>
      </c>
      <c r="G94" s="6"/>
      <c r="H94" s="7">
        <v>2</v>
      </c>
      <c r="I94" s="5" t="s">
        <v>62</v>
      </c>
      <c r="J94" s="7">
        <v>2.74</v>
      </c>
      <c r="K94" s="5">
        <f>+IFERROR(Tabla1[[#This Row],[Suma de  Consumo (L/mes)]]*Tabla1[[#This Row],[Precio '[USD/litro']]],"")</f>
        <v>5151.2000000000007</v>
      </c>
      <c r="L94" s="7">
        <f>+IFERROR(Tabla1[[#This Row],[Precio '[USD/litro']]]*Tabla1[[#This Row],[Consumo optimizado lmes]],"")</f>
        <v>5151.2000000000007</v>
      </c>
      <c r="M94" s="1">
        <f>IFERROR(Tabla1[[#This Row],[Costo total '[USD/mes']]]-Tabla1[[#This Row],[Costo optimizado '[USD/mes']]],"")</f>
        <v>0</v>
      </c>
    </row>
    <row r="95" spans="1:13">
      <c r="B95" s="5" t="s">
        <v>51</v>
      </c>
      <c r="C95" s="40"/>
      <c r="D95" s="6">
        <v>10472</v>
      </c>
      <c r="E95" s="6">
        <f>+Tabla1[[#This Row],[Suma de  Consumo (L/mes)]]*(1-Tabla1[[#This Row],[Optimización]])</f>
        <v>10472</v>
      </c>
      <c r="F95" s="6">
        <f>+Tabla1[[#This Row],[Suma de  Consumo (L/mes)]]-Tabla1[[#This Row],[Consumo optimizado lmes]]</f>
        <v>0</v>
      </c>
      <c r="G95" s="6">
        <v>5</v>
      </c>
      <c r="H95" s="7">
        <v>26</v>
      </c>
      <c r="I95" s="5" t="s">
        <v>98</v>
      </c>
      <c r="J95" s="7">
        <v>6.62</v>
      </c>
      <c r="K95" s="5">
        <f>+IFERROR(Tabla1[[#This Row],[Suma de  Consumo (L/mes)]]*Tabla1[[#This Row],[Precio '[USD/litro']]],"")</f>
        <v>69324.639999999999</v>
      </c>
      <c r="L95" s="7">
        <f>+IFERROR(Tabla1[[#This Row],[Precio '[USD/litro']]]*Tabla1[[#This Row],[Consumo optimizado lmes]],"")</f>
        <v>69324.639999999999</v>
      </c>
      <c r="M95" s="1">
        <f>IFERROR(Tabla1[[#This Row],[Costo total '[USD/mes']]]-Tabla1[[#This Row],[Costo optimizado '[USD/mes']]],"")</f>
        <v>0</v>
      </c>
    </row>
    <row r="96" spans="1:13">
      <c r="B96" s="5" t="s">
        <v>18</v>
      </c>
      <c r="C96" s="40"/>
      <c r="D96" s="6">
        <v>330</v>
      </c>
      <c r="E96" s="6">
        <f>+Tabla1[[#This Row],[Suma de  Consumo (L/mes)]]*(1-Tabla1[[#This Row],[Optimización]])</f>
        <v>330</v>
      </c>
      <c r="F96" s="6">
        <f>+Tabla1[[#This Row],[Suma de  Consumo (L/mes)]]-Tabla1[[#This Row],[Consumo optimizado lmes]]</f>
        <v>0</v>
      </c>
      <c r="G96" s="6"/>
      <c r="H96" s="7">
        <v>2</v>
      </c>
      <c r="I96" s="5" t="s">
        <v>64</v>
      </c>
      <c r="J96" s="7">
        <v>1.51</v>
      </c>
      <c r="K96" s="5">
        <f>+IFERROR(Tabla1[[#This Row],[Suma de  Consumo (L/mes)]]*Tabla1[[#This Row],[Precio '[USD/litro']]],"")</f>
        <v>498.3</v>
      </c>
      <c r="L96" s="7">
        <f>+IFERROR(Tabla1[[#This Row],[Precio '[USD/litro']]]*Tabla1[[#This Row],[Consumo optimizado lmes]],"")</f>
        <v>498.3</v>
      </c>
      <c r="M96" s="1">
        <f>IFERROR(Tabla1[[#This Row],[Costo total '[USD/mes']]]-Tabla1[[#This Row],[Costo optimizado '[USD/mes']]],"")</f>
        <v>0</v>
      </c>
    </row>
    <row r="97" spans="1:13">
      <c r="B97" s="5" t="s">
        <v>39</v>
      </c>
      <c r="C97" s="40"/>
      <c r="D97" s="6">
        <v>656</v>
      </c>
      <c r="E97" s="6">
        <f>+Tabla1[[#This Row],[Suma de  Consumo (L/mes)]]*(1-Tabla1[[#This Row],[Optimización]])</f>
        <v>656</v>
      </c>
      <c r="F97" s="6">
        <f>+Tabla1[[#This Row],[Suma de  Consumo (L/mes)]]-Tabla1[[#This Row],[Consumo optimizado lmes]]</f>
        <v>0</v>
      </c>
      <c r="G97" s="6">
        <v>3</v>
      </c>
      <c r="H97" s="7">
        <v>2</v>
      </c>
      <c r="I97" s="5" t="s">
        <v>82</v>
      </c>
      <c r="J97" s="7">
        <v>6.61</v>
      </c>
      <c r="K97" s="5">
        <f>+IFERROR(Tabla1[[#This Row],[Suma de  Consumo (L/mes)]]*Tabla1[[#This Row],[Precio '[USD/litro']]],"")</f>
        <v>4336.16</v>
      </c>
      <c r="L97" s="7">
        <f>+IFERROR(Tabla1[[#This Row],[Precio '[USD/litro']]]*Tabla1[[#This Row],[Consumo optimizado lmes]],"")</f>
        <v>4336.16</v>
      </c>
      <c r="M97" s="1">
        <f>IFERROR(Tabla1[[#This Row],[Costo total '[USD/mes']]]-Tabla1[[#This Row],[Costo optimizado '[USD/mes']]],"")</f>
        <v>0</v>
      </c>
    </row>
    <row r="98" spans="1:13">
      <c r="A98" s="1" t="s">
        <v>168</v>
      </c>
      <c r="B98" s="5" t="s">
        <v>27</v>
      </c>
      <c r="C98" s="40">
        <v>0.15</v>
      </c>
      <c r="D98" s="6">
        <v>1282</v>
      </c>
      <c r="E98" s="6">
        <f>+Tabla1[[#This Row],[Suma de  Consumo (L/mes)]]*(1-Tabla1[[#This Row],[Optimización]])</f>
        <v>1089.7</v>
      </c>
      <c r="F98" s="6">
        <f>+Tabla1[[#This Row],[Suma de  Consumo (L/mes)]]-Tabla1[[#This Row],[Consumo optimizado lmes]]</f>
        <v>192.29999999999995</v>
      </c>
      <c r="G98" s="6"/>
      <c r="H98" s="7">
        <v>2</v>
      </c>
      <c r="I98" s="5" t="s">
        <v>92</v>
      </c>
      <c r="J98" s="7">
        <v>4.5999999999999996</v>
      </c>
      <c r="K98" s="5">
        <f>+IFERROR(Tabla1[[#This Row],[Suma de  Consumo (L/mes)]]*Tabla1[[#This Row],[Precio '[USD/litro']]],"")</f>
        <v>5897.2</v>
      </c>
      <c r="L98" s="7">
        <f>+IFERROR(Tabla1[[#This Row],[Precio '[USD/litro']]]*Tabla1[[#This Row],[Consumo optimizado lmes]],"")</f>
        <v>5012.62</v>
      </c>
      <c r="M98" s="1">
        <f>IFERROR(Tabla1[[#This Row],[Costo total '[USD/mes']]]-Tabla1[[#This Row],[Costo optimizado '[USD/mes']]],"")</f>
        <v>884.57999999999993</v>
      </c>
    </row>
    <row r="99" spans="1:13">
      <c r="A99" s="1" t="s">
        <v>169</v>
      </c>
      <c r="B99" s="5" t="s">
        <v>52</v>
      </c>
      <c r="C99" s="40">
        <v>0.1</v>
      </c>
      <c r="D99" s="6">
        <v>33172</v>
      </c>
      <c r="E99" s="6">
        <f>+Tabla1[[#This Row],[Suma de  Consumo (L/mes)]]*(1-Tabla1[[#This Row],[Optimización]])</f>
        <v>29854.799999999999</v>
      </c>
      <c r="F99" s="6">
        <f>+Tabla1[[#This Row],[Suma de  Consumo (L/mes)]]-Tabla1[[#This Row],[Consumo optimizado lmes]]</f>
        <v>3317.2000000000007</v>
      </c>
      <c r="G99" s="6">
        <v>190</v>
      </c>
      <c r="H99" s="7">
        <v>43</v>
      </c>
      <c r="I99" s="5" t="s">
        <v>93</v>
      </c>
      <c r="J99" s="7">
        <v>3.21</v>
      </c>
      <c r="K99" s="5">
        <f>+IFERROR(Tabla1[[#This Row],[Suma de  Consumo (L/mes)]]*Tabla1[[#This Row],[Precio '[USD/litro']]],"")</f>
        <v>106482.12</v>
      </c>
      <c r="L99" s="7">
        <f>+IFERROR(Tabla1[[#This Row],[Precio '[USD/litro']]]*Tabla1[[#This Row],[Consumo optimizado lmes]],"")</f>
        <v>95833.907999999996</v>
      </c>
      <c r="M99" s="1">
        <f>IFERROR(Tabla1[[#This Row],[Costo total '[USD/mes']]]-Tabla1[[#This Row],[Costo optimizado '[USD/mes']]],"")</f>
        <v>10648.212</v>
      </c>
    </row>
    <row r="100" spans="1:13">
      <c r="B100" s="5" t="s">
        <v>54</v>
      </c>
      <c r="C100" s="40"/>
      <c r="D100" s="6">
        <v>0</v>
      </c>
      <c r="E100" s="6">
        <f>+Tabla1[[#This Row],[Suma de  Consumo (L/mes)]]*(1-Tabla1[[#This Row],[Optimización]])</f>
        <v>0</v>
      </c>
      <c r="F100" s="6">
        <f>+Tabla1[[#This Row],[Suma de  Consumo (L/mes)]]-Tabla1[[#This Row],[Consumo optimizado lmes]]</f>
        <v>0</v>
      </c>
      <c r="G100" s="6"/>
      <c r="H100" s="7">
        <v>6</v>
      </c>
      <c r="I100" s="5"/>
      <c r="J100" s="7" t="s">
        <v>100</v>
      </c>
      <c r="K100" s="5" t="str">
        <f>+IFERROR(Tabla1[[#This Row],[Suma de  Consumo (L/mes)]]*Tabla1[[#This Row],[Precio '[USD/litro']]],"")</f>
        <v/>
      </c>
      <c r="L100" s="7" t="str">
        <f>+IFERROR(Tabla1[[#This Row],[Precio '[USD/litro']]]*Tabla1[[#This Row],[Consumo optimizado lmes]],"")</f>
        <v/>
      </c>
      <c r="M100" s="1" t="str">
        <f>IFERROR(Tabla1[[#This Row],[Costo total '[USD/mes']]]-Tabla1[[#This Row],[Costo optimizado '[USD/mes']]],"")</f>
        <v/>
      </c>
    </row>
    <row r="101" spans="1:13">
      <c r="A101" s="1" t="s">
        <v>168</v>
      </c>
      <c r="B101" s="5" t="s">
        <v>21</v>
      </c>
      <c r="C101" s="40">
        <v>0.15</v>
      </c>
      <c r="D101" s="6">
        <v>11476</v>
      </c>
      <c r="E101" s="6">
        <f>+Tabla1[[#This Row],[Suma de  Consumo (L/mes)]]*(1-Tabla1[[#This Row],[Optimización]])</f>
        <v>9754.6</v>
      </c>
      <c r="F101" s="6">
        <f>+Tabla1[[#This Row],[Suma de  Consumo (L/mes)]]-Tabla1[[#This Row],[Consumo optimizado lmes]]</f>
        <v>1721.3999999999996</v>
      </c>
      <c r="G101" s="6">
        <v>2</v>
      </c>
      <c r="H101" s="7">
        <v>34</v>
      </c>
      <c r="I101" s="5" t="s">
        <v>71</v>
      </c>
      <c r="J101" s="7">
        <v>4.0199999999999996</v>
      </c>
      <c r="K101" s="5">
        <f>+IFERROR(Tabla1[[#This Row],[Suma de  Consumo (L/mes)]]*Tabla1[[#This Row],[Precio '[USD/litro']]],"")</f>
        <v>46133.52</v>
      </c>
      <c r="L101" s="7">
        <f>+IFERROR(Tabla1[[#This Row],[Precio '[USD/litro']]]*Tabla1[[#This Row],[Consumo optimizado lmes]],"")</f>
        <v>39213.491999999998</v>
      </c>
      <c r="M101" s="1">
        <f>IFERROR(Tabla1[[#This Row],[Costo total '[USD/mes']]]-Tabla1[[#This Row],[Costo optimizado '[USD/mes']]],"")</f>
        <v>6920.0279999999984</v>
      </c>
    </row>
    <row r="102" spans="1:13">
      <c r="B102" s="5" t="s">
        <v>41</v>
      </c>
      <c r="C102" s="40"/>
      <c r="D102" s="6">
        <v>250</v>
      </c>
      <c r="E102" s="6">
        <f>+Tabla1[[#This Row],[Suma de  Consumo (L/mes)]]*(1-Tabla1[[#This Row],[Optimización]])</f>
        <v>250</v>
      </c>
      <c r="F102" s="6">
        <f>+Tabla1[[#This Row],[Suma de  Consumo (L/mes)]]-Tabla1[[#This Row],[Consumo optimizado lmes]]</f>
        <v>0</v>
      </c>
      <c r="G102" s="6"/>
      <c r="H102" s="7">
        <v>2</v>
      </c>
      <c r="I102" s="5"/>
      <c r="J102" s="7" t="s">
        <v>100</v>
      </c>
      <c r="K102" s="5" t="str">
        <f>+IFERROR(Tabla1[[#This Row],[Suma de  Consumo (L/mes)]]*Tabla1[[#This Row],[Precio '[USD/litro']]],"")</f>
        <v/>
      </c>
      <c r="L102" s="7" t="str">
        <f>+IFERROR(Tabla1[[#This Row],[Precio '[USD/litro']]]*Tabla1[[#This Row],[Consumo optimizado lmes]],"")</f>
        <v/>
      </c>
      <c r="M102" s="1" t="str">
        <f>IFERROR(Tabla1[[#This Row],[Costo total '[USD/mes']]]-Tabla1[[#This Row],[Costo optimizado '[USD/mes']]],"")</f>
        <v/>
      </c>
    </row>
    <row r="103" spans="1:13">
      <c r="B103" s="5" t="s">
        <v>42</v>
      </c>
      <c r="C103" s="40"/>
      <c r="D103" s="6">
        <v>0</v>
      </c>
      <c r="E103" s="6">
        <f>+Tabla1[[#This Row],[Suma de  Consumo (L/mes)]]*(1-Tabla1[[#This Row],[Optimización]])</f>
        <v>0</v>
      </c>
      <c r="F103" s="6">
        <f>+Tabla1[[#This Row],[Suma de  Consumo (L/mes)]]-Tabla1[[#This Row],[Consumo optimizado lmes]]</f>
        <v>0</v>
      </c>
      <c r="G103" s="6"/>
      <c r="H103" s="7">
        <v>2</v>
      </c>
      <c r="I103" s="5"/>
      <c r="J103" s="7" t="s">
        <v>100</v>
      </c>
      <c r="K103" s="5" t="str">
        <f>+IFERROR(Tabla1[[#This Row],[Suma de  Consumo (L/mes)]]*Tabla1[[#This Row],[Precio '[USD/litro']]],"")</f>
        <v/>
      </c>
      <c r="L103" s="7" t="str">
        <f>+IFERROR(Tabla1[[#This Row],[Precio '[USD/litro']]]*Tabla1[[#This Row],[Consumo optimizado lmes]],"")</f>
        <v/>
      </c>
      <c r="M103" s="1" t="str">
        <f>IFERROR(Tabla1[[#This Row],[Costo total '[USD/mes']]]-Tabla1[[#This Row],[Costo optimizado '[USD/mes']]],"")</f>
        <v/>
      </c>
    </row>
    <row r="104" spans="1:13">
      <c r="B104" s="5" t="s">
        <v>43</v>
      </c>
      <c r="C104" s="40"/>
      <c r="D104" s="6">
        <v>3670</v>
      </c>
      <c r="E104" s="6">
        <f>+Tabla1[[#This Row],[Suma de  Consumo (L/mes)]]*(1-Tabla1[[#This Row],[Optimización]])</f>
        <v>3670</v>
      </c>
      <c r="F104" s="6">
        <f>+Tabla1[[#This Row],[Suma de  Consumo (L/mes)]]-Tabla1[[#This Row],[Consumo optimizado lmes]]</f>
        <v>0</v>
      </c>
      <c r="G104" s="6"/>
      <c r="H104" s="7">
        <v>12</v>
      </c>
      <c r="I104" s="5" t="s">
        <v>75</v>
      </c>
      <c r="J104" s="7">
        <v>2.31</v>
      </c>
      <c r="K104" s="5">
        <f>+IFERROR(Tabla1[[#This Row],[Suma de  Consumo (L/mes)]]*Tabla1[[#This Row],[Precio '[USD/litro']]],"")</f>
        <v>8477.7000000000007</v>
      </c>
      <c r="L104" s="7">
        <f>+IFERROR(Tabla1[[#This Row],[Precio '[USD/litro']]]*Tabla1[[#This Row],[Consumo optimizado lmes]],"")</f>
        <v>8477.7000000000007</v>
      </c>
      <c r="M104" s="1">
        <f>IFERROR(Tabla1[[#This Row],[Costo total '[USD/mes']]]-Tabla1[[#This Row],[Costo optimizado '[USD/mes']]],"")</f>
        <v>0</v>
      </c>
    </row>
    <row r="105" spans="1:13">
      <c r="B105" s="5" t="s">
        <v>14</v>
      </c>
      <c r="C105" s="40"/>
      <c r="D105" s="6">
        <v>500</v>
      </c>
      <c r="E105" s="6">
        <f>+Tabla1[[#This Row],[Suma de  Consumo (L/mes)]]*(1-Tabla1[[#This Row],[Optimización]])</f>
        <v>500</v>
      </c>
      <c r="F105" s="6">
        <f>+Tabla1[[#This Row],[Suma de  Consumo (L/mes)]]-Tabla1[[#This Row],[Consumo optimizado lmes]]</f>
        <v>0</v>
      </c>
      <c r="G105" s="6"/>
      <c r="H105" s="7">
        <v>2</v>
      </c>
      <c r="I105" s="5" t="s">
        <v>96</v>
      </c>
      <c r="J105" s="7">
        <v>2.4500000000000002</v>
      </c>
      <c r="K105" s="5">
        <f>+IFERROR(Tabla1[[#This Row],[Suma de  Consumo (L/mes)]]*Tabla1[[#This Row],[Precio '[USD/litro']]],"")</f>
        <v>1225</v>
      </c>
      <c r="L105" s="7">
        <f>+IFERROR(Tabla1[[#This Row],[Precio '[USD/litro']]]*Tabla1[[#This Row],[Consumo optimizado lmes]],"")</f>
        <v>1225</v>
      </c>
      <c r="M105" s="1">
        <f>IFERROR(Tabla1[[#This Row],[Costo total '[USD/mes']]]-Tabla1[[#This Row],[Costo optimizado '[USD/mes']]],"")</f>
        <v>0</v>
      </c>
    </row>
    <row r="106" spans="1:13">
      <c r="B106" s="5" t="s">
        <v>6</v>
      </c>
      <c r="C106" s="40"/>
      <c r="D106" s="6">
        <v>366878.82999999996</v>
      </c>
      <c r="E106" s="6">
        <f>+Tabla1[[#This Row],[Suma de  Consumo (L/mes)]]*(1-Tabla1[[#This Row],[Optimización]])</f>
        <v>366878.82999999996</v>
      </c>
      <c r="F106" s="6">
        <f>+Tabla1[[#This Row],[Suma de  Consumo (L/mes)]]-Tabla1[[#This Row],[Consumo optimizado lmes]]</f>
        <v>0</v>
      </c>
      <c r="G106" s="6">
        <v>1145</v>
      </c>
      <c r="H106" s="7">
        <v>695</v>
      </c>
      <c r="I106" s="5"/>
      <c r="J106" s="7" t="s">
        <v>100</v>
      </c>
      <c r="K106" s="5" t="str">
        <f>+IFERROR(Tabla1[[#This Row],[Suma de  Consumo (L/mes)]]*Tabla1[[#This Row],[Precio '[USD/litro']]],"")</f>
        <v/>
      </c>
      <c r="L106" s="7" t="str">
        <f>+IFERROR(Tabla1[[#This Row],[Precio '[USD/litro']]]*Tabla1[[#This Row],[Consumo optimizado lmes]],"")</f>
        <v/>
      </c>
      <c r="M106" s="1" t="str">
        <f>IFERROR(Tabla1[[#This Row],[Costo total '[USD/mes']]]-Tabla1[[#This Row],[Costo optimizado '[USD/mes']]],"")</f>
        <v/>
      </c>
    </row>
    <row r="107" spans="1:13">
      <c r="B107" s="5" t="s">
        <v>21</v>
      </c>
      <c r="C107" s="40"/>
      <c r="D107" s="6">
        <v>2</v>
      </c>
      <c r="E107" s="6">
        <f>+Tabla1[[#This Row],[Suma de  Consumo (L/mes)]]*(1-Tabla1[[#This Row],[Optimización]])</f>
        <v>2</v>
      </c>
      <c r="F107" s="6">
        <f>+Tabla1[[#This Row],[Suma de  Consumo (L/mes)]]-Tabla1[[#This Row],[Consumo optimizado lmes]]</f>
        <v>0</v>
      </c>
      <c r="G107" s="6">
        <v>34</v>
      </c>
      <c r="H107" s="7"/>
      <c r="I107" s="5"/>
      <c r="J107" s="7" t="s">
        <v>100</v>
      </c>
      <c r="K107" s="5" t="str">
        <f>+IFERROR(Tabla1[[#This Row],[Suma de  Consumo (L/mes)]]*Tabla1[[#This Row],[Precio '[USD/litro']]],"")</f>
        <v/>
      </c>
      <c r="L107" s="7" t="str">
        <f>+IFERROR(Tabla1[[#This Row],[Precio '[USD/litro']]]*Tabla1[[#This Row],[Consumo optimizado lmes]],"")</f>
        <v/>
      </c>
      <c r="M107" s="1" t="str">
        <f>IFERROR(Tabla1[[#This Row],[Costo total '[USD/mes']]]-Tabla1[[#This Row],[Costo optimizado '[USD/mes']]],"")</f>
        <v/>
      </c>
    </row>
    <row r="108" spans="1:13">
      <c r="B108" s="5" t="s">
        <v>41</v>
      </c>
      <c r="C108" s="40"/>
      <c r="D108" s="6"/>
      <c r="E108" s="6">
        <f>+Tabla1[[#This Row],[Suma de  Consumo (L/mes)]]*(1-Tabla1[[#This Row],[Optimización]])</f>
        <v>0</v>
      </c>
      <c r="F108" s="6">
        <f>+Tabla1[[#This Row],[Suma de  Consumo (L/mes)]]-Tabla1[[#This Row],[Consumo optimizado lmes]]</f>
        <v>0</v>
      </c>
      <c r="G108" s="6">
        <v>2</v>
      </c>
      <c r="H108" s="7"/>
      <c r="I108" s="5"/>
      <c r="J108" s="7" t="s">
        <v>100</v>
      </c>
      <c r="K108" s="5" t="str">
        <f>+IFERROR(Tabla1[[#This Row],[Suma de  Consumo (L/mes)]]*Tabla1[[#This Row],[Precio '[USD/litro']]],"")</f>
        <v/>
      </c>
      <c r="L108" s="7" t="str">
        <f>+IFERROR(Tabla1[[#This Row],[Precio '[USD/litro']]]*Tabla1[[#This Row],[Consumo optimizado lmes]],"")</f>
        <v/>
      </c>
      <c r="M108" s="1" t="str">
        <f>IFERROR(Tabla1[[#This Row],[Costo total '[USD/mes']]]-Tabla1[[#This Row],[Costo optimizado '[USD/mes']]],"")</f>
        <v/>
      </c>
    </row>
    <row r="109" spans="1:13">
      <c r="B109" s="5" t="s">
        <v>42</v>
      </c>
      <c r="C109" s="40"/>
      <c r="D109" s="6"/>
      <c r="E109" s="6">
        <f>+Tabla1[[#This Row],[Suma de  Consumo (L/mes)]]*(1-Tabla1[[#This Row],[Optimización]])</f>
        <v>0</v>
      </c>
      <c r="F109" s="6">
        <f>+Tabla1[[#This Row],[Suma de  Consumo (L/mes)]]-Tabla1[[#This Row],[Consumo optimizado lmes]]</f>
        <v>0</v>
      </c>
      <c r="G109" s="6">
        <v>2</v>
      </c>
      <c r="H109" s="7"/>
      <c r="I109" s="5"/>
      <c r="J109" s="7" t="s">
        <v>100</v>
      </c>
      <c r="K109" s="5" t="str">
        <f>+IFERROR(Tabla1[[#This Row],[Suma de  Consumo (L/mes)]]*Tabla1[[#This Row],[Precio '[USD/litro']]],"")</f>
        <v/>
      </c>
      <c r="L109" s="7" t="str">
        <f>+IFERROR(Tabla1[[#This Row],[Precio '[USD/litro']]]*Tabla1[[#This Row],[Consumo optimizado lmes]],"")</f>
        <v/>
      </c>
      <c r="M109" s="1" t="str">
        <f>IFERROR(Tabla1[[#This Row],[Costo total '[USD/mes']]]-Tabla1[[#This Row],[Costo optimizado '[USD/mes']]],"")</f>
        <v/>
      </c>
    </row>
    <row r="110" spans="1:13">
      <c r="B110" s="5" t="s">
        <v>43</v>
      </c>
      <c r="C110" s="40"/>
      <c r="D110" s="6"/>
      <c r="E110" s="6">
        <f>+Tabla1[[#This Row],[Suma de  Consumo (L/mes)]]*(1-Tabla1[[#This Row],[Optimización]])</f>
        <v>0</v>
      </c>
      <c r="F110" s="6">
        <f>+Tabla1[[#This Row],[Suma de  Consumo (L/mes)]]-Tabla1[[#This Row],[Consumo optimizado lmes]]</f>
        <v>0</v>
      </c>
      <c r="G110" s="6">
        <v>12</v>
      </c>
      <c r="H110" s="7"/>
      <c r="I110" s="5" t="s">
        <v>75</v>
      </c>
      <c r="J110" s="7">
        <v>2.31</v>
      </c>
      <c r="K110" s="5">
        <f>+IFERROR(Tabla1[[#This Row],[Suma de  Consumo (L/mes)]]*Tabla1[[#This Row],[Precio '[USD/litro']]],"")</f>
        <v>0</v>
      </c>
      <c r="L110" s="7">
        <f>+IFERROR(Tabla1[[#This Row],[Precio '[USD/litro']]]*Tabla1[[#This Row],[Consumo optimizado lmes]],"")</f>
        <v>0</v>
      </c>
      <c r="M110" s="1">
        <f>IFERROR(Tabla1[[#This Row],[Costo total '[USD/mes']]]-Tabla1[[#This Row],[Costo optimizado '[USD/mes']]],"")</f>
        <v>0</v>
      </c>
    </row>
    <row r="111" spans="1:13">
      <c r="B111" s="5" t="s">
        <v>14</v>
      </c>
      <c r="C111" s="40"/>
      <c r="D111" s="6"/>
      <c r="E111" s="6">
        <f>+Tabla1[[#This Row],[Suma de  Consumo (L/mes)]]*(1-Tabla1[[#This Row],[Optimización]])</f>
        <v>0</v>
      </c>
      <c r="F111" s="6">
        <f>+Tabla1[[#This Row],[Suma de  Consumo (L/mes)]]-Tabla1[[#This Row],[Consumo optimizado lmes]]</f>
        <v>0</v>
      </c>
      <c r="G111" s="6">
        <v>2</v>
      </c>
      <c r="H111" s="7"/>
      <c r="I111" s="5" t="s">
        <v>99</v>
      </c>
      <c r="J111" s="7">
        <v>4.1100000000000003</v>
      </c>
      <c r="K111" s="5">
        <f>+IFERROR(Tabla1[[#This Row],[Suma de  Consumo (L/mes)]]*Tabla1[[#This Row],[Precio '[USD/litro']]],"")</f>
        <v>0</v>
      </c>
      <c r="L111" s="7">
        <f>+IFERROR(Tabla1[[#This Row],[Precio '[USD/litro']]]*Tabla1[[#This Row],[Consumo optimizado lmes]],"")</f>
        <v>0</v>
      </c>
      <c r="M111" s="1">
        <f>IFERROR(Tabla1[[#This Row],[Costo total '[USD/mes']]]-Tabla1[[#This Row],[Costo optimizado '[USD/mes']]],"")</f>
        <v>0</v>
      </c>
    </row>
    <row r="112" spans="1:13" ht="13.5" thickBot="1">
      <c r="B112" s="9" t="s">
        <v>6</v>
      </c>
      <c r="C112" s="42"/>
      <c r="D112" s="10">
        <v>1344</v>
      </c>
      <c r="E112" s="10">
        <f>+Tabla1[[#This Row],[Suma de  Consumo (L/mes)]]*(1-Tabla1[[#This Row],[Optimización]])</f>
        <v>1344</v>
      </c>
      <c r="F112" s="10">
        <f>+Tabla1[[#This Row],[Suma de  Consumo (L/mes)]]-Tabla1[[#This Row],[Consumo optimizado lmes]]</f>
        <v>0</v>
      </c>
      <c r="G112" s="10">
        <v>878</v>
      </c>
      <c r="H112" s="11"/>
      <c r="I112" s="9"/>
      <c r="J112" s="11"/>
      <c r="K112" s="9">
        <f>+IFERROR(Tabla1[[#This Row],[Suma de  Consumo (L/mes)]]*Tabla1[[#This Row],[Precio '[USD/litro']]],"")</f>
        <v>0</v>
      </c>
      <c r="L112" s="11">
        <f>+IFERROR(Tabla1[[#This Row],[Precio '[USD/litro']]]*Tabla1[[#This Row],[Consumo optimizado lmes]],"")</f>
        <v>0</v>
      </c>
      <c r="M112" s="1">
        <f>IFERROR(Tabla1[[#This Row],[Costo total '[USD/mes']]]-Tabla1[[#This Row],[Costo optimizado '[USD/mes']]],"")</f>
        <v>0</v>
      </c>
    </row>
    <row r="114" spans="4:12">
      <c r="D114" s="52">
        <f>+SUM(D5:D27,D29:D49,D51:D80,D82:D105)</f>
        <v>445787.05198999995</v>
      </c>
      <c r="E114" s="52">
        <f>+SUM(E5:E27,E29:E49,E51:E80,E82:E105)</f>
        <v>413532.33259199996</v>
      </c>
      <c r="F114" s="52"/>
      <c r="G114" s="53"/>
      <c r="H114" s="53"/>
      <c r="I114" s="53"/>
      <c r="J114" s="53"/>
      <c r="K114" s="52">
        <f>+SUM(Tabla1[Costo total '[USD/mes']])</f>
        <v>1498255.3009635999</v>
      </c>
      <c r="L114" s="52">
        <f>+SUM(Tabla1[Costo optimizado '[USD/mes']])</f>
        <v>1357745.9075008801</v>
      </c>
    </row>
    <row r="115" spans="4:12">
      <c r="D115" s="28"/>
      <c r="F115" s="28"/>
    </row>
    <row r="116" spans="4:12">
      <c r="E116" s="28">
        <f>+D114-E114</f>
        <v>32254.719397999987</v>
      </c>
      <c r="F116" s="44"/>
      <c r="L116" s="28">
        <f>+K114-L114</f>
        <v>140509.39346271986</v>
      </c>
    </row>
    <row r="117" spans="4:12">
      <c r="E117" s="44">
        <f>+E114/D114-1</f>
        <v>-7.2354545189265651E-2</v>
      </c>
      <c r="L117" s="44">
        <f>+L114/K114-1</f>
        <v>-9.3782009896678842E-2</v>
      </c>
    </row>
  </sheetData>
  <hyperlinks>
    <hyperlink ref="B1" location="Indice!A1" display="Indice" xr:uid="{6F69180F-7F99-4D85-A931-70BB550CAAF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5FF8-BA71-4D34-BF0B-F1E1B40D984E}">
  <dimension ref="B1:L20"/>
  <sheetViews>
    <sheetView showGridLines="0" topLeftCell="C2" workbookViewId="0">
      <selection activeCell="G15" sqref="G15"/>
    </sheetView>
  </sheetViews>
  <sheetFormatPr baseColWidth="10" defaultColWidth="11.42578125" defaultRowHeight="16.5"/>
  <cols>
    <col min="1" max="1" width="6.7109375" style="15" customWidth="1"/>
    <col min="2" max="2" width="34.140625" style="15" customWidth="1"/>
    <col min="3" max="3" width="37.140625" style="15" customWidth="1"/>
    <col min="4" max="4" width="26.5703125" style="15" customWidth="1"/>
    <col min="5" max="5" width="25" style="15" customWidth="1"/>
    <col min="6" max="6" width="22.42578125" style="15" customWidth="1"/>
    <col min="7" max="7" width="23.85546875" style="15" customWidth="1"/>
    <col min="8" max="9" width="20" style="15" customWidth="1"/>
    <col min="10" max="10" width="17.42578125" style="15" customWidth="1"/>
    <col min="11" max="11" width="19.5703125" style="15" customWidth="1"/>
    <col min="12" max="12" width="19.7109375" style="15" customWidth="1"/>
    <col min="13" max="16384" width="11.42578125" style="15"/>
  </cols>
  <sheetData>
    <row r="1" spans="2:12">
      <c r="B1" s="109" t="s">
        <v>248</v>
      </c>
      <c r="F1" s="73"/>
      <c r="G1" s="73"/>
    </row>
    <row r="2" spans="2:12" s="18" customFormat="1" ht="42" customHeight="1">
      <c r="B2" s="16" t="s">
        <v>102</v>
      </c>
      <c r="C2" s="16" t="s">
        <v>103</v>
      </c>
      <c r="D2" s="16" t="s">
        <v>104</v>
      </c>
      <c r="E2" s="16" t="s">
        <v>105</v>
      </c>
      <c r="F2" s="17" t="s">
        <v>106</v>
      </c>
      <c r="G2" s="16" t="s">
        <v>133</v>
      </c>
      <c r="H2" s="16" t="s">
        <v>134</v>
      </c>
      <c r="I2" s="17" t="s">
        <v>232</v>
      </c>
      <c r="J2" s="17" t="s">
        <v>147</v>
      </c>
      <c r="K2" s="16" t="s">
        <v>230</v>
      </c>
      <c r="L2" s="16" t="s">
        <v>231</v>
      </c>
    </row>
    <row r="3" spans="2:12">
      <c r="B3" s="12" t="s">
        <v>28</v>
      </c>
      <c r="C3" s="13">
        <v>178</v>
      </c>
      <c r="D3" s="13">
        <v>540</v>
      </c>
      <c r="E3" s="14">
        <f>+F13</f>
        <v>437949.85583104502</v>
      </c>
      <c r="F3" s="14">
        <f>+F18</f>
        <v>122356.07922585</v>
      </c>
      <c r="G3" s="19">
        <f>+F3*D3</f>
        <v>66072282.781958997</v>
      </c>
      <c r="H3" s="19">
        <f>E3*C3</f>
        <v>77955074.337926015</v>
      </c>
      <c r="I3" s="19">
        <f>+H3+G3</f>
        <v>144027357.11988503</v>
      </c>
      <c r="J3" s="37">
        <v>-0.31</v>
      </c>
      <c r="K3" s="19">
        <f>+(1+J3)*F3*D3</f>
        <v>45589875.119551703</v>
      </c>
      <c r="L3" s="19">
        <f>+K3+H3</f>
        <v>123544949.45747772</v>
      </c>
    </row>
    <row r="4" spans="2:12">
      <c r="B4" s="12" t="s">
        <v>32</v>
      </c>
      <c r="C4" s="13">
        <v>157</v>
      </c>
      <c r="D4" s="13">
        <v>148</v>
      </c>
      <c r="E4" s="14">
        <f>+E3</f>
        <v>437949.85583104502</v>
      </c>
      <c r="F4" s="14">
        <f>+F3</f>
        <v>122356.07922585</v>
      </c>
      <c r="G4" s="19">
        <f t="shared" ref="G4:G7" si="0">+F4*D4</f>
        <v>18108699.725425798</v>
      </c>
      <c r="H4" s="19">
        <f t="shared" ref="H4:H7" si="1">E4*C4</f>
        <v>68758127.365474075</v>
      </c>
      <c r="I4" s="19">
        <f t="shared" ref="I4:I7" si="2">+H4+G4</f>
        <v>86866827.09089987</v>
      </c>
      <c r="J4" s="37">
        <v>-0.12</v>
      </c>
      <c r="K4" s="19">
        <f t="shared" ref="K4:K7" si="3">+(1+J4)*F4*D4</f>
        <v>15935655.758374704</v>
      </c>
      <c r="L4" s="19">
        <f t="shared" ref="L4:L7" si="4">+K4+H4</f>
        <v>84693783.123848781</v>
      </c>
    </row>
    <row r="5" spans="2:12">
      <c r="B5" s="12" t="s">
        <v>7</v>
      </c>
      <c r="C5" s="13">
        <v>154</v>
      </c>
      <c r="D5" s="13">
        <v>195</v>
      </c>
      <c r="E5" s="14">
        <f>+F13</f>
        <v>437949.85583104502</v>
      </c>
      <c r="F5" s="14">
        <f t="shared" ref="F5:F7" si="5">+F4</f>
        <v>122356.07922585</v>
      </c>
      <c r="G5" s="19">
        <f>+F5*D5</f>
        <v>23859435.449040752</v>
      </c>
      <c r="H5" s="19">
        <f t="shared" si="1"/>
        <v>67444277.797980934</v>
      </c>
      <c r="I5" s="19">
        <f>+H5+G5</f>
        <v>91303713.24702169</v>
      </c>
      <c r="J5" s="37">
        <v>-0.33</v>
      </c>
      <c r="K5" s="19">
        <f t="shared" si="3"/>
        <v>15985821.750857301</v>
      </c>
      <c r="L5" s="19">
        <f t="shared" si="4"/>
        <v>83430099.548838228</v>
      </c>
    </row>
    <row r="6" spans="2:12">
      <c r="B6" s="12" t="s">
        <v>44</v>
      </c>
      <c r="C6" s="13">
        <v>41</v>
      </c>
      <c r="D6" s="13">
        <v>52</v>
      </c>
      <c r="E6" s="14">
        <f>+F11</f>
        <v>519264.28224757803</v>
      </c>
      <c r="F6" s="14">
        <f t="shared" si="5"/>
        <v>122356.07922585</v>
      </c>
      <c r="G6" s="19">
        <f t="shared" si="0"/>
        <v>6362516.1197442003</v>
      </c>
      <c r="H6" s="19">
        <f t="shared" si="1"/>
        <v>21289835.5721507</v>
      </c>
      <c r="I6" s="19">
        <f t="shared" si="2"/>
        <v>27652351.6918949</v>
      </c>
      <c r="J6" s="37">
        <v>-0.31</v>
      </c>
      <c r="K6" s="19">
        <f t="shared" si="3"/>
        <v>4390136.1226234976</v>
      </c>
      <c r="L6" s="19">
        <f t="shared" si="4"/>
        <v>25679971.694774196</v>
      </c>
    </row>
    <row r="7" spans="2:12">
      <c r="B7" s="12" t="s">
        <v>33</v>
      </c>
      <c r="C7" s="13">
        <v>165</v>
      </c>
      <c r="D7" s="13">
        <v>210</v>
      </c>
      <c r="E7" s="14">
        <f>+F13</f>
        <v>437949.85583104502</v>
      </c>
      <c r="F7" s="14">
        <f t="shared" si="5"/>
        <v>122356.07922585</v>
      </c>
      <c r="G7" s="19">
        <f t="shared" si="0"/>
        <v>25694776.6374285</v>
      </c>
      <c r="H7" s="19">
        <f t="shared" si="1"/>
        <v>72261726.212122425</v>
      </c>
      <c r="I7" s="19">
        <f t="shared" si="2"/>
        <v>97956502.849550933</v>
      </c>
      <c r="J7" s="37">
        <f>+J4</f>
        <v>-0.12</v>
      </c>
      <c r="K7" s="19">
        <f t="shared" si="3"/>
        <v>22611403.440937079</v>
      </c>
      <c r="L7" s="19">
        <f t="shared" si="4"/>
        <v>94873129.653059512</v>
      </c>
    </row>
    <row r="8" spans="2:12">
      <c r="F8" s="74" t="s">
        <v>107</v>
      </c>
      <c r="G8" s="75">
        <f>+SUM(G3:G7)</f>
        <v>140097710.71359825</v>
      </c>
      <c r="H8" s="75">
        <f>+SUM(H3:H7)</f>
        <v>307709041.28565413</v>
      </c>
      <c r="I8" s="75">
        <f>+SUM(I3:I7)</f>
        <v>447806751.99925244</v>
      </c>
      <c r="J8" s="74"/>
      <c r="K8" s="75">
        <f>+SUM(K3:K7)</f>
        <v>104512892.19234428</v>
      </c>
      <c r="L8" s="75">
        <f>+SUM(L3:L7)</f>
        <v>412221933.4779985</v>
      </c>
    </row>
    <row r="10" spans="2:12" ht="50.25" customHeight="1">
      <c r="B10" s="151" t="s">
        <v>108</v>
      </c>
      <c r="C10" s="152" t="s">
        <v>108</v>
      </c>
      <c r="D10" s="152" t="s">
        <v>109</v>
      </c>
      <c r="E10" s="152" t="s">
        <v>110</v>
      </c>
      <c r="F10" s="153" t="s">
        <v>269</v>
      </c>
      <c r="G10" s="20"/>
      <c r="H10" s="23"/>
      <c r="I10" s="23"/>
      <c r="J10" s="20"/>
    </row>
    <row r="11" spans="2:12">
      <c r="B11" s="154" t="s">
        <v>111</v>
      </c>
      <c r="C11" s="155" t="s">
        <v>112</v>
      </c>
      <c r="D11" s="155" t="s">
        <v>113</v>
      </c>
      <c r="E11" s="155" t="s">
        <v>114</v>
      </c>
      <c r="F11" s="156">
        <v>519264.28224757803</v>
      </c>
      <c r="G11" s="149"/>
      <c r="H11" s="150"/>
      <c r="I11" s="21"/>
      <c r="J11" s="22"/>
    </row>
    <row r="12" spans="2:12">
      <c r="B12" s="157" t="s">
        <v>111</v>
      </c>
      <c r="C12" s="158" t="s">
        <v>115</v>
      </c>
      <c r="D12" s="158" t="s">
        <v>113</v>
      </c>
      <c r="E12" s="158" t="s">
        <v>116</v>
      </c>
      <c r="F12" s="159">
        <v>523778.57796201599</v>
      </c>
      <c r="G12" s="149"/>
      <c r="H12" s="150"/>
      <c r="I12" s="21"/>
      <c r="J12" s="22"/>
    </row>
    <row r="13" spans="2:12">
      <c r="B13" s="157" t="s">
        <v>111</v>
      </c>
      <c r="C13" s="158" t="s">
        <v>117</v>
      </c>
      <c r="D13" s="158" t="s">
        <v>113</v>
      </c>
      <c r="E13" s="158" t="s">
        <v>118</v>
      </c>
      <c r="F13" s="159">
        <v>437949.85583104502</v>
      </c>
      <c r="G13" s="149"/>
      <c r="H13" s="150"/>
      <c r="I13" s="21"/>
      <c r="J13" s="22"/>
    </row>
    <row r="14" spans="2:12">
      <c r="B14" s="157" t="s">
        <v>111</v>
      </c>
      <c r="C14" s="158" t="s">
        <v>119</v>
      </c>
      <c r="D14" s="158" t="s">
        <v>113</v>
      </c>
      <c r="E14" s="158" t="s">
        <v>120</v>
      </c>
      <c r="F14" s="159">
        <v>366184.96678500401</v>
      </c>
      <c r="G14" s="149"/>
      <c r="H14" s="150"/>
      <c r="I14" s="21"/>
      <c r="J14" s="22"/>
    </row>
    <row r="15" spans="2:12">
      <c r="B15" s="157" t="s">
        <v>111</v>
      </c>
      <c r="C15" s="158" t="s">
        <v>121</v>
      </c>
      <c r="D15" s="158" t="s">
        <v>113</v>
      </c>
      <c r="E15" s="158" t="s">
        <v>122</v>
      </c>
      <c r="F15" s="159">
        <v>346871.13652674702</v>
      </c>
      <c r="G15" s="149"/>
      <c r="H15" s="150"/>
      <c r="I15" s="21"/>
      <c r="J15" s="22"/>
    </row>
    <row r="16" spans="2:12">
      <c r="B16" s="157" t="s">
        <v>111</v>
      </c>
      <c r="C16" s="158" t="s">
        <v>123</v>
      </c>
      <c r="D16" s="158" t="s">
        <v>113</v>
      </c>
      <c r="E16" s="158" t="s">
        <v>124</v>
      </c>
      <c r="F16" s="159">
        <v>306183.73341792799</v>
      </c>
      <c r="G16" s="149"/>
      <c r="H16" s="150"/>
      <c r="I16" s="21"/>
      <c r="J16" s="22"/>
    </row>
    <row r="17" spans="2:10">
      <c r="B17" s="157" t="s">
        <v>111</v>
      </c>
      <c r="C17" s="158" t="s">
        <v>125</v>
      </c>
      <c r="D17" s="158" t="s">
        <v>113</v>
      </c>
      <c r="E17" s="158" t="s">
        <v>126</v>
      </c>
      <c r="F17" s="159">
        <v>290871.25896649697</v>
      </c>
      <c r="G17" s="149"/>
      <c r="H17" s="150"/>
      <c r="I17" s="21"/>
      <c r="J17" s="22"/>
    </row>
    <row r="18" spans="2:10">
      <c r="B18" s="157" t="s">
        <v>111</v>
      </c>
      <c r="C18" s="158" t="s">
        <v>127</v>
      </c>
      <c r="D18" s="158" t="s">
        <v>113</v>
      </c>
      <c r="E18" s="158" t="s">
        <v>128</v>
      </c>
      <c r="F18" s="159">
        <v>122356.07922585</v>
      </c>
      <c r="G18" s="149"/>
      <c r="H18" s="150"/>
      <c r="I18" s="21"/>
      <c r="J18" s="22"/>
    </row>
    <row r="19" spans="2:10">
      <c r="B19" s="157" t="s">
        <v>111</v>
      </c>
      <c r="C19" s="158" t="s">
        <v>129</v>
      </c>
      <c r="D19" s="158" t="s">
        <v>113</v>
      </c>
      <c r="E19" s="158" t="s">
        <v>130</v>
      </c>
      <c r="F19" s="159">
        <v>438409.891312238</v>
      </c>
      <c r="G19" s="149"/>
      <c r="H19" s="150"/>
      <c r="I19" s="21"/>
      <c r="J19" s="22"/>
    </row>
    <row r="20" spans="2:10">
      <c r="B20" s="160" t="s">
        <v>111</v>
      </c>
      <c r="C20" s="161" t="s">
        <v>131</v>
      </c>
      <c r="D20" s="161" t="s">
        <v>113</v>
      </c>
      <c r="E20" s="161" t="s">
        <v>132</v>
      </c>
      <c r="F20" s="162">
        <v>718031.10359956103</v>
      </c>
      <c r="G20" s="149"/>
      <c r="H20" s="150"/>
      <c r="I20" s="21"/>
      <c r="J20" s="22"/>
    </row>
  </sheetData>
  <hyperlinks>
    <hyperlink ref="B1" location="Indice!A1" display="Indice" xr:uid="{DF64BAC3-AB2E-42F0-B560-E84FB85B300C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D63E-F322-4A05-96B9-23BD8B08F288}">
  <dimension ref="C1:L35"/>
  <sheetViews>
    <sheetView showGridLines="0" zoomScaleNormal="100" workbookViewId="0">
      <selection activeCell="O18" sqref="O18"/>
    </sheetView>
  </sheetViews>
  <sheetFormatPr baseColWidth="10" defaultRowHeight="15"/>
  <cols>
    <col min="3" max="3" width="27.85546875" customWidth="1"/>
    <col min="4" max="8" width="17.140625" customWidth="1"/>
    <col min="9" max="9" width="7.85546875" hidden="1" customWidth="1"/>
    <col min="10" max="10" width="1.28515625" customWidth="1"/>
    <col min="11" max="11" width="13" bestFit="1" customWidth="1"/>
    <col min="12" max="12" width="12.5703125" bestFit="1" customWidth="1"/>
  </cols>
  <sheetData>
    <row r="1" spans="3:12">
      <c r="C1" s="109" t="s">
        <v>248</v>
      </c>
    </row>
    <row r="2" spans="3:12">
      <c r="C2" s="34" t="s">
        <v>135</v>
      </c>
      <c r="D2" s="34">
        <v>876.5</v>
      </c>
      <c r="E2" s="38">
        <v>45411</v>
      </c>
    </row>
    <row r="4" spans="3:12">
      <c r="C4" s="29"/>
      <c r="D4" s="29" t="s">
        <v>28</v>
      </c>
      <c r="E4" s="29" t="s">
        <v>32</v>
      </c>
      <c r="F4" s="29" t="s">
        <v>136</v>
      </c>
      <c r="G4" s="29" t="s">
        <v>44</v>
      </c>
      <c r="H4" s="29" t="s">
        <v>33</v>
      </c>
      <c r="I4" s="29" t="s">
        <v>137</v>
      </c>
      <c r="K4" s="29" t="s">
        <v>137</v>
      </c>
    </row>
    <row r="5" spans="3:12" ht="8.25" customHeight="1">
      <c r="C5" s="58"/>
      <c r="D5" s="58"/>
      <c r="E5" s="58"/>
      <c r="F5" s="58"/>
      <c r="G5" s="58"/>
      <c r="H5" s="58"/>
      <c r="I5" s="43"/>
      <c r="K5" s="58"/>
    </row>
    <row r="6" spans="3:12" ht="15" customHeight="1">
      <c r="C6" s="29" t="s">
        <v>138</v>
      </c>
      <c r="D6" s="36">
        <f>Servicio!G3/D2/1000</f>
        <v>75.381954115184257</v>
      </c>
      <c r="E6" s="36">
        <f>Servicio!G4/D2/1000</f>
        <v>20.66023927601346</v>
      </c>
      <c r="F6" s="36">
        <f>Servicio!G5/D2/1000</f>
        <v>27.221261208260984</v>
      </c>
      <c r="G6" s="36">
        <f>Servicio!G6/D2/1000</f>
        <v>7.2590029888695957</v>
      </c>
      <c r="H6" s="36">
        <f>Servicio!G7/D2/1000</f>
        <v>29.315204378127213</v>
      </c>
      <c r="I6" s="31">
        <f>+H6+G6+F6+E6+D6</f>
        <v>159.83766196645553</v>
      </c>
      <c r="K6" s="36">
        <f>+H6+G6+F6+E6+D6</f>
        <v>159.83766196645553</v>
      </c>
    </row>
    <row r="7" spans="3:12" ht="15" customHeight="1">
      <c r="C7" s="29" t="s">
        <v>139</v>
      </c>
      <c r="D7" s="36">
        <f>Servicio!H3/D2/1000</f>
        <v>88.939046592043383</v>
      </c>
      <c r="E7" s="36">
        <f>Servicio!H4/D2/1000</f>
        <v>78.446237724442767</v>
      </c>
      <c r="F7" s="36">
        <f>Servicio!H5/D2/1000</f>
        <v>76.947265029071232</v>
      </c>
      <c r="G7" s="36">
        <f>Servicio!H6/D2/1000</f>
        <v>24.289601337308273</v>
      </c>
      <c r="H7" s="36">
        <f>Servicio!H7/D2/1000</f>
        <v>82.44349824543346</v>
      </c>
      <c r="I7" s="31">
        <f>+H7+G7+F7+E7+D7</f>
        <v>351.06564892829908</v>
      </c>
      <c r="K7" s="36">
        <f>+H7+G7+F7+E7+D7</f>
        <v>351.06564892829908</v>
      </c>
      <c r="L7" s="32">
        <f>+K7+K6</f>
        <v>510.90331089475461</v>
      </c>
    </row>
    <row r="8" spans="3:12" ht="2.1" customHeight="1">
      <c r="C8" s="58"/>
      <c r="D8" s="59"/>
      <c r="E8" s="59"/>
      <c r="F8" s="59"/>
      <c r="G8" s="59"/>
      <c r="H8" s="59"/>
      <c r="I8" s="57">
        <f t="shared" ref="I8" si="0">+H8</f>
        <v>0</v>
      </c>
      <c r="K8" s="59"/>
      <c r="L8" s="33">
        <f>+L7/(L7+K12)</f>
        <v>0.25428719658036297</v>
      </c>
    </row>
    <row r="9" spans="3:12" ht="2.1" customHeight="1">
      <c r="C9" s="58"/>
      <c r="D9" s="60"/>
      <c r="E9" s="60"/>
      <c r="F9" s="60"/>
      <c r="G9" s="60"/>
      <c r="H9" s="60"/>
      <c r="I9" s="57"/>
      <c r="K9" s="60"/>
    </row>
    <row r="10" spans="3:12" ht="2.1" customHeight="1">
      <c r="C10" s="58"/>
      <c r="D10" s="60"/>
      <c r="E10" s="60"/>
      <c r="F10" s="60"/>
      <c r="G10" s="60"/>
      <c r="H10" s="60"/>
      <c r="I10" s="57"/>
      <c r="K10" s="60"/>
    </row>
    <row r="11" spans="3:12" ht="2.1" customHeight="1">
      <c r="C11" s="58"/>
      <c r="D11" s="60"/>
      <c r="E11" s="60"/>
      <c r="F11" s="60"/>
      <c r="G11" s="60"/>
      <c r="H11" s="60"/>
      <c r="I11" s="57"/>
      <c r="K11" s="60"/>
    </row>
    <row r="12" spans="3:12" ht="15" customHeight="1">
      <c r="C12" s="29" t="s">
        <v>140</v>
      </c>
      <c r="D12" s="30">
        <f>+SUM('PUNTOS DE INYECCIÓN'!K5:K27)/1000</f>
        <v>404.43844000000001</v>
      </c>
      <c r="E12" s="30">
        <f>SUM('PUNTOS DE INYECCIÓN'!K29:K49)/1000</f>
        <v>243.24223999999998</v>
      </c>
      <c r="F12" s="30">
        <f>SUM('PUNTOS DE INYECCIÓN'!K51:K80)/1000</f>
        <v>504.59093096359999</v>
      </c>
      <c r="G12" s="30">
        <f>SUM('PUNTOS DE INYECCIÓN'!K82:K90)/1000</f>
        <v>54.929569999999991</v>
      </c>
      <c r="H12" s="30">
        <f>SUM('PUNTOS DE INYECCIÓN'!K92:K105)/1000</f>
        <v>291.05412000000001</v>
      </c>
      <c r="I12" s="30">
        <f>+H12+G12+F12+E12+D12</f>
        <v>1498.2553009635999</v>
      </c>
      <c r="K12" s="30">
        <f>+H12+G12+F12+E12+D12</f>
        <v>1498.2553009635999</v>
      </c>
      <c r="L12" s="76"/>
    </row>
    <row r="14" spans="3:12">
      <c r="C14" s="34" t="s">
        <v>196</v>
      </c>
      <c r="D14" s="34" t="s">
        <v>143</v>
      </c>
      <c r="E14" s="34" t="s">
        <v>142</v>
      </c>
      <c r="F14" s="34"/>
      <c r="G14" s="34"/>
    </row>
    <row r="15" spans="3:12">
      <c r="C15" s="34" t="s">
        <v>144</v>
      </c>
      <c r="D15" s="35">
        <f>++(D12+E12+F12+G12+H12)*1000</f>
        <v>1498255.3009635999</v>
      </c>
      <c r="E15" s="35">
        <f>+Servicio!I8/D2</f>
        <v>510903.31089475466</v>
      </c>
      <c r="F15" s="34"/>
      <c r="G15" s="34"/>
    </row>
    <row r="16" spans="3:12">
      <c r="C16" s="34"/>
      <c r="D16" s="35"/>
      <c r="E16" s="35"/>
      <c r="F16" s="35"/>
      <c r="G16" s="86"/>
    </row>
    <row r="17" spans="3:7">
      <c r="C17" s="34"/>
      <c r="D17" s="34"/>
      <c r="E17" s="35"/>
      <c r="F17" s="34"/>
      <c r="G17" s="34"/>
    </row>
    <row r="33" spans="3:12">
      <c r="C33" s="82"/>
      <c r="D33" s="82"/>
      <c r="E33" s="82"/>
      <c r="F33" s="119"/>
      <c r="G33" s="119"/>
      <c r="H33" s="119"/>
      <c r="I33" s="82"/>
      <c r="J33" s="119"/>
      <c r="K33" s="119"/>
      <c r="L33" s="119"/>
    </row>
    <row r="34" spans="3:12">
      <c r="C34" s="82"/>
      <c r="D34" s="83"/>
      <c r="E34" s="83"/>
      <c r="F34" s="83"/>
      <c r="G34" s="83"/>
      <c r="H34" s="84"/>
      <c r="I34" s="82"/>
      <c r="J34" s="83"/>
      <c r="K34" s="82"/>
      <c r="L34" s="82"/>
    </row>
    <row r="35" spans="3:12">
      <c r="C35" s="82"/>
      <c r="D35" s="83"/>
      <c r="E35" s="83"/>
      <c r="F35" s="83"/>
      <c r="G35" s="82"/>
      <c r="H35" s="82"/>
      <c r="I35" s="82"/>
      <c r="J35" s="83"/>
      <c r="K35" s="83"/>
      <c r="L35" s="85"/>
    </row>
  </sheetData>
  <mergeCells count="2">
    <mergeCell ref="F33:H33"/>
    <mergeCell ref="J33:L33"/>
  </mergeCells>
  <hyperlinks>
    <hyperlink ref="C1" location="Indice!A1" display="Indice" xr:uid="{75876286-BEE0-435F-9A23-F0FA3C03104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3A5C-A2F7-4322-B4F1-3036264AA001}">
  <dimension ref="C1:L35"/>
  <sheetViews>
    <sheetView showGridLines="0" zoomScaleNormal="100" workbookViewId="0">
      <selection activeCell="C1" sqref="C1"/>
    </sheetView>
  </sheetViews>
  <sheetFormatPr baseColWidth="10" defaultRowHeight="15"/>
  <cols>
    <col min="3" max="3" width="27.85546875" customWidth="1"/>
    <col min="4" max="8" width="17.140625" customWidth="1"/>
    <col min="9" max="9" width="7.85546875" hidden="1" customWidth="1"/>
    <col min="10" max="10" width="1.28515625" customWidth="1"/>
    <col min="11" max="12" width="13" bestFit="1" customWidth="1"/>
  </cols>
  <sheetData>
    <row r="1" spans="3:12">
      <c r="C1" s="109" t="s">
        <v>248</v>
      </c>
    </row>
    <row r="2" spans="3:12">
      <c r="C2" s="34" t="s">
        <v>135</v>
      </c>
      <c r="D2" s="34">
        <v>876.5</v>
      </c>
      <c r="E2" s="38">
        <v>45411</v>
      </c>
    </row>
    <row r="4" spans="3:12">
      <c r="C4" s="29"/>
      <c r="D4" s="29" t="s">
        <v>28</v>
      </c>
      <c r="E4" s="29" t="s">
        <v>32</v>
      </c>
      <c r="F4" s="29" t="s">
        <v>136</v>
      </c>
      <c r="G4" s="29" t="s">
        <v>44</v>
      </c>
      <c r="H4" s="29" t="s">
        <v>33</v>
      </c>
      <c r="I4" s="29" t="s">
        <v>137</v>
      </c>
      <c r="K4" s="29" t="s">
        <v>137</v>
      </c>
    </row>
    <row r="5" spans="3:12" ht="8.25" customHeight="1">
      <c r="C5" s="58"/>
      <c r="D5" s="58"/>
      <c r="E5" s="58"/>
      <c r="F5" s="58"/>
      <c r="G5" s="58"/>
      <c r="H5" s="58"/>
      <c r="I5" s="43"/>
      <c r="K5" s="58"/>
    </row>
    <row r="6" spans="3:12" ht="15" customHeight="1">
      <c r="C6" s="29" t="s">
        <v>138</v>
      </c>
      <c r="D6" s="36">
        <f>Servicio!K3/D2/1000</f>
        <v>52.013548339477126</v>
      </c>
      <c r="E6" s="36">
        <f>Servicio!K4/D2/1000</f>
        <v>18.181010562891846</v>
      </c>
      <c r="F6" s="36">
        <f>Servicio!K5/D2/1000</f>
        <v>18.238245009534854</v>
      </c>
      <c r="G6" s="36">
        <f>Servicio!K6/D2/1000</f>
        <v>5.0087120623200203</v>
      </c>
      <c r="H6" s="36">
        <f>Servicio!K7/D2/1000</f>
        <v>25.797379852751941</v>
      </c>
      <c r="I6" s="31">
        <f>+H6+G6+F6+E6+D6</f>
        <v>119.23889582697578</v>
      </c>
      <c r="K6" s="36">
        <f>+H6+G6+F6+E6+D6</f>
        <v>119.23889582697578</v>
      </c>
    </row>
    <row r="7" spans="3:12" ht="15" customHeight="1">
      <c r="C7" s="29" t="s">
        <v>139</v>
      </c>
      <c r="D7" s="36">
        <f>Servicio!H3/D2/1000</f>
        <v>88.939046592043383</v>
      </c>
      <c r="E7" s="36">
        <f>Servicio!H4/D2/1000</f>
        <v>78.446237724442767</v>
      </c>
      <c r="F7" s="36">
        <f>Servicio!H5/D2/1000</f>
        <v>76.947265029071232</v>
      </c>
      <c r="G7" s="36">
        <f>Servicio!H6/D2/1000</f>
        <v>24.289601337308273</v>
      </c>
      <c r="H7" s="36">
        <f>Servicio!H7/D2/1000</f>
        <v>82.44349824543346</v>
      </c>
      <c r="I7" s="31">
        <f>+H7+G7+F7+E7+D7</f>
        <v>351.06564892829908</v>
      </c>
      <c r="K7" s="36">
        <f>+H7+G7+F7+E7+D7</f>
        <v>351.06564892829908</v>
      </c>
      <c r="L7" s="87">
        <f>+K7+K6</f>
        <v>470.30454475527483</v>
      </c>
    </row>
    <row r="8" spans="3:12" ht="2.1" customHeight="1">
      <c r="C8" s="58"/>
      <c r="D8" s="59"/>
      <c r="E8" s="59"/>
      <c r="F8" s="59"/>
      <c r="G8" s="59"/>
      <c r="H8" s="59"/>
      <c r="I8" s="57">
        <f t="shared" ref="I8" si="0">+H8</f>
        <v>0</v>
      </c>
      <c r="K8" s="59"/>
      <c r="L8" s="33">
        <f>+L7/(L7+K12)</f>
        <v>0.23890792336238573</v>
      </c>
    </row>
    <row r="9" spans="3:12" ht="2.1" customHeight="1">
      <c r="C9" s="58"/>
      <c r="D9" s="60"/>
      <c r="E9" s="60"/>
      <c r="F9" s="60"/>
      <c r="G9" s="60"/>
      <c r="H9" s="60"/>
      <c r="I9" s="57"/>
      <c r="K9" s="60"/>
    </row>
    <row r="10" spans="3:12" ht="2.1" customHeight="1">
      <c r="C10" s="58"/>
      <c r="D10" s="60"/>
      <c r="E10" s="60"/>
      <c r="F10" s="60"/>
      <c r="G10" s="60"/>
      <c r="H10" s="60"/>
      <c r="I10" s="57"/>
      <c r="K10" s="60"/>
    </row>
    <row r="11" spans="3:12" ht="2.1" customHeight="1">
      <c r="C11" s="58"/>
      <c r="D11" s="60"/>
      <c r="E11" s="60"/>
      <c r="F11" s="60"/>
      <c r="G11" s="60"/>
      <c r="H11" s="60"/>
      <c r="I11" s="57"/>
      <c r="K11" s="60"/>
    </row>
    <row r="12" spans="3:12" ht="15" customHeight="1">
      <c r="C12" s="29" t="s">
        <v>140</v>
      </c>
      <c r="D12" s="30">
        <f>+SUM('PUNTOS DE INYECCIÓN'!K5:K27)/1000</f>
        <v>404.43844000000001</v>
      </c>
      <c r="E12" s="30">
        <f>SUM('PUNTOS DE INYECCIÓN'!K29:K49)/1000</f>
        <v>243.24223999999998</v>
      </c>
      <c r="F12" s="30">
        <f>SUM('PUNTOS DE INYECCIÓN'!K51:K80)/1000</f>
        <v>504.59093096359999</v>
      </c>
      <c r="G12" s="30">
        <f>SUM('PUNTOS DE INYECCIÓN'!K82:K90)/1000</f>
        <v>54.929569999999991</v>
      </c>
      <c r="H12" s="30">
        <f>SUM('PUNTOS DE INYECCIÓN'!K92:K105)/1000</f>
        <v>291.05412000000001</v>
      </c>
      <c r="I12" s="30">
        <f>+H12+G12+F12+E12+D12</f>
        <v>1498.2553009635999</v>
      </c>
      <c r="K12" s="30">
        <f>+H12+G12+F12+E12+D12</f>
        <v>1498.2553009635999</v>
      </c>
      <c r="L12" s="76"/>
    </row>
    <row r="14" spans="3:12">
      <c r="C14" s="34" t="s">
        <v>196</v>
      </c>
      <c r="D14" s="34" t="s">
        <v>143</v>
      </c>
      <c r="E14" s="34" t="s">
        <v>142</v>
      </c>
      <c r="F14" s="34" t="s">
        <v>237</v>
      </c>
      <c r="G14" s="34" t="s">
        <v>238</v>
      </c>
    </row>
    <row r="15" spans="3:12">
      <c r="C15" s="34" t="s">
        <v>144</v>
      </c>
      <c r="D15" s="35">
        <f>++(D12+E12+F12+G12+H12)*1000</f>
        <v>1498255.3009635999</v>
      </c>
      <c r="E15" s="35">
        <f>+Servicio!I8/D2</f>
        <v>510903.31089475466</v>
      </c>
      <c r="F15" s="34"/>
      <c r="G15" s="34"/>
    </row>
    <row r="16" spans="3:12">
      <c r="C16" s="34" t="s">
        <v>145</v>
      </c>
      <c r="D16" s="35">
        <f>+D15</f>
        <v>1498255.3009635999</v>
      </c>
      <c r="E16" s="35">
        <f>+Servicio!L8/D2</f>
        <v>470304.54475527495</v>
      </c>
      <c r="F16" s="35">
        <f>+E15-E16</f>
        <v>40598.766139479703</v>
      </c>
      <c r="G16" s="86">
        <f>+E16/E15-1</f>
        <v>-7.9464676140732604E-2</v>
      </c>
    </row>
    <row r="17" spans="3:7">
      <c r="C17" s="34" t="s">
        <v>146</v>
      </c>
      <c r="D17" s="34"/>
      <c r="E17" s="35"/>
      <c r="F17" s="34"/>
      <c r="G17" s="34"/>
    </row>
    <row r="33" spans="3:12">
      <c r="C33" s="82"/>
      <c r="D33" s="82"/>
      <c r="E33" s="82"/>
      <c r="F33" s="119"/>
      <c r="G33" s="119"/>
      <c r="H33" s="119"/>
      <c r="I33" s="82"/>
      <c r="J33" s="119"/>
      <c r="K33" s="119"/>
      <c r="L33" s="119"/>
    </row>
    <row r="34" spans="3:12">
      <c r="C34" s="82"/>
      <c r="D34" s="83"/>
      <c r="E34" s="83"/>
      <c r="F34" s="83"/>
      <c r="G34" s="83"/>
      <c r="H34" s="84"/>
      <c r="I34" s="82"/>
      <c r="J34" s="83"/>
      <c r="K34" s="82"/>
      <c r="L34" s="82"/>
    </row>
    <row r="35" spans="3:12">
      <c r="C35" s="82"/>
      <c r="D35" s="83"/>
      <c r="E35" s="83"/>
      <c r="F35" s="83"/>
      <c r="G35" s="82"/>
      <c r="H35" s="82"/>
      <c r="I35" s="82"/>
      <c r="J35" s="83"/>
      <c r="K35" s="83"/>
      <c r="L35" s="85"/>
    </row>
  </sheetData>
  <mergeCells count="2">
    <mergeCell ref="F33:H33"/>
    <mergeCell ref="J33:L33"/>
  </mergeCells>
  <hyperlinks>
    <hyperlink ref="C1" location="Indice!A1" display="Indice" xr:uid="{199AC3F1-EFCA-4626-89FE-8DCFEB1E5CB7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4D5F-F82F-448B-B6FC-3400268177EA}">
  <dimension ref="C1:M64"/>
  <sheetViews>
    <sheetView showGridLines="0" zoomScaleNormal="100" workbookViewId="0">
      <selection activeCell="L24" sqref="L24"/>
    </sheetView>
  </sheetViews>
  <sheetFormatPr baseColWidth="10" defaultRowHeight="15"/>
  <cols>
    <col min="3" max="3" width="27.85546875" customWidth="1"/>
    <col min="4" max="4" width="24.85546875" customWidth="1"/>
    <col min="5" max="7" width="17.140625" customWidth="1"/>
    <col min="8" max="8" width="14.7109375" customWidth="1"/>
    <col min="9" max="9" width="7.140625" customWidth="1"/>
    <col min="10" max="11" width="13" bestFit="1" customWidth="1"/>
    <col min="12" max="12" width="15.28515625" customWidth="1"/>
  </cols>
  <sheetData>
    <row r="1" spans="3:11">
      <c r="C1" s="109" t="s">
        <v>248</v>
      </c>
    </row>
    <row r="2" spans="3:11">
      <c r="C2" s="34" t="s">
        <v>135</v>
      </c>
      <c r="D2" s="34">
        <v>876.5</v>
      </c>
      <c r="E2" s="38">
        <v>45411</v>
      </c>
    </row>
    <row r="4" spans="3:11">
      <c r="C4" s="29"/>
      <c r="D4" s="29" t="s">
        <v>28</v>
      </c>
      <c r="E4" s="29" t="s">
        <v>32</v>
      </c>
      <c r="F4" s="29" t="s">
        <v>136</v>
      </c>
      <c r="G4" s="29" t="s">
        <v>44</v>
      </c>
      <c r="H4" s="29" t="s">
        <v>33</v>
      </c>
      <c r="J4" s="29" t="s">
        <v>137</v>
      </c>
    </row>
    <row r="5" spans="3:11" ht="8.25" customHeight="1">
      <c r="C5" s="58"/>
      <c r="D5" s="58"/>
      <c r="E5" s="58"/>
      <c r="F5" s="58"/>
      <c r="G5" s="58"/>
      <c r="H5" s="58"/>
      <c r="J5" s="58"/>
    </row>
    <row r="6" spans="3:11" ht="15" customHeight="1">
      <c r="C6" s="29" t="s">
        <v>138</v>
      </c>
      <c r="D6" s="36">
        <f>Servicio!K3/D2/1000</f>
        <v>52.013548339477126</v>
      </c>
      <c r="E6" s="36">
        <f>Servicio!K4/D2/1000</f>
        <v>18.181010562891846</v>
      </c>
      <c r="F6" s="36">
        <f>Servicio!K5/D2/1000</f>
        <v>18.238245009534854</v>
      </c>
      <c r="G6" s="36">
        <f>Servicio!K6/D2/1000</f>
        <v>5.0087120623200203</v>
      </c>
      <c r="H6" s="36">
        <f>Servicio!K7/D2/1000</f>
        <v>25.797379852751941</v>
      </c>
      <c r="J6" s="36">
        <f>+H6+G6+F6+E6+D6</f>
        <v>119.23889582697578</v>
      </c>
    </row>
    <row r="7" spans="3:11" ht="15" customHeight="1">
      <c r="C7" s="29" t="s">
        <v>139</v>
      </c>
      <c r="D7" s="36">
        <f>Servicio!H3/D2/1000</f>
        <v>88.939046592043383</v>
      </c>
      <c r="E7" s="36">
        <f>Servicio!H4/D2/1000</f>
        <v>78.446237724442767</v>
      </c>
      <c r="F7" s="36">
        <f>Servicio!H5/D2/1000</f>
        <v>76.947265029071232</v>
      </c>
      <c r="G7" s="36">
        <f>Servicio!H6/D2/1000</f>
        <v>24.289601337308273</v>
      </c>
      <c r="H7" s="36">
        <f>Servicio!H7/D2/1000</f>
        <v>82.44349824543346</v>
      </c>
      <c r="J7" s="36">
        <f>+H7+G7+F7+E7+D7</f>
        <v>351.06564892829908</v>
      </c>
      <c r="K7" s="87">
        <f>+J7+J6</f>
        <v>470.30454475527483</v>
      </c>
    </row>
    <row r="8" spans="3:11" ht="2.1" customHeight="1">
      <c r="C8" s="58"/>
      <c r="D8" s="59"/>
      <c r="E8" s="59"/>
      <c r="F8" s="59"/>
      <c r="G8" s="59"/>
      <c r="H8" s="59"/>
      <c r="J8" s="59"/>
      <c r="K8" s="33">
        <f>+K7/(K7+J12)</f>
        <v>0.25727109674398291</v>
      </c>
    </row>
    <row r="9" spans="3:11" ht="2.1" customHeight="1">
      <c r="C9" s="58"/>
      <c r="D9" s="60"/>
      <c r="E9" s="60"/>
      <c r="F9" s="60"/>
      <c r="G9" s="60"/>
      <c r="H9" s="60"/>
      <c r="J9" s="60"/>
    </row>
    <row r="10" spans="3:11" ht="2.1" customHeight="1">
      <c r="C10" s="58"/>
      <c r="D10" s="60"/>
      <c r="E10" s="60"/>
      <c r="F10" s="60"/>
      <c r="G10" s="60"/>
      <c r="H10" s="60"/>
      <c r="J10" s="60"/>
    </row>
    <row r="11" spans="3:11" ht="2.1" customHeight="1">
      <c r="C11" s="58"/>
      <c r="D11" s="60"/>
      <c r="E11" s="60"/>
      <c r="F11" s="60"/>
      <c r="G11" s="60"/>
      <c r="H11" s="60"/>
      <c r="J11" s="60"/>
    </row>
    <row r="12" spans="3:11" ht="15" customHeight="1">
      <c r="C12" s="29" t="s">
        <v>140</v>
      </c>
      <c r="D12" s="30">
        <f>+SUM('PUNTOS DE INYECCIÓN'!L5:L27)/1000</f>
        <v>362.88892699999997</v>
      </c>
      <c r="E12" s="30">
        <f>SUM('PUNTOS DE INYECCIÓN'!L29:L49)/1000</f>
        <v>226.8134665</v>
      </c>
      <c r="F12" s="30">
        <f>SUM('PUNTOS DE INYECCIÓN'!L51:L80)/1000</f>
        <v>453.60061700087994</v>
      </c>
      <c r="G12" s="30">
        <f>SUM('PUNTOS DE INYECCIÓN'!L82:L90)/1000</f>
        <v>48.370839000000004</v>
      </c>
      <c r="H12" s="30">
        <f>SUM('PUNTOS DE INYECCIÓN'!L92:L105)/1000</f>
        <v>266.07205799999997</v>
      </c>
      <c r="J12" s="30">
        <f>+H12+G12+F12+E12+D12</f>
        <v>1357.7459075008799</v>
      </c>
      <c r="K12" s="76"/>
    </row>
    <row r="14" spans="3:11">
      <c r="C14" s="34" t="s">
        <v>196</v>
      </c>
      <c r="D14" s="34" t="s">
        <v>143</v>
      </c>
      <c r="E14" s="34" t="s">
        <v>142</v>
      </c>
      <c r="F14" s="34" t="s">
        <v>237</v>
      </c>
      <c r="G14" s="34" t="s">
        <v>238</v>
      </c>
    </row>
    <row r="15" spans="3:11">
      <c r="C15" s="34" t="s">
        <v>144</v>
      </c>
      <c r="D15" s="35">
        <f>+Optimización_Scio!D15</f>
        <v>1498255.3009635999</v>
      </c>
      <c r="E15" s="35">
        <f>+Servicio!I8/D2</f>
        <v>510903.31089475466</v>
      </c>
      <c r="F15" s="34"/>
      <c r="G15" s="34"/>
    </row>
    <row r="16" spans="3:11">
      <c r="C16" s="34" t="s">
        <v>145</v>
      </c>
      <c r="D16" s="35">
        <f>+D15</f>
        <v>1498255.3009635999</v>
      </c>
      <c r="E16" s="35">
        <f>+Servicio!L8/D2</f>
        <v>470304.54475527495</v>
      </c>
      <c r="F16" s="35">
        <f>+E15-E16</f>
        <v>40598.766139479703</v>
      </c>
      <c r="G16" s="86">
        <f>+E16/E15-1</f>
        <v>-7.9464676140732604E-2</v>
      </c>
      <c r="H16" t="s">
        <v>239</v>
      </c>
    </row>
    <row r="17" spans="3:9">
      <c r="C17" s="34" t="s">
        <v>146</v>
      </c>
      <c r="D17" s="35">
        <f>++(D12+E12+F12+G12+H12)*1000</f>
        <v>1357745.9075008798</v>
      </c>
      <c r="E17" s="35">
        <f>+E16</f>
        <v>470304.54475527495</v>
      </c>
      <c r="F17" s="35">
        <f>+D15-D17</f>
        <v>140509.39346272009</v>
      </c>
      <c r="G17" s="86">
        <f>+D17/D15-1</f>
        <v>-9.3782009896678953E-2</v>
      </c>
      <c r="H17" t="s">
        <v>220</v>
      </c>
      <c r="I17" s="33">
        <f>+D17/D15</f>
        <v>0.90621799010332105</v>
      </c>
    </row>
    <row r="33" spans="3:13">
      <c r="C33" s="82"/>
      <c r="D33" s="82"/>
      <c r="E33" s="82"/>
      <c r="F33" s="119"/>
      <c r="G33" s="119"/>
      <c r="H33" s="119"/>
      <c r="I33" s="119"/>
      <c r="J33" s="119"/>
      <c r="K33" s="119"/>
    </row>
    <row r="34" spans="3:13">
      <c r="C34" s="82"/>
      <c r="D34" s="83"/>
      <c r="E34" s="83"/>
      <c r="F34" s="83"/>
      <c r="G34" s="83"/>
      <c r="H34" s="84"/>
      <c r="I34" s="83"/>
      <c r="J34" s="82"/>
      <c r="K34" s="82"/>
    </row>
    <row r="35" spans="3:13">
      <c r="C35" s="82"/>
      <c r="D35" s="83"/>
      <c r="E35" s="83"/>
      <c r="F35" s="83"/>
      <c r="G35" s="82"/>
      <c r="H35" s="82"/>
      <c r="I35" s="83"/>
      <c r="J35" s="83"/>
      <c r="K35" s="85"/>
    </row>
    <row r="40" spans="3:13" ht="82.5">
      <c r="C40" s="18"/>
      <c r="D40" s="45" t="s">
        <v>102</v>
      </c>
      <c r="E40" s="45" t="s">
        <v>151</v>
      </c>
      <c r="F40" s="45" t="s">
        <v>152</v>
      </c>
      <c r="G40" s="45" t="s">
        <v>153</v>
      </c>
      <c r="H40" s="45" t="s">
        <v>154</v>
      </c>
      <c r="I40" s="45" t="s">
        <v>155</v>
      </c>
      <c r="J40" s="45" t="s">
        <v>156</v>
      </c>
      <c r="K40" s="18"/>
      <c r="L40" s="45" t="s">
        <v>196</v>
      </c>
      <c r="M40" s="45" t="s">
        <v>197</v>
      </c>
    </row>
    <row r="41" spans="3:13" ht="16.5">
      <c r="C41" s="15" t="s">
        <v>165</v>
      </c>
      <c r="D41" s="120" t="s">
        <v>190</v>
      </c>
      <c r="E41" s="46" t="s">
        <v>157</v>
      </c>
      <c r="F41" s="47">
        <f>+VLOOKUP(C41,'PUNTOS DE INYECCIÓN'!A:C,3,0)</f>
        <v>0.15</v>
      </c>
      <c r="G41" s="48">
        <f>++SUMIF('PUNTOS DE INYECCIÓN'!$A$4:$A$112,Optimizacion_consumo!C41,Tabla1[Dif litros])</f>
        <v>746.55000000000018</v>
      </c>
      <c r="H41" s="49">
        <f>++SUMIF('PUNTOS DE INYECCIÓN'!$A$4:$A$112,Optimizacion_consumo!C41,Tabla1[Dif costo])</f>
        <v>5091.4709999999977</v>
      </c>
      <c r="I41" s="121">
        <f>+G41+G42+G43</f>
        <v>1082.6500000000001</v>
      </c>
      <c r="J41" s="121">
        <f>+H41+H42+H43</f>
        <v>6558.7309999999979</v>
      </c>
      <c r="K41" s="15"/>
      <c r="L41" s="13" t="s">
        <v>141</v>
      </c>
      <c r="M41" s="49">
        <f>+'PUNTOS DE INYECCIÓN'!K114</f>
        <v>1498255.3009635999</v>
      </c>
    </row>
    <row r="42" spans="3:13" ht="16.5">
      <c r="C42" s="15" t="s">
        <v>164</v>
      </c>
      <c r="D42" s="120"/>
      <c r="E42" s="46" t="s">
        <v>158</v>
      </c>
      <c r="F42" s="47">
        <f>+VLOOKUP(C42,'PUNTOS DE INYECCIÓN'!A:C,3,0)</f>
        <v>0.1</v>
      </c>
      <c r="G42" s="48">
        <f>++SUMIF('PUNTOS DE INYECCIÓN'!$A$4:$A$112,Optimizacion_consumo!C42,Tabla1[Dif litros])</f>
        <v>218.5</v>
      </c>
      <c r="H42" s="49">
        <f>++SUMIF('PUNTOS DE INYECCIÓN'!$A$4:$A$112,Optimizacion_consumo!C42,Tabla1[Dif costo])</f>
        <v>620.54</v>
      </c>
      <c r="I42" s="121"/>
      <c r="J42" s="121"/>
      <c r="K42" s="15"/>
      <c r="L42" s="13" t="s">
        <v>149</v>
      </c>
      <c r="M42" s="49">
        <f>+'PUNTOS DE INYECCIÓN'!L114</f>
        <v>1357745.9075008801</v>
      </c>
    </row>
    <row r="43" spans="3:13" ht="16.5">
      <c r="C43" s="15" t="s">
        <v>166</v>
      </c>
      <c r="D43" s="120"/>
      <c r="E43" s="46" t="s">
        <v>39</v>
      </c>
      <c r="F43" s="47">
        <f>+VLOOKUP(C43,'PUNTOS DE INYECCIÓN'!A:C,3,0)</f>
        <v>0.1</v>
      </c>
      <c r="G43" s="48">
        <f>++SUMIF('PUNTOS DE INYECCIÓN'!$A$4:$A$112,Optimizacion_consumo!C43,Tabla1[Dif litros])</f>
        <v>117.59999999999991</v>
      </c>
      <c r="H43" s="49">
        <f>++SUMIF('PUNTOS DE INYECCIÓN'!$A$4:$A$112,Optimizacion_consumo!C43,Tabla1[Dif costo])</f>
        <v>846.72000000000025</v>
      </c>
      <c r="I43" s="121"/>
      <c r="J43" s="121"/>
      <c r="K43" s="15"/>
      <c r="L43" s="15"/>
      <c r="M43" s="15"/>
    </row>
    <row r="44" spans="3:13" ht="16.5">
      <c r="C44" s="15" t="s">
        <v>180</v>
      </c>
      <c r="D44" s="120" t="s">
        <v>191</v>
      </c>
      <c r="E44" s="46" t="s">
        <v>157</v>
      </c>
      <c r="F44" s="47">
        <f>+VLOOKUP(C44,'PUNTOS DE INYECCIÓN'!A:C,3,0)</f>
        <v>0.2</v>
      </c>
      <c r="G44" s="48">
        <f>++SUMIF('PUNTOS DE INYECCIÓN'!$A$4:$A$112,Optimizacion_consumo!C44,Tabla1[Dif litros])</f>
        <v>22</v>
      </c>
      <c r="H44" s="49">
        <f>++SUMIF('PUNTOS DE INYECCIÓN'!$A$4:$A$112,Optimizacion_consumo!C44,Tabla1[Dif costo])</f>
        <v>71.5</v>
      </c>
      <c r="I44" s="121">
        <f>+SUM(G44:G50)</f>
        <v>8877.5</v>
      </c>
      <c r="J44" s="121">
        <f>+SUM(H44:H50)</f>
        <v>41549.513000000006</v>
      </c>
      <c r="K44" s="15"/>
      <c r="L44" s="13" t="s">
        <v>195</v>
      </c>
      <c r="M44" s="49">
        <f>+M41-M42</f>
        <v>140509.39346271986</v>
      </c>
    </row>
    <row r="45" spans="3:13" ht="16.5">
      <c r="C45" s="15" t="s">
        <v>179</v>
      </c>
      <c r="D45" s="120"/>
      <c r="E45" s="46" t="s">
        <v>158</v>
      </c>
      <c r="F45" s="47">
        <f>+VLOOKUP(C45,'PUNTOS DE INYECCIÓN'!A:C,3,0)</f>
        <v>0.15</v>
      </c>
      <c r="G45" s="48">
        <f>++SUMIF('PUNTOS DE INYECCIÓN'!$A$4:$A$112,Optimizacion_consumo!C45,Tabla1[Dif litros])</f>
        <v>2553.4500000000007</v>
      </c>
      <c r="H45" s="49">
        <f>++SUMIF('PUNTOS DE INYECCIÓN'!$A$4:$A$112,Optimizacion_consumo!C45,Tabla1[Dif costo])</f>
        <v>12052.284</v>
      </c>
      <c r="I45" s="121"/>
      <c r="J45" s="121"/>
      <c r="K45" s="15"/>
      <c r="L45" s="15"/>
      <c r="M45" s="15"/>
    </row>
    <row r="46" spans="3:13" ht="16.5">
      <c r="C46" s="15" t="s">
        <v>182</v>
      </c>
      <c r="D46" s="120"/>
      <c r="E46" s="46" t="s">
        <v>159</v>
      </c>
      <c r="F46" s="47">
        <f>+VLOOKUP(C46,'PUNTOS DE INYECCIÓN'!A:C,3,0)</f>
        <v>0.15</v>
      </c>
      <c r="G46" s="48">
        <f>++SUMIF('PUNTOS DE INYECCIÓN'!$A$4:$A$112,Optimizacion_consumo!C46,Tabla1[Dif litros])</f>
        <v>2272.0500000000011</v>
      </c>
      <c r="H46" s="49">
        <f>++SUMIF('PUNTOS DE INYECCIÓN'!$A$4:$A$112,Optimizacion_consumo!C46,Tabla1[Dif costo])</f>
        <v>8406.5850000000064</v>
      </c>
      <c r="I46" s="121"/>
      <c r="J46" s="121"/>
      <c r="K46" s="15"/>
      <c r="L46" s="15"/>
      <c r="M46" s="15"/>
    </row>
    <row r="47" spans="3:13" ht="16.5">
      <c r="C47" s="15" t="s">
        <v>183</v>
      </c>
      <c r="D47" s="120"/>
      <c r="E47" s="46" t="s">
        <v>160</v>
      </c>
      <c r="F47" s="47">
        <f>+VLOOKUP(C47,'PUNTOS DE INYECCIÓN'!A:C,3,0)</f>
        <v>0.15</v>
      </c>
      <c r="G47" s="48">
        <f>++SUMIF('PUNTOS DE INYECCIÓN'!$A$4:$A$112,Optimizacion_consumo!C47,Tabla1[Dif litros])</f>
        <v>999.30000000000018</v>
      </c>
      <c r="H47" s="49">
        <f>++SUMIF('PUNTOS DE INYECCIÓN'!$A$4:$A$112,Optimizacion_consumo!C47,Tabla1[Dif costo])</f>
        <v>4017.1860000000015</v>
      </c>
      <c r="I47" s="121"/>
      <c r="J47" s="121"/>
      <c r="K47" s="15"/>
      <c r="L47" s="15"/>
      <c r="M47" s="15"/>
    </row>
    <row r="48" spans="3:13" ht="16.5">
      <c r="C48" s="15" t="s">
        <v>184</v>
      </c>
      <c r="D48" s="120"/>
      <c r="E48" s="46" t="s">
        <v>45</v>
      </c>
      <c r="F48" s="47">
        <f>+VLOOKUP(C48,'PUNTOS DE INYECCIÓN'!A:C,3,0)</f>
        <v>0.2</v>
      </c>
      <c r="G48" s="48">
        <f>++SUMIF('PUNTOS DE INYECCIÓN'!$A$4:$A$112,Optimizacion_consumo!C48,Tabla1[Dif litros])</f>
        <v>1405</v>
      </c>
      <c r="H48" s="49">
        <f>++SUMIF('PUNTOS DE INYECCIÓN'!$A$4:$A$112,Optimizacion_consumo!C48,Tabla1[Dif costo])</f>
        <v>4566.25</v>
      </c>
      <c r="I48" s="121"/>
      <c r="J48" s="121"/>
      <c r="K48" s="15"/>
      <c r="L48" s="15"/>
      <c r="M48" s="15"/>
    </row>
    <row r="49" spans="3:13" ht="16.5">
      <c r="C49" s="15" t="s">
        <v>185</v>
      </c>
      <c r="D49" s="120"/>
      <c r="E49" s="46" t="s">
        <v>46</v>
      </c>
      <c r="F49" s="47">
        <f>+VLOOKUP(C49,'PUNTOS DE INYECCIÓN'!A:C,3,0)</f>
        <v>0.2</v>
      </c>
      <c r="G49" s="48">
        <f>++SUMIF('PUNTOS DE INYECCIÓN'!$A$4:$A$112,Optimizacion_consumo!C49,Tabla1[Dif litros])</f>
        <v>956.39999999999964</v>
      </c>
      <c r="H49" s="49">
        <f>++SUMIF('PUNTOS DE INYECCIÓN'!$A$4:$A$112,Optimizacion_consumo!C49,Tabla1[Dif costo])</f>
        <v>7536.4319999999934</v>
      </c>
      <c r="I49" s="121"/>
      <c r="J49" s="121"/>
      <c r="K49" s="15"/>
      <c r="L49" s="15"/>
      <c r="M49" s="15"/>
    </row>
    <row r="50" spans="3:13" ht="16.5">
      <c r="C50" s="15" t="s">
        <v>181</v>
      </c>
      <c r="D50" s="120"/>
      <c r="E50" s="46" t="s">
        <v>39</v>
      </c>
      <c r="F50" s="47">
        <f>+VLOOKUP(C50,'PUNTOS DE INYECCIÓN'!A:C,3,0)</f>
        <v>0.15</v>
      </c>
      <c r="G50" s="48">
        <f>++SUMIF('PUNTOS DE INYECCIÓN'!$A$4:$A$112,Optimizacion_consumo!C50,Tabla1[Dif litros])</f>
        <v>669.30000000000018</v>
      </c>
      <c r="H50" s="49">
        <f>++SUMIF('PUNTOS DE INYECCIÓN'!$A$4:$A$112,Optimizacion_consumo!C50,Tabla1[Dif costo])</f>
        <v>4899.2760000000017</v>
      </c>
      <c r="I50" s="121"/>
      <c r="J50" s="121"/>
      <c r="K50" s="15"/>
      <c r="L50" s="15"/>
      <c r="M50" s="15"/>
    </row>
    <row r="51" spans="3:13" ht="16.5">
      <c r="C51" s="15" t="s">
        <v>178</v>
      </c>
      <c r="D51" s="120" t="s">
        <v>192</v>
      </c>
      <c r="E51" s="46" t="s">
        <v>159</v>
      </c>
      <c r="F51" s="47">
        <f>+VLOOKUP(C51,'PUNTOS DE INYECCIÓN'!A:C,3,0)</f>
        <v>0.1</v>
      </c>
      <c r="G51" s="48">
        <f>++SUMIF('PUNTOS DE INYECCIÓN'!$A$4:$A$112,Optimizacion_consumo!C51,Tabla1[Dif litros])</f>
        <v>1820.7999999999993</v>
      </c>
      <c r="H51" s="49">
        <f>++SUMIF('PUNTOS DE INYECCIÓN'!$A$4:$A$112,Optimizacion_consumo!C51,Tabla1[Dif costo])</f>
        <v>6736.9599999999991</v>
      </c>
      <c r="I51" s="121">
        <f>+SUM(G51:G54)</f>
        <v>4173.8499999999985</v>
      </c>
      <c r="J51" s="121">
        <f>+SUM(H51:H54)</f>
        <v>16428.773499999996</v>
      </c>
      <c r="K51" s="15"/>
      <c r="L51" s="15"/>
      <c r="M51" s="15"/>
    </row>
    <row r="52" spans="3:13" ht="16.5">
      <c r="C52" s="15" t="s">
        <v>175</v>
      </c>
      <c r="D52" s="120"/>
      <c r="E52" s="46" t="s">
        <v>158</v>
      </c>
      <c r="F52" s="47">
        <f>+VLOOKUP(C52,'PUNTOS DE INYECCIÓN'!A:C,3,0)</f>
        <v>0.1</v>
      </c>
      <c r="G52" s="48">
        <f>++SUMIF('PUNTOS DE INYECCIÓN'!$A$4:$A$112,Optimizacion_consumo!C52,Tabla1[Dif litros])</f>
        <v>800.09999999999945</v>
      </c>
      <c r="H52" s="49">
        <f>++SUMIF('PUNTOS DE INYECCIÓN'!$A$4:$A$112,Optimizacion_consumo!C52,Tabla1[Dif costo])</f>
        <v>3600.4499999999971</v>
      </c>
      <c r="I52" s="121"/>
      <c r="J52" s="121"/>
      <c r="K52" s="15"/>
      <c r="L52" s="15"/>
      <c r="M52" s="15"/>
    </row>
    <row r="53" spans="3:13" ht="16.5">
      <c r="C53" s="15" t="s">
        <v>176</v>
      </c>
      <c r="D53" s="120"/>
      <c r="E53" s="46" t="s">
        <v>30</v>
      </c>
      <c r="F53" s="47">
        <f>+VLOOKUP(C53,'PUNTOS DE INYECCIÓN'!A:C,3,0)</f>
        <v>0.15</v>
      </c>
      <c r="G53" s="48">
        <f>++SUMIF('PUNTOS DE INYECCIÓN'!$A$4:$A$112,Optimizacion_consumo!C53,Tabla1[Dif litros])</f>
        <v>1165.3500000000004</v>
      </c>
      <c r="H53" s="49">
        <f>++SUMIF('PUNTOS DE INYECCIÓN'!$A$4:$A$112,Optimizacion_consumo!C53,Tabla1[Dif costo])</f>
        <v>4533.2115000000013</v>
      </c>
      <c r="I53" s="121"/>
      <c r="J53" s="121"/>
      <c r="K53" s="15"/>
      <c r="L53" s="15"/>
      <c r="M53" s="15"/>
    </row>
    <row r="54" spans="3:13" ht="16.5">
      <c r="C54" s="15" t="s">
        <v>177</v>
      </c>
      <c r="D54" s="120"/>
      <c r="E54" s="46" t="s">
        <v>160</v>
      </c>
      <c r="F54" s="47">
        <f>+VLOOKUP(C54,'PUNTOS DE INYECCIÓN'!A:C,3,0)</f>
        <v>0.15</v>
      </c>
      <c r="G54" s="48">
        <f>++SUMIF('PUNTOS DE INYECCIÓN'!$A$4:$A$112,Optimizacion_consumo!C54,Tabla1[Dif litros])</f>
        <v>387.59999999999991</v>
      </c>
      <c r="H54" s="49">
        <f>++SUMIF('PUNTOS DE INYECCIÓN'!$A$4:$A$112,Optimizacion_consumo!C54,Tabla1[Dif costo])</f>
        <v>1558.1519999999982</v>
      </c>
      <c r="I54" s="121"/>
      <c r="J54" s="121"/>
      <c r="K54" s="15"/>
      <c r="L54" s="15"/>
      <c r="M54" s="15"/>
    </row>
    <row r="55" spans="3:13" ht="16.5">
      <c r="C55" s="15" t="s">
        <v>171</v>
      </c>
      <c r="D55" s="120" t="s">
        <v>193</v>
      </c>
      <c r="E55" s="46" t="s">
        <v>161</v>
      </c>
      <c r="F55" s="47">
        <f>+VLOOKUP(C55,'PUNTOS DE INYECCIÓN'!A:C,3,0)</f>
        <v>0.2</v>
      </c>
      <c r="G55" s="48">
        <f>++SUMIF('PUNTOS DE INYECCIÓN'!$A$4:$A$112,Optimizacion_consumo!C55,Tabla1[Dif litros])</f>
        <v>5350.2463979999993</v>
      </c>
      <c r="H55" s="49">
        <f>++SUMIF('PUNTOS DE INYECCIÓN'!$A$4:$A$112,Optimizacion_consumo!C55,Tabla1[Dif costo])</f>
        <v>27144.118952720011</v>
      </c>
      <c r="I55" s="121">
        <f>+SUM(G55:G59)</f>
        <v>10602.769398</v>
      </c>
      <c r="J55" s="121">
        <f>+SUM(H55:H59)</f>
        <v>50990.313962720014</v>
      </c>
      <c r="K55" s="15"/>
      <c r="L55" s="15"/>
      <c r="M55" s="15"/>
    </row>
    <row r="56" spans="3:13" ht="16.5">
      <c r="C56" s="15" t="s">
        <v>170</v>
      </c>
      <c r="D56" s="120"/>
      <c r="E56" s="46" t="s">
        <v>158</v>
      </c>
      <c r="F56" s="47">
        <f>+VLOOKUP(C56,'PUNTOS DE INYECCIÓN'!A:C,3,0)</f>
        <v>0.15</v>
      </c>
      <c r="G56" s="48">
        <f>++SUMIF('PUNTOS DE INYECCIÓN'!$A$4:$A$112,Optimizacion_consumo!C56,Tabla1[Dif litros])</f>
        <v>2274.7650000000012</v>
      </c>
      <c r="H56" s="49">
        <f>++SUMIF('PUNTOS DE INYECCIÓN'!$A$4:$A$112,Optimizacion_consumo!C56,Tabla1[Dif costo])</f>
        <v>13830.571200000006</v>
      </c>
      <c r="I56" s="121"/>
      <c r="J56" s="121"/>
      <c r="K56" s="15"/>
      <c r="L56" s="15"/>
      <c r="M56" s="15"/>
    </row>
    <row r="57" spans="3:13" ht="16.5">
      <c r="C57" s="15" t="s">
        <v>172</v>
      </c>
      <c r="D57" s="120"/>
      <c r="E57" s="46" t="s">
        <v>39</v>
      </c>
      <c r="F57" s="47">
        <f>+VLOOKUP(C57,'PUNTOS DE INYECCIÓN'!A:C,3,0)</f>
        <v>0.15</v>
      </c>
      <c r="G57" s="48">
        <f>++SUMIF('PUNTOS DE INYECCIÓN'!$A$4:$A$112,Optimizacion_consumo!C57,Tabla1[Dif litros])</f>
        <v>0</v>
      </c>
      <c r="H57" s="49">
        <f>++SUMIF('PUNTOS DE INYECCIÓN'!$A$4:$A$112,Optimizacion_consumo!C57,Tabla1[Dif costo])</f>
        <v>0</v>
      </c>
      <c r="I57" s="121"/>
      <c r="J57" s="121"/>
      <c r="K57" s="15"/>
      <c r="L57" s="15"/>
      <c r="M57" s="15"/>
    </row>
    <row r="58" spans="3:13" ht="16.5">
      <c r="C58" s="15" t="s">
        <v>174</v>
      </c>
      <c r="D58" s="120"/>
      <c r="E58" s="46" t="s">
        <v>160</v>
      </c>
      <c r="F58" s="47">
        <f>+VLOOKUP(C58,'PUNTOS DE INYECCIÓN'!A:C,3,0)</f>
        <v>0.15</v>
      </c>
      <c r="G58" s="48">
        <f>++SUMIF('PUNTOS DE INYECCIÓN'!$A$4:$A$112,Optimizacion_consumo!C58,Tabla1[Dif litros])</f>
        <v>1692.6689999999999</v>
      </c>
      <c r="H58" s="49">
        <f>++SUMIF('PUNTOS DE INYECCIÓN'!$A$4:$A$112,Optimizacion_consumo!C58,Tabla1[Dif costo])</f>
        <v>5890.4881199999945</v>
      </c>
      <c r="I58" s="121"/>
      <c r="J58" s="121"/>
      <c r="K58" s="15"/>
      <c r="L58" s="15"/>
      <c r="M58" s="15"/>
    </row>
    <row r="59" spans="3:13" ht="16.5">
      <c r="C59" s="15" t="s">
        <v>173</v>
      </c>
      <c r="D59" s="120"/>
      <c r="E59" s="46" t="s">
        <v>159</v>
      </c>
      <c r="F59" s="47">
        <f>+VLOOKUP(C59,'PUNTOS DE INYECCIÓN'!A:C,3,0)</f>
        <v>0.15</v>
      </c>
      <c r="G59" s="48">
        <f>++SUMIF('PUNTOS DE INYECCIÓN'!$A$4:$A$112,Optimizacion_consumo!C59,Tabla1[Dif litros])</f>
        <v>1285.0889999999999</v>
      </c>
      <c r="H59" s="49">
        <f>++SUMIF('PUNTOS DE INYECCIÓN'!$A$4:$A$112,Optimizacion_consumo!C59,Tabla1[Dif costo])</f>
        <v>4125.1356900000028</v>
      </c>
      <c r="I59" s="121"/>
      <c r="J59" s="121"/>
      <c r="K59" s="15"/>
      <c r="L59" s="15"/>
      <c r="M59" s="15"/>
    </row>
    <row r="60" spans="3:13" ht="16.5">
      <c r="C60" s="15" t="s">
        <v>169</v>
      </c>
      <c r="D60" s="120" t="s">
        <v>194</v>
      </c>
      <c r="E60" s="46" t="s">
        <v>159</v>
      </c>
      <c r="F60" s="47">
        <f>+VLOOKUP(C60,'PUNTOS DE INYECCIÓN'!A:C,3,0)</f>
        <v>0.1</v>
      </c>
      <c r="G60" s="48">
        <f>++SUMIF('PUNTOS DE INYECCIÓN'!$A$4:$A$112,Optimizacion_consumo!C60,Tabla1[Dif litros])</f>
        <v>3317.2000000000007</v>
      </c>
      <c r="H60" s="49">
        <f>++SUMIF('PUNTOS DE INYECCIÓN'!$A$4:$A$112,Optimizacion_consumo!C60,Tabla1[Dif costo])</f>
        <v>10648.212</v>
      </c>
      <c r="I60" s="121">
        <f>+SUM(G60:G63)</f>
        <v>7517.9500000000016</v>
      </c>
      <c r="J60" s="121">
        <f>+SUM(H60:H63)</f>
        <v>24982.061999999998</v>
      </c>
      <c r="K60" s="15"/>
      <c r="L60" s="15"/>
      <c r="M60" s="15"/>
    </row>
    <row r="61" spans="3:13" ht="16.5">
      <c r="C61" s="15" t="s">
        <v>167</v>
      </c>
      <c r="D61" s="120"/>
      <c r="E61" s="46" t="s">
        <v>158</v>
      </c>
      <c r="F61" s="47">
        <f>+VLOOKUP(C61,'PUNTOS DE INYECCIÓN'!A:C,3,0)</f>
        <v>0.15</v>
      </c>
      <c r="G61" s="48">
        <f>++SUMIF('PUNTOS DE INYECCIÓN'!$A$4:$A$112,Optimizacion_consumo!C61,Tabla1[Dif litros])</f>
        <v>2278.0500000000011</v>
      </c>
      <c r="H61" s="49">
        <f>++SUMIF('PUNTOS DE INYECCIÓN'!$A$4:$A$112,Optimizacion_consumo!C61,Tabla1[Dif costo])</f>
        <v>6469.6619999999966</v>
      </c>
      <c r="I61" s="121"/>
      <c r="J61" s="121"/>
      <c r="K61" s="15"/>
      <c r="L61" s="15"/>
      <c r="M61" s="15"/>
    </row>
    <row r="62" spans="3:13" ht="16.5">
      <c r="C62" s="15" t="s">
        <v>168</v>
      </c>
      <c r="D62" s="120"/>
      <c r="E62" s="46" t="s">
        <v>160</v>
      </c>
      <c r="F62" s="47">
        <f>+VLOOKUP(C62,'PUNTOS DE INYECCIÓN'!A:C,3,0)</f>
        <v>0.15</v>
      </c>
      <c r="G62" s="48">
        <f>++SUMIF('PUNTOS DE INYECCIÓN'!$A$4:$A$112,Optimizacion_consumo!C62,Tabla1[Dif litros])</f>
        <v>1913.6999999999996</v>
      </c>
      <c r="H62" s="49">
        <f>++SUMIF('PUNTOS DE INYECCIÓN'!$A$4:$A$112,Optimizacion_consumo!C62,Tabla1[Dif costo])</f>
        <v>7804.6079999999984</v>
      </c>
      <c r="I62" s="121"/>
      <c r="J62" s="121"/>
      <c r="K62" s="15"/>
      <c r="L62" s="15"/>
      <c r="M62" s="15"/>
    </row>
    <row r="63" spans="3:13" ht="16.5">
      <c r="C63" s="15" t="s">
        <v>188</v>
      </c>
      <c r="D63" s="120"/>
      <c r="E63" s="46" t="s">
        <v>157</v>
      </c>
      <c r="F63" s="47">
        <f>+VLOOKUP(C63,'PUNTOS DE INYECCIÓN'!A:C,3,0)</f>
        <v>0.15</v>
      </c>
      <c r="G63" s="48">
        <f>++SUMIF('PUNTOS DE INYECCIÓN'!$A$4:$A$112,Optimizacion_consumo!C63,Tabla1[Dif litros])</f>
        <v>9</v>
      </c>
      <c r="H63" s="49">
        <f>++SUMIF('PUNTOS DE INYECCIÓN'!$A$4:$A$112,Optimizacion_consumo!C63,Tabla1[Dif costo])</f>
        <v>59.579999999999984</v>
      </c>
      <c r="I63" s="121"/>
      <c r="J63" s="121"/>
      <c r="K63" s="15"/>
      <c r="L63" s="15"/>
      <c r="M63" s="15"/>
    </row>
    <row r="64" spans="3:13" ht="16.5">
      <c r="C64" s="15"/>
      <c r="D64" s="50"/>
      <c r="E64" s="50"/>
      <c r="F64" s="12" t="s">
        <v>162</v>
      </c>
      <c r="G64" s="51">
        <f>+SUM(G41:G63)</f>
        <v>32254.719398000005</v>
      </c>
      <c r="H64" s="51" t="s">
        <v>163</v>
      </c>
      <c r="I64" s="51">
        <f>+I60+I55+I51+I44+I41</f>
        <v>32254.719398000001</v>
      </c>
      <c r="J64" s="51">
        <f>+J60+J55+J51+J44+J41</f>
        <v>140509.39346272001</v>
      </c>
      <c r="K64" s="15"/>
      <c r="L64" s="15"/>
      <c r="M64" s="15"/>
    </row>
  </sheetData>
  <mergeCells count="17">
    <mergeCell ref="J44:J50"/>
    <mergeCell ref="F33:H33"/>
    <mergeCell ref="I33:K33"/>
    <mergeCell ref="D60:D63"/>
    <mergeCell ref="I60:I63"/>
    <mergeCell ref="J60:J63"/>
    <mergeCell ref="D51:D54"/>
    <mergeCell ref="I51:I54"/>
    <mergeCell ref="J51:J54"/>
    <mergeCell ref="D55:D59"/>
    <mergeCell ref="I55:I59"/>
    <mergeCell ref="J55:J59"/>
    <mergeCell ref="D41:D43"/>
    <mergeCell ref="I41:I43"/>
    <mergeCell ref="J41:J43"/>
    <mergeCell ref="D44:D50"/>
    <mergeCell ref="I44:I50"/>
  </mergeCells>
  <hyperlinks>
    <hyperlink ref="C1" location="Indice!A1" display="Indice" xr:uid="{4F609FF4-64B8-4A9B-B33D-B7DEF7BC438D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89C1-D945-475A-86AC-F286D8645445}">
  <dimension ref="B1:O32"/>
  <sheetViews>
    <sheetView showGridLines="0" topLeftCell="A7" zoomScale="90" zoomScaleNormal="90" workbookViewId="0">
      <selection activeCell="Q30" sqref="Q30"/>
    </sheetView>
  </sheetViews>
  <sheetFormatPr baseColWidth="10" defaultRowHeight="15"/>
  <cols>
    <col min="1" max="1" width="9.5703125" customWidth="1"/>
    <col min="2" max="2" width="24.140625" customWidth="1"/>
    <col min="3" max="3" width="15.7109375" customWidth="1"/>
    <col min="4" max="7" width="9.140625" customWidth="1"/>
    <col min="8" max="8" width="9.85546875" customWidth="1"/>
    <col min="10" max="10" width="13.140625" customWidth="1"/>
    <col min="11" max="11" width="10" customWidth="1"/>
    <col min="13" max="13" width="12.5703125" customWidth="1"/>
  </cols>
  <sheetData>
    <row r="1" spans="2:15">
      <c r="B1" s="109" t="s">
        <v>248</v>
      </c>
    </row>
    <row r="2" spans="2:15">
      <c r="B2" s="122" t="s">
        <v>199</v>
      </c>
      <c r="C2" s="122"/>
      <c r="D2" s="122"/>
      <c r="E2" s="61"/>
      <c r="F2" s="61"/>
      <c r="G2" s="61"/>
      <c r="H2" s="62"/>
      <c r="I2" s="123" t="s">
        <v>117</v>
      </c>
      <c r="J2" s="123"/>
      <c r="K2" s="123"/>
      <c r="L2" s="123"/>
      <c r="M2" s="56">
        <f>Servicio!F13</f>
        <v>437949.85583104502</v>
      </c>
    </row>
    <row r="3" spans="2:15">
      <c r="B3" s="34" t="s">
        <v>135</v>
      </c>
      <c r="C3" s="34">
        <v>876.5</v>
      </c>
      <c r="I3" s="123" t="s">
        <v>127</v>
      </c>
      <c r="J3" s="123"/>
      <c r="K3" s="123"/>
      <c r="L3" s="123"/>
      <c r="M3" s="56">
        <f>Servicio!F18</f>
        <v>122356.07922585</v>
      </c>
    </row>
    <row r="4" spans="2:15">
      <c r="B4" s="34" t="s">
        <v>200</v>
      </c>
      <c r="C4" s="63">
        <f>+[70]DiseñoTQ!H3</f>
        <v>120</v>
      </c>
      <c r="D4">
        <v>240</v>
      </c>
    </row>
    <row r="5" spans="2:15">
      <c r="B5" s="34" t="s">
        <v>201</v>
      </c>
      <c r="C5" s="64">
        <v>13.22</v>
      </c>
      <c r="H5" s="34" t="s">
        <v>229</v>
      </c>
      <c r="I5" s="34"/>
      <c r="J5" s="34">
        <v>2</v>
      </c>
    </row>
    <row r="6" spans="2:15">
      <c r="B6" s="34" t="s">
        <v>202</v>
      </c>
      <c r="C6" s="63">
        <f>M3/C3</f>
        <v>139.59621132441529</v>
      </c>
      <c r="D6" s="65"/>
      <c r="E6" s="65"/>
      <c r="F6" s="65"/>
      <c r="G6" s="65"/>
      <c r="H6" s="124" t="s">
        <v>203</v>
      </c>
      <c r="I6" s="124"/>
      <c r="J6" s="124"/>
      <c r="K6" s="124" t="s">
        <v>204</v>
      </c>
      <c r="L6" s="124"/>
      <c r="M6" s="124"/>
    </row>
    <row r="7" spans="2:15">
      <c r="B7" s="34" t="s">
        <v>205</v>
      </c>
      <c r="C7" s="63">
        <f>+M2/C3</f>
        <v>499.65756512383916</v>
      </c>
      <c r="D7" s="65"/>
      <c r="E7" s="65"/>
      <c r="F7" s="65"/>
      <c r="G7" s="65"/>
      <c r="H7" s="66"/>
      <c r="I7" s="66"/>
      <c r="J7" s="66"/>
      <c r="K7" s="66"/>
      <c r="L7" s="66"/>
      <c r="M7" s="66"/>
    </row>
    <row r="8" spans="2:15" s="68" customFormat="1" ht="81" customHeight="1">
      <c r="B8" s="67" t="s">
        <v>206</v>
      </c>
      <c r="C8" s="67" t="s">
        <v>207</v>
      </c>
      <c r="D8" s="67" t="s">
        <v>208</v>
      </c>
      <c r="E8" s="67" t="s">
        <v>209</v>
      </c>
      <c r="F8" s="67" t="s">
        <v>210</v>
      </c>
      <c r="G8" s="67" t="s">
        <v>211</v>
      </c>
      <c r="H8" s="67" t="s">
        <v>212</v>
      </c>
      <c r="I8" s="67" t="s">
        <v>213</v>
      </c>
      <c r="J8" s="67" t="s">
        <v>214</v>
      </c>
      <c r="K8" s="67" t="s">
        <v>212</v>
      </c>
      <c r="L8" s="67" t="s">
        <v>215</v>
      </c>
      <c r="M8" s="67" t="s">
        <v>216</v>
      </c>
    </row>
    <row r="9" spans="2:15">
      <c r="B9" s="29">
        <v>1</v>
      </c>
      <c r="C9" s="56">
        <f>$C$5*$C$4/B9</f>
        <v>1586.4</v>
      </c>
      <c r="D9" s="56">
        <f>+$C$5*$D$4/B9</f>
        <v>3172.8</v>
      </c>
      <c r="E9" s="56">
        <f>$C$6*1/B9</f>
        <v>139.59621132441529</v>
      </c>
      <c r="F9" s="56">
        <f>+E9+C9</f>
        <v>1725.9962113244153</v>
      </c>
      <c r="G9" s="56">
        <f>+E9+D9</f>
        <v>3312.3962113244156</v>
      </c>
      <c r="H9" s="29">
        <f>+D32</f>
        <v>370</v>
      </c>
      <c r="I9" s="63">
        <f>+E9*$J$5</f>
        <v>279.19242264883059</v>
      </c>
      <c r="J9" s="63">
        <f>+I9+H9</f>
        <v>649.19242264883064</v>
      </c>
      <c r="K9" s="29">
        <f>+D26</f>
        <v>370</v>
      </c>
      <c r="L9" s="63">
        <f>+C7</f>
        <v>499.65756512383916</v>
      </c>
      <c r="M9" s="63">
        <f>+L9+K9</f>
        <v>869.65756512383916</v>
      </c>
    </row>
    <row r="10" spans="2:15">
      <c r="B10" s="29">
        <v>2</v>
      </c>
      <c r="C10" s="56">
        <f>$C$5*$C$4/B10</f>
        <v>793.2</v>
      </c>
      <c r="D10" s="56">
        <f t="shared" ref="D10:D20" si="0">+$C$5*$D$4/B10</f>
        <v>1586.4</v>
      </c>
      <c r="E10" s="56">
        <f t="shared" ref="E10:E20" si="1">$C$6*1/B10</f>
        <v>69.798105662207647</v>
      </c>
      <c r="F10" s="56">
        <f t="shared" ref="F10:F20" si="2">+E10+C10</f>
        <v>862.99810566220765</v>
      </c>
      <c r="G10" s="56">
        <f t="shared" ref="G10:G20" si="3">+E10+D10</f>
        <v>1656.1981056622078</v>
      </c>
      <c r="H10" s="29">
        <f>+H9</f>
        <v>370</v>
      </c>
      <c r="I10" s="63">
        <f>+I9</f>
        <v>279.19242264883059</v>
      </c>
      <c r="J10" s="63">
        <f t="shared" ref="J10:J20" si="4">+I10+H10</f>
        <v>649.19242264883064</v>
      </c>
      <c r="K10" s="29">
        <f>+K9</f>
        <v>370</v>
      </c>
      <c r="L10" s="63">
        <f>+L9</f>
        <v>499.65756512383916</v>
      </c>
      <c r="M10" s="63">
        <f t="shared" ref="M10:M20" si="5">+L10+K10</f>
        <v>869.65756512383916</v>
      </c>
    </row>
    <row r="11" spans="2:15">
      <c r="B11" s="29">
        <v>3</v>
      </c>
      <c r="C11" s="56">
        <f>$C$5*$C$4/B11</f>
        <v>528.80000000000007</v>
      </c>
      <c r="D11" s="56">
        <f t="shared" si="0"/>
        <v>1057.6000000000001</v>
      </c>
      <c r="E11" s="56">
        <f t="shared" si="1"/>
        <v>46.532070441471767</v>
      </c>
      <c r="F11" s="56">
        <f t="shared" si="2"/>
        <v>575.33207044147184</v>
      </c>
      <c r="G11" s="56">
        <f t="shared" si="3"/>
        <v>1104.1320704414718</v>
      </c>
      <c r="H11" s="29">
        <f t="shared" ref="H11:I20" si="6">+H10</f>
        <v>370</v>
      </c>
      <c r="I11" s="63">
        <f>+I10</f>
        <v>279.19242264883059</v>
      </c>
      <c r="J11" s="63">
        <f t="shared" si="4"/>
        <v>649.19242264883064</v>
      </c>
      <c r="K11" s="29">
        <f t="shared" ref="K11:L20" si="7">+K10</f>
        <v>370</v>
      </c>
      <c r="L11" s="63">
        <f>+L10</f>
        <v>499.65756512383916</v>
      </c>
      <c r="M11" s="63">
        <f t="shared" si="5"/>
        <v>869.65756512383916</v>
      </c>
    </row>
    <row r="12" spans="2:15">
      <c r="B12" s="29">
        <v>4</v>
      </c>
      <c r="C12" s="56">
        <f t="shared" ref="C12:C20" si="8">$C$5*$C$4/B12</f>
        <v>396.6</v>
      </c>
      <c r="D12" s="56">
        <f t="shared" si="0"/>
        <v>793.2</v>
      </c>
      <c r="E12" s="56">
        <f t="shared" si="1"/>
        <v>34.899052831103823</v>
      </c>
      <c r="F12" s="56">
        <f t="shared" si="2"/>
        <v>431.49905283110382</v>
      </c>
      <c r="G12" s="56">
        <f t="shared" si="3"/>
        <v>828.0990528311039</v>
      </c>
      <c r="H12" s="29">
        <f t="shared" si="6"/>
        <v>370</v>
      </c>
      <c r="I12" s="63">
        <f t="shared" si="6"/>
        <v>279.19242264883059</v>
      </c>
      <c r="J12" s="63">
        <f t="shared" si="4"/>
        <v>649.19242264883064</v>
      </c>
      <c r="K12" s="29">
        <f t="shared" si="7"/>
        <v>370</v>
      </c>
      <c r="L12" s="63">
        <f t="shared" si="7"/>
        <v>499.65756512383916</v>
      </c>
      <c r="M12" s="63">
        <f t="shared" si="5"/>
        <v>869.65756512383916</v>
      </c>
    </row>
    <row r="13" spans="2:15">
      <c r="B13" s="29">
        <v>5</v>
      </c>
      <c r="C13" s="56">
        <f t="shared" si="8"/>
        <v>317.28000000000003</v>
      </c>
      <c r="D13" s="56">
        <f t="shared" si="0"/>
        <v>634.56000000000006</v>
      </c>
      <c r="E13" s="56">
        <f t="shared" si="1"/>
        <v>27.91924226488306</v>
      </c>
      <c r="F13" s="56">
        <f t="shared" si="2"/>
        <v>345.19924226488308</v>
      </c>
      <c r="G13" s="56">
        <f t="shared" si="3"/>
        <v>662.47924226488317</v>
      </c>
      <c r="H13" s="29">
        <f t="shared" si="6"/>
        <v>370</v>
      </c>
      <c r="I13" s="63">
        <f t="shared" si="6"/>
        <v>279.19242264883059</v>
      </c>
      <c r="J13" s="63">
        <f t="shared" si="4"/>
        <v>649.19242264883064</v>
      </c>
      <c r="K13" s="29">
        <f t="shared" si="7"/>
        <v>370</v>
      </c>
      <c r="L13" s="63">
        <f t="shared" si="7"/>
        <v>499.65756512383916</v>
      </c>
      <c r="M13" s="63">
        <f t="shared" si="5"/>
        <v>869.65756512383916</v>
      </c>
      <c r="N13" t="s">
        <v>217</v>
      </c>
      <c r="O13" t="s">
        <v>218</v>
      </c>
    </row>
    <row r="14" spans="2:15">
      <c r="B14" s="29">
        <v>6</v>
      </c>
      <c r="C14" s="56">
        <f t="shared" si="8"/>
        <v>264.40000000000003</v>
      </c>
      <c r="D14" s="56">
        <f t="shared" si="0"/>
        <v>528.80000000000007</v>
      </c>
      <c r="E14" s="56">
        <f t="shared" si="1"/>
        <v>23.266035220735883</v>
      </c>
      <c r="F14" s="56">
        <f>+E14+C14</f>
        <v>287.66603522073592</v>
      </c>
      <c r="G14" s="56">
        <f t="shared" si="3"/>
        <v>552.0660352207359</v>
      </c>
      <c r="H14" s="29">
        <f t="shared" si="6"/>
        <v>370</v>
      </c>
      <c r="I14" s="63">
        <f t="shared" si="6"/>
        <v>279.19242264883059</v>
      </c>
      <c r="J14" s="63">
        <f t="shared" si="4"/>
        <v>649.19242264883064</v>
      </c>
      <c r="K14" s="29">
        <f t="shared" si="7"/>
        <v>370</v>
      </c>
      <c r="L14" s="63">
        <f t="shared" si="7"/>
        <v>499.65756512383916</v>
      </c>
      <c r="M14" s="63">
        <f t="shared" si="5"/>
        <v>869.65756512383916</v>
      </c>
      <c r="N14" s="33">
        <f>+F14/J14-1</f>
        <v>-0.55688633264232679</v>
      </c>
      <c r="O14" s="33">
        <f>+F14/M14-1</f>
        <v>-0.6692191883827604</v>
      </c>
    </row>
    <row r="15" spans="2:15">
      <c r="B15" s="29">
        <v>7</v>
      </c>
      <c r="C15" s="56">
        <f t="shared" si="8"/>
        <v>226.62857142857143</v>
      </c>
      <c r="D15" s="56">
        <f t="shared" si="0"/>
        <v>453.25714285714287</v>
      </c>
      <c r="E15" s="56">
        <f t="shared" si="1"/>
        <v>19.942315903487899</v>
      </c>
      <c r="F15" s="56">
        <f t="shared" si="2"/>
        <v>246.57088733205933</v>
      </c>
      <c r="G15" s="56">
        <f t="shared" si="3"/>
        <v>473.19945876063076</v>
      </c>
      <c r="H15" s="29">
        <f t="shared" si="6"/>
        <v>370</v>
      </c>
      <c r="I15" s="63">
        <f t="shared" si="6"/>
        <v>279.19242264883059</v>
      </c>
      <c r="J15" s="63">
        <f t="shared" si="4"/>
        <v>649.19242264883064</v>
      </c>
      <c r="K15" s="29">
        <f t="shared" si="7"/>
        <v>370</v>
      </c>
      <c r="L15" s="63">
        <f t="shared" si="7"/>
        <v>499.65756512383916</v>
      </c>
      <c r="M15" s="63">
        <f t="shared" si="5"/>
        <v>869.65756512383916</v>
      </c>
    </row>
    <row r="16" spans="2:15">
      <c r="B16" s="29">
        <v>8</v>
      </c>
      <c r="C16" s="56">
        <f>$C$5*$C$4/B16</f>
        <v>198.3</v>
      </c>
      <c r="D16" s="56">
        <f t="shared" si="0"/>
        <v>396.6</v>
      </c>
      <c r="E16" s="56">
        <f t="shared" si="1"/>
        <v>17.449526415551912</v>
      </c>
      <c r="F16" s="56">
        <f t="shared" si="2"/>
        <v>215.74952641555191</v>
      </c>
      <c r="G16" s="56">
        <f t="shared" si="3"/>
        <v>414.04952641555195</v>
      </c>
      <c r="H16" s="29">
        <f t="shared" si="6"/>
        <v>370</v>
      </c>
      <c r="I16" s="63">
        <f t="shared" si="6"/>
        <v>279.19242264883059</v>
      </c>
      <c r="J16" s="63">
        <f t="shared" si="4"/>
        <v>649.19242264883064</v>
      </c>
      <c r="K16" s="29">
        <f t="shared" si="7"/>
        <v>370</v>
      </c>
      <c r="L16" s="63">
        <f t="shared" si="7"/>
        <v>499.65756512383916</v>
      </c>
      <c r="M16" s="63">
        <f t="shared" si="5"/>
        <v>869.65756512383916</v>
      </c>
    </row>
    <row r="17" spans="2:13">
      <c r="B17" s="29">
        <v>9</v>
      </c>
      <c r="C17" s="56">
        <f t="shared" si="8"/>
        <v>176.26666666666668</v>
      </c>
      <c r="D17" s="56">
        <f t="shared" si="0"/>
        <v>352.53333333333336</v>
      </c>
      <c r="E17" s="56">
        <f t="shared" si="1"/>
        <v>15.510690147157256</v>
      </c>
      <c r="F17" s="56">
        <f>+E17+C17</f>
        <v>191.77735681382393</v>
      </c>
      <c r="G17" s="56">
        <f t="shared" si="3"/>
        <v>368.04402348049064</v>
      </c>
      <c r="H17" s="29">
        <f t="shared" si="6"/>
        <v>370</v>
      </c>
      <c r="I17" s="63">
        <f t="shared" si="6"/>
        <v>279.19242264883059</v>
      </c>
      <c r="J17" s="63">
        <f t="shared" si="4"/>
        <v>649.19242264883064</v>
      </c>
      <c r="K17" s="29">
        <f t="shared" si="7"/>
        <v>370</v>
      </c>
      <c r="L17" s="63">
        <f t="shared" si="7"/>
        <v>499.65756512383916</v>
      </c>
      <c r="M17" s="63">
        <f t="shared" si="5"/>
        <v>869.65756512383916</v>
      </c>
    </row>
    <row r="18" spans="2:13">
      <c r="B18" s="29">
        <v>10</v>
      </c>
      <c r="C18" s="56">
        <f t="shared" si="8"/>
        <v>158.64000000000001</v>
      </c>
      <c r="D18" s="56">
        <f t="shared" si="0"/>
        <v>317.28000000000003</v>
      </c>
      <c r="E18" s="56">
        <f t="shared" si="1"/>
        <v>13.95962113244153</v>
      </c>
      <c r="F18" s="56">
        <f t="shared" si="2"/>
        <v>172.59962113244154</v>
      </c>
      <c r="G18" s="56">
        <f t="shared" si="3"/>
        <v>331.23962113244158</v>
      </c>
      <c r="H18" s="29">
        <f t="shared" si="6"/>
        <v>370</v>
      </c>
      <c r="I18" s="63">
        <f t="shared" si="6"/>
        <v>279.19242264883059</v>
      </c>
      <c r="J18" s="63">
        <f t="shared" si="4"/>
        <v>649.19242264883064</v>
      </c>
      <c r="K18" s="29">
        <f t="shared" si="7"/>
        <v>370</v>
      </c>
      <c r="L18" s="63">
        <f t="shared" si="7"/>
        <v>499.65756512383916</v>
      </c>
      <c r="M18" s="63">
        <f t="shared" si="5"/>
        <v>869.65756512383916</v>
      </c>
    </row>
    <row r="19" spans="2:13">
      <c r="B19" s="29">
        <v>11</v>
      </c>
      <c r="C19" s="56">
        <f t="shared" si="8"/>
        <v>144.21818181818182</v>
      </c>
      <c r="D19" s="56">
        <f t="shared" si="0"/>
        <v>288.43636363636364</v>
      </c>
      <c r="E19" s="56">
        <f t="shared" si="1"/>
        <v>12.690564665855936</v>
      </c>
      <c r="F19" s="56">
        <f t="shared" si="2"/>
        <v>156.90874648403775</v>
      </c>
      <c r="G19" s="56">
        <f t="shared" si="3"/>
        <v>301.1269283022196</v>
      </c>
      <c r="H19" s="29">
        <f t="shared" si="6"/>
        <v>370</v>
      </c>
      <c r="I19" s="63">
        <f t="shared" si="6"/>
        <v>279.19242264883059</v>
      </c>
      <c r="J19" s="63">
        <f t="shared" si="4"/>
        <v>649.19242264883064</v>
      </c>
      <c r="K19" s="29">
        <f t="shared" si="7"/>
        <v>370</v>
      </c>
      <c r="L19" s="63">
        <f t="shared" si="7"/>
        <v>499.65756512383916</v>
      </c>
      <c r="M19" s="63">
        <f t="shared" si="5"/>
        <v>869.65756512383916</v>
      </c>
    </row>
    <row r="20" spans="2:13">
      <c r="B20" s="29">
        <v>12</v>
      </c>
      <c r="C20" s="56">
        <f t="shared" si="8"/>
        <v>132.20000000000002</v>
      </c>
      <c r="D20" s="56">
        <f t="shared" si="0"/>
        <v>264.40000000000003</v>
      </c>
      <c r="E20" s="56">
        <f t="shared" si="1"/>
        <v>11.633017610367942</v>
      </c>
      <c r="F20" s="56">
        <f t="shared" si="2"/>
        <v>143.83301761036796</v>
      </c>
      <c r="G20" s="56">
        <f t="shared" si="3"/>
        <v>276.03301761036795</v>
      </c>
      <c r="H20" s="29">
        <f t="shared" si="6"/>
        <v>370</v>
      </c>
      <c r="I20" s="63">
        <f t="shared" si="6"/>
        <v>279.19242264883059</v>
      </c>
      <c r="J20" s="63">
        <f t="shared" si="4"/>
        <v>649.19242264883064</v>
      </c>
      <c r="K20" s="29">
        <f t="shared" si="7"/>
        <v>370</v>
      </c>
      <c r="L20" s="63">
        <f t="shared" si="7"/>
        <v>499.65756512383916</v>
      </c>
      <c r="M20" s="63">
        <f t="shared" si="5"/>
        <v>869.65756512383916</v>
      </c>
    </row>
    <row r="22" spans="2:13">
      <c r="B22" s="122" t="s">
        <v>219</v>
      </c>
      <c r="C22" s="122"/>
      <c r="D22" s="122"/>
      <c r="E22" s="69"/>
      <c r="F22" s="69"/>
      <c r="G22" s="69"/>
    </row>
    <row r="23" spans="2:13">
      <c r="B23" s="34" t="s">
        <v>220</v>
      </c>
      <c r="C23" s="34" t="s">
        <v>221</v>
      </c>
      <c r="D23" s="34" t="s">
        <v>222</v>
      </c>
    </row>
    <row r="24" spans="2:13">
      <c r="B24" s="34" t="s">
        <v>70</v>
      </c>
      <c r="C24" s="34">
        <f>+D30/30.5</f>
        <v>3.278688524590164</v>
      </c>
      <c r="D24" s="34">
        <f>C24*30.5</f>
        <v>100</v>
      </c>
    </row>
    <row r="25" spans="2:13">
      <c r="B25" s="34" t="s">
        <v>223</v>
      </c>
      <c r="C25" s="34"/>
      <c r="D25" s="34">
        <f>+D31</f>
        <v>3.7</v>
      </c>
      <c r="J25" s="34" t="s">
        <v>224</v>
      </c>
      <c r="K25" s="34">
        <v>6</v>
      </c>
      <c r="L25" s="34">
        <v>0</v>
      </c>
    </row>
    <row r="26" spans="2:13">
      <c r="B26" s="34" t="s">
        <v>225</v>
      </c>
      <c r="C26" s="34"/>
      <c r="D26" s="34">
        <f>+D25*D24</f>
        <v>370</v>
      </c>
      <c r="J26" s="34" t="s">
        <v>224</v>
      </c>
      <c r="K26" s="34">
        <v>6</v>
      </c>
      <c r="L26" s="34">
        <v>6</v>
      </c>
    </row>
    <row r="27" spans="2:13">
      <c r="J27" s="70" t="s">
        <v>226</v>
      </c>
      <c r="K27" s="70">
        <v>0</v>
      </c>
      <c r="L27" s="71">
        <f>+K28</f>
        <v>287.66603522073592</v>
      </c>
    </row>
    <row r="28" spans="2:13">
      <c r="B28" s="122" t="s">
        <v>227</v>
      </c>
      <c r="C28" s="122"/>
      <c r="D28" s="122"/>
      <c r="E28" s="69"/>
      <c r="F28" s="69"/>
      <c r="G28" s="69"/>
      <c r="J28" s="34" t="s">
        <v>226</v>
      </c>
      <c r="K28" s="55">
        <f>+F14</f>
        <v>287.66603522073592</v>
      </c>
      <c r="L28" s="55">
        <f>+L27</f>
        <v>287.66603522073592</v>
      </c>
    </row>
    <row r="29" spans="2:13">
      <c r="B29" s="34" t="s">
        <v>220</v>
      </c>
      <c r="C29" s="34" t="s">
        <v>228</v>
      </c>
      <c r="D29" s="34" t="s">
        <v>222</v>
      </c>
    </row>
    <row r="30" spans="2:13">
      <c r="B30" s="34" t="s">
        <v>70</v>
      </c>
      <c r="C30" s="34">
        <v>25</v>
      </c>
      <c r="D30" s="34">
        <f>+C30*4</f>
        <v>100</v>
      </c>
    </row>
    <row r="31" spans="2:13">
      <c r="B31" s="34" t="s">
        <v>223</v>
      </c>
      <c r="C31" s="34"/>
      <c r="D31" s="72">
        <v>3.7</v>
      </c>
    </row>
    <row r="32" spans="2:13">
      <c r="B32" s="34" t="s">
        <v>225</v>
      </c>
      <c r="C32" s="34"/>
      <c r="D32" s="34">
        <f>+D31*D30</f>
        <v>370</v>
      </c>
    </row>
  </sheetData>
  <mergeCells count="7">
    <mergeCell ref="B28:D28"/>
    <mergeCell ref="B2:D2"/>
    <mergeCell ref="I2:L2"/>
    <mergeCell ref="I3:L3"/>
    <mergeCell ref="H6:J6"/>
    <mergeCell ref="K6:M6"/>
    <mergeCell ref="B22:D22"/>
  </mergeCells>
  <hyperlinks>
    <hyperlink ref="B1" location="Indice!A1" display="Indice" xr:uid="{84A92056-A1D6-49B5-BEF4-0C569B7ED42E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3289-EE64-4664-9465-3E1C74980515}">
  <dimension ref="C1:M65"/>
  <sheetViews>
    <sheetView showGridLines="0" topLeftCell="A85" zoomScaleNormal="100" workbookViewId="0">
      <selection activeCell="E19" sqref="E19"/>
    </sheetView>
  </sheetViews>
  <sheetFormatPr baseColWidth="10" defaultRowHeight="15"/>
  <cols>
    <col min="3" max="3" width="27.85546875" customWidth="1"/>
    <col min="4" max="4" width="24.85546875" customWidth="1"/>
    <col min="5" max="7" width="17.140625" customWidth="1"/>
    <col min="8" max="8" width="14.7109375" customWidth="1"/>
    <col min="9" max="9" width="7.140625" customWidth="1"/>
    <col min="10" max="11" width="13" bestFit="1" customWidth="1"/>
    <col min="12" max="12" width="15.28515625" customWidth="1"/>
  </cols>
  <sheetData>
    <row r="1" spans="3:11">
      <c r="C1" s="109" t="s">
        <v>248</v>
      </c>
    </row>
    <row r="2" spans="3:11">
      <c r="C2" s="34" t="s">
        <v>135</v>
      </c>
      <c r="D2" s="34">
        <v>876.5</v>
      </c>
      <c r="E2" s="38">
        <v>45411</v>
      </c>
    </row>
    <row r="4" spans="3:11">
      <c r="C4" s="29"/>
      <c r="D4" s="29" t="s">
        <v>28</v>
      </c>
      <c r="E4" s="29" t="s">
        <v>32</v>
      </c>
      <c r="F4" s="29" t="s">
        <v>136</v>
      </c>
      <c r="G4" s="29" t="s">
        <v>44</v>
      </c>
      <c r="H4" s="29" t="s">
        <v>33</v>
      </c>
      <c r="J4" s="29" t="s">
        <v>137</v>
      </c>
    </row>
    <row r="5" spans="3:11" ht="8.25" customHeight="1">
      <c r="C5" s="58"/>
      <c r="D5" s="58"/>
      <c r="E5" s="58"/>
      <c r="F5" s="58"/>
      <c r="G5" s="58"/>
      <c r="H5" s="58"/>
      <c r="J5" s="58"/>
    </row>
    <row r="6" spans="3:11" ht="15" customHeight="1">
      <c r="C6" s="29" t="s">
        <v>138</v>
      </c>
      <c r="D6" s="36">
        <f>Servicio!K3/D2/1000*0.98</f>
        <v>50.973277372687583</v>
      </c>
      <c r="E6" s="36">
        <f>Servicio!K4/D2/1000*0.98</f>
        <v>17.817390351634007</v>
      </c>
      <c r="F6" s="36">
        <f>Servicio!K5/D2/1000*0.98</f>
        <v>17.873480109344158</v>
      </c>
      <c r="G6" s="36">
        <f>Servicio!K6/D2/1000*0.98</f>
        <v>4.9085378210736197</v>
      </c>
      <c r="H6" s="36">
        <f>Servicio!K7/D2/1000*0.98</f>
        <v>25.281432255696902</v>
      </c>
      <c r="J6" s="36">
        <f>+H6+G6+F6+E6+D6</f>
        <v>116.85411791043626</v>
      </c>
    </row>
    <row r="7" spans="3:11" ht="15" customHeight="1">
      <c r="C7" s="29" t="s">
        <v>139</v>
      </c>
      <c r="D7" s="36">
        <f>Servicio!H3/D2/1000*0.98</f>
        <v>87.160265660202512</v>
      </c>
      <c r="E7" s="36">
        <f>Servicio!H4/D2/1000*0.98</f>
        <v>76.877312969953906</v>
      </c>
      <c r="F7" s="36">
        <f>Servicio!H5/D2/1000*0.98</f>
        <v>75.408319728489801</v>
      </c>
      <c r="G7" s="36">
        <f>Servicio!H6/D2/1000*0.98</f>
        <v>23.803809310562109</v>
      </c>
      <c r="H7" s="36">
        <f>Servicio!H7/D2/1000*0.98</f>
        <v>80.79462828052479</v>
      </c>
      <c r="J7" s="36">
        <f>+H7+G7+F7+E7+D7</f>
        <v>344.04433594973312</v>
      </c>
      <c r="K7" s="87">
        <f>+J7+J6</f>
        <v>460.89845386016941</v>
      </c>
    </row>
    <row r="8" spans="3:11" ht="2.1" customHeight="1">
      <c r="C8" s="58"/>
      <c r="D8" s="59"/>
      <c r="E8" s="59"/>
      <c r="F8" s="59"/>
      <c r="G8" s="59"/>
      <c r="H8" s="59"/>
      <c r="J8" s="59"/>
      <c r="K8" s="33">
        <f>+K7/(K7+J12)</f>
        <v>0.25727109674398291</v>
      </c>
    </row>
    <row r="9" spans="3:11" ht="2.1" customHeight="1">
      <c r="C9" s="58"/>
      <c r="D9" s="60"/>
      <c r="E9" s="60"/>
      <c r="F9" s="60"/>
      <c r="G9" s="60"/>
      <c r="H9" s="60"/>
      <c r="J9" s="60"/>
    </row>
    <row r="10" spans="3:11" ht="2.1" customHeight="1">
      <c r="C10" s="58"/>
      <c r="D10" s="60"/>
      <c r="E10" s="60"/>
      <c r="F10" s="60"/>
      <c r="G10" s="60"/>
      <c r="H10" s="60"/>
      <c r="J10" s="60"/>
    </row>
    <row r="11" spans="3:11" ht="2.1" customHeight="1">
      <c r="C11" s="58"/>
      <c r="D11" s="60"/>
      <c r="E11" s="60"/>
      <c r="F11" s="60"/>
      <c r="G11" s="60"/>
      <c r="H11" s="60"/>
      <c r="J11" s="60"/>
    </row>
    <row r="12" spans="3:11" ht="15" customHeight="1">
      <c r="C12" s="29" t="s">
        <v>140</v>
      </c>
      <c r="D12" s="30">
        <f>+SUM('PUNTOS DE INYECCIÓN'!L5:L27)/1000*0.98</f>
        <v>355.63114845999996</v>
      </c>
      <c r="E12" s="30">
        <f>SUM('PUNTOS DE INYECCIÓN'!L29:L49)/1000*0.98</f>
        <v>222.27719716999999</v>
      </c>
      <c r="F12" s="30">
        <f>SUM('PUNTOS DE INYECCIÓN'!L51:L80)/1000*0.98</f>
        <v>444.52860466086236</v>
      </c>
      <c r="G12" s="30">
        <f>SUM('PUNTOS DE INYECCIÓN'!L82:L90)/1000*0.98</f>
        <v>47.403422220000003</v>
      </c>
      <c r="H12" s="30">
        <f>SUM('PUNTOS DE INYECCIÓN'!L92:L105)/1000*0.98</f>
        <v>260.75061683999996</v>
      </c>
      <c r="J12" s="30">
        <f>+H12+G12+F12+E12+D12</f>
        <v>1330.5909893508624</v>
      </c>
      <c r="K12" s="76"/>
    </row>
    <row r="14" spans="3:11">
      <c r="C14" s="34" t="s">
        <v>196</v>
      </c>
      <c r="D14" s="34" t="s">
        <v>143</v>
      </c>
      <c r="E14" s="34" t="s">
        <v>142</v>
      </c>
      <c r="F14" s="34" t="s">
        <v>237</v>
      </c>
      <c r="G14" s="34" t="s">
        <v>238</v>
      </c>
    </row>
    <row r="15" spans="3:11">
      <c r="C15" s="34" t="s">
        <v>144</v>
      </c>
      <c r="D15" s="35">
        <f>+Optimización_Scio!D15</f>
        <v>1498255.3009635999</v>
      </c>
      <c r="E15" s="35">
        <f>+Servicio!I8/D2</f>
        <v>510903.31089475466</v>
      </c>
      <c r="F15" s="34"/>
      <c r="G15" s="34"/>
    </row>
    <row r="16" spans="3:11">
      <c r="C16" s="34" t="s">
        <v>145</v>
      </c>
      <c r="D16" s="35">
        <f>+D15</f>
        <v>1498255.3009635999</v>
      </c>
      <c r="E16" s="35">
        <f>+Servicio!L8/D2</f>
        <v>470304.54475527495</v>
      </c>
      <c r="F16" s="35">
        <f>+E15-E16</f>
        <v>40598.766139479703</v>
      </c>
      <c r="G16" s="86">
        <f>+E16/E15-1</f>
        <v>-7.9464676140732604E-2</v>
      </c>
      <c r="H16" t="s">
        <v>239</v>
      </c>
    </row>
    <row r="17" spans="3:8">
      <c r="C17" s="34" t="s">
        <v>146</v>
      </c>
      <c r="D17" s="35">
        <f>++(D12+E12+F12+G12+H12)*1000</f>
        <v>1330590.9893508623</v>
      </c>
      <c r="E17" s="35">
        <f>+E16</f>
        <v>470304.54475527495</v>
      </c>
      <c r="F17" s="35">
        <f>+D15-D17</f>
        <v>167664.3116127376</v>
      </c>
      <c r="G17" s="86">
        <f>+D17/D15-1</f>
        <v>-0.11190636969874534</v>
      </c>
      <c r="H17" t="s">
        <v>220</v>
      </c>
    </row>
    <row r="18" spans="3:8">
      <c r="C18" s="88" t="s">
        <v>240</v>
      </c>
      <c r="D18" s="35">
        <f>+D17</f>
        <v>1330590.9893508623</v>
      </c>
      <c r="E18" s="35">
        <f>+K7*1000</f>
        <v>460898.45386016939</v>
      </c>
      <c r="F18" s="35">
        <f>+(D15+E15)-(D18+E18)</f>
        <v>217669.16864732304</v>
      </c>
      <c r="G18" s="86">
        <f>+F18/(E15+D15)</f>
        <v>0.10833846932870658</v>
      </c>
      <c r="H18" t="s">
        <v>241</v>
      </c>
    </row>
    <row r="34" spans="3:13">
      <c r="C34" s="82"/>
      <c r="D34" s="82"/>
      <c r="E34" s="82"/>
      <c r="F34" s="119"/>
      <c r="G34" s="119"/>
      <c r="H34" s="119"/>
      <c r="I34" s="119"/>
      <c r="J34" s="119"/>
      <c r="K34" s="119"/>
    </row>
    <row r="35" spans="3:13">
      <c r="C35" s="82"/>
      <c r="D35" s="83"/>
      <c r="E35" s="83"/>
      <c r="F35" s="83"/>
      <c r="G35" s="83"/>
      <c r="H35" s="84"/>
      <c r="I35" s="83"/>
      <c r="J35" s="82"/>
      <c r="K35" s="82"/>
    </row>
    <row r="36" spans="3:13">
      <c r="C36" s="82"/>
      <c r="D36" s="83"/>
      <c r="E36" s="83"/>
      <c r="F36" s="83"/>
      <c r="G36" s="82"/>
      <c r="H36" s="82"/>
      <c r="I36" s="83"/>
      <c r="J36" s="83"/>
      <c r="K36" s="85"/>
    </row>
    <row r="41" spans="3:13" ht="82.5">
      <c r="C41" s="18"/>
      <c r="D41" s="45" t="s">
        <v>102</v>
      </c>
      <c r="E41" s="45" t="s">
        <v>151</v>
      </c>
      <c r="F41" s="45" t="s">
        <v>152</v>
      </c>
      <c r="G41" s="45" t="s">
        <v>153</v>
      </c>
      <c r="H41" s="45" t="s">
        <v>154</v>
      </c>
      <c r="I41" s="45" t="s">
        <v>155</v>
      </c>
      <c r="J41" s="45" t="s">
        <v>156</v>
      </c>
      <c r="K41" s="18"/>
      <c r="L41" s="45" t="s">
        <v>196</v>
      </c>
      <c r="M41" s="45" t="s">
        <v>197</v>
      </c>
    </row>
    <row r="42" spans="3:13" ht="16.5">
      <c r="C42" s="15" t="s">
        <v>165</v>
      </c>
      <c r="D42" s="120" t="s">
        <v>190</v>
      </c>
      <c r="E42" s="46" t="s">
        <v>157</v>
      </c>
      <c r="F42" s="47">
        <f>+VLOOKUP(C42,'PUNTOS DE INYECCIÓN'!A:C,3,0)</f>
        <v>0.15</v>
      </c>
      <c r="G42" s="48">
        <f>++SUMIF('PUNTOS DE INYECCIÓN'!$A$4:$A$112,Areas_Integrales.!C42,Tabla1[Dif litros])</f>
        <v>746.55000000000018</v>
      </c>
      <c r="H42" s="49">
        <f>++SUMIF('PUNTOS DE INYECCIÓN'!$A$4:$A$112,Areas_Integrales.!C42,Tabla1[Dif costo])</f>
        <v>5091.4709999999977</v>
      </c>
      <c r="I42" s="121">
        <f>+G42+G43+G44</f>
        <v>1082.6500000000001</v>
      </c>
      <c r="J42" s="121">
        <f>+H42+H43+H44</f>
        <v>6558.7309999999979</v>
      </c>
      <c r="K42" s="15"/>
      <c r="L42" s="13" t="s">
        <v>141</v>
      </c>
      <c r="M42" s="49">
        <f>+'PUNTOS DE INYECCIÓN'!K114</f>
        <v>1498255.3009635999</v>
      </c>
    </row>
    <row r="43" spans="3:13" ht="16.5">
      <c r="C43" s="15" t="s">
        <v>164</v>
      </c>
      <c r="D43" s="120"/>
      <c r="E43" s="46" t="s">
        <v>158</v>
      </c>
      <c r="F43" s="47">
        <f>+VLOOKUP(C43,'PUNTOS DE INYECCIÓN'!A:C,3,0)</f>
        <v>0.1</v>
      </c>
      <c r="G43" s="48">
        <f>++SUMIF('PUNTOS DE INYECCIÓN'!$A$4:$A$112,Areas_Integrales.!C43,Tabla1[Dif litros])</f>
        <v>218.5</v>
      </c>
      <c r="H43" s="49">
        <f>++SUMIF('PUNTOS DE INYECCIÓN'!$A$4:$A$112,Areas_Integrales.!C43,Tabla1[Dif costo])</f>
        <v>620.54</v>
      </c>
      <c r="I43" s="121"/>
      <c r="J43" s="121"/>
      <c r="K43" s="15"/>
      <c r="L43" s="13" t="s">
        <v>149</v>
      </c>
      <c r="M43" s="49">
        <f>+'PUNTOS DE INYECCIÓN'!L114</f>
        <v>1357745.9075008801</v>
      </c>
    </row>
    <row r="44" spans="3:13" ht="16.5">
      <c r="C44" s="15" t="s">
        <v>166</v>
      </c>
      <c r="D44" s="120"/>
      <c r="E44" s="46" t="s">
        <v>39</v>
      </c>
      <c r="F44" s="47">
        <f>+VLOOKUP(C44,'PUNTOS DE INYECCIÓN'!A:C,3,0)</f>
        <v>0.1</v>
      </c>
      <c r="G44" s="48">
        <f>++SUMIF('PUNTOS DE INYECCIÓN'!$A$4:$A$112,Areas_Integrales.!C44,Tabla1[Dif litros])</f>
        <v>117.59999999999991</v>
      </c>
      <c r="H44" s="49">
        <f>++SUMIF('PUNTOS DE INYECCIÓN'!$A$4:$A$112,Areas_Integrales.!C44,Tabla1[Dif costo])</f>
        <v>846.72000000000025</v>
      </c>
      <c r="I44" s="121"/>
      <c r="J44" s="121"/>
      <c r="K44" s="15"/>
      <c r="L44" s="15"/>
      <c r="M44" s="15"/>
    </row>
    <row r="45" spans="3:13" ht="16.5">
      <c r="C45" s="15" t="s">
        <v>180</v>
      </c>
      <c r="D45" s="120" t="s">
        <v>191</v>
      </c>
      <c r="E45" s="46" t="s">
        <v>157</v>
      </c>
      <c r="F45" s="47">
        <f>+VLOOKUP(C45,'PUNTOS DE INYECCIÓN'!A:C,3,0)</f>
        <v>0.2</v>
      </c>
      <c r="G45" s="48">
        <f>++SUMIF('PUNTOS DE INYECCIÓN'!$A$4:$A$112,Areas_Integrales.!C45,Tabla1[Dif litros])</f>
        <v>22</v>
      </c>
      <c r="H45" s="49">
        <f>++SUMIF('PUNTOS DE INYECCIÓN'!$A$4:$A$112,Areas_Integrales.!C45,Tabla1[Dif costo])</f>
        <v>71.5</v>
      </c>
      <c r="I45" s="121">
        <f>+SUM(G45:G51)</f>
        <v>8877.5</v>
      </c>
      <c r="J45" s="121">
        <f>+SUM(H45:H51)</f>
        <v>41549.513000000006</v>
      </c>
      <c r="K45" s="15"/>
      <c r="L45" s="13" t="s">
        <v>195</v>
      </c>
      <c r="M45" s="49">
        <f>+M42-M43</f>
        <v>140509.39346271986</v>
      </c>
    </row>
    <row r="46" spans="3:13" ht="16.5">
      <c r="C46" s="15" t="s">
        <v>179</v>
      </c>
      <c r="D46" s="120"/>
      <c r="E46" s="46" t="s">
        <v>158</v>
      </c>
      <c r="F46" s="47">
        <f>+VLOOKUP(C46,'PUNTOS DE INYECCIÓN'!A:C,3,0)</f>
        <v>0.15</v>
      </c>
      <c r="G46" s="48">
        <f>++SUMIF('PUNTOS DE INYECCIÓN'!$A$4:$A$112,Areas_Integrales.!C46,Tabla1[Dif litros])</f>
        <v>2553.4500000000007</v>
      </c>
      <c r="H46" s="49">
        <f>++SUMIF('PUNTOS DE INYECCIÓN'!$A$4:$A$112,Areas_Integrales.!C46,Tabla1[Dif costo])</f>
        <v>12052.284</v>
      </c>
      <c r="I46" s="121"/>
      <c r="J46" s="121"/>
      <c r="K46" s="15"/>
      <c r="L46" s="15"/>
      <c r="M46" s="15"/>
    </row>
    <row r="47" spans="3:13" ht="16.5">
      <c r="C47" s="15" t="s">
        <v>182</v>
      </c>
      <c r="D47" s="120"/>
      <c r="E47" s="46" t="s">
        <v>159</v>
      </c>
      <c r="F47" s="47">
        <f>+VLOOKUP(C47,'PUNTOS DE INYECCIÓN'!A:C,3,0)</f>
        <v>0.15</v>
      </c>
      <c r="G47" s="48">
        <f>++SUMIF('PUNTOS DE INYECCIÓN'!$A$4:$A$112,Areas_Integrales.!C47,Tabla1[Dif litros])</f>
        <v>2272.0500000000011</v>
      </c>
      <c r="H47" s="49">
        <f>++SUMIF('PUNTOS DE INYECCIÓN'!$A$4:$A$112,Areas_Integrales.!C47,Tabla1[Dif costo])</f>
        <v>8406.5850000000064</v>
      </c>
      <c r="I47" s="121"/>
      <c r="J47" s="121"/>
      <c r="K47" s="15"/>
      <c r="L47" s="15"/>
      <c r="M47" s="15"/>
    </row>
    <row r="48" spans="3:13" ht="16.5">
      <c r="C48" s="15" t="s">
        <v>183</v>
      </c>
      <c r="D48" s="120"/>
      <c r="E48" s="46" t="s">
        <v>160</v>
      </c>
      <c r="F48" s="47">
        <f>+VLOOKUP(C48,'PUNTOS DE INYECCIÓN'!A:C,3,0)</f>
        <v>0.15</v>
      </c>
      <c r="G48" s="48">
        <f>++SUMIF('PUNTOS DE INYECCIÓN'!$A$4:$A$112,Areas_Integrales.!C48,Tabla1[Dif litros])</f>
        <v>999.30000000000018</v>
      </c>
      <c r="H48" s="49">
        <f>++SUMIF('PUNTOS DE INYECCIÓN'!$A$4:$A$112,Areas_Integrales.!C48,Tabla1[Dif costo])</f>
        <v>4017.1860000000015</v>
      </c>
      <c r="I48" s="121"/>
      <c r="J48" s="121"/>
      <c r="K48" s="15"/>
      <c r="L48" s="15"/>
      <c r="M48" s="15"/>
    </row>
    <row r="49" spans="3:13" ht="16.5">
      <c r="C49" s="15" t="s">
        <v>184</v>
      </c>
      <c r="D49" s="120"/>
      <c r="E49" s="46" t="s">
        <v>45</v>
      </c>
      <c r="F49" s="47">
        <f>+VLOOKUP(C49,'PUNTOS DE INYECCIÓN'!A:C,3,0)</f>
        <v>0.2</v>
      </c>
      <c r="G49" s="48">
        <f>++SUMIF('PUNTOS DE INYECCIÓN'!$A$4:$A$112,Areas_Integrales.!C49,Tabla1[Dif litros])</f>
        <v>1405</v>
      </c>
      <c r="H49" s="49">
        <f>++SUMIF('PUNTOS DE INYECCIÓN'!$A$4:$A$112,Areas_Integrales.!C49,Tabla1[Dif costo])</f>
        <v>4566.25</v>
      </c>
      <c r="I49" s="121"/>
      <c r="J49" s="121"/>
      <c r="K49" s="15"/>
      <c r="L49" s="15"/>
      <c r="M49" s="15"/>
    </row>
    <row r="50" spans="3:13" ht="16.5">
      <c r="C50" s="15" t="s">
        <v>185</v>
      </c>
      <c r="D50" s="120"/>
      <c r="E50" s="46" t="s">
        <v>46</v>
      </c>
      <c r="F50" s="47">
        <f>+VLOOKUP(C50,'PUNTOS DE INYECCIÓN'!A:C,3,0)</f>
        <v>0.2</v>
      </c>
      <c r="G50" s="48">
        <f>++SUMIF('PUNTOS DE INYECCIÓN'!$A$4:$A$112,Areas_Integrales.!C50,Tabla1[Dif litros])</f>
        <v>956.39999999999964</v>
      </c>
      <c r="H50" s="49">
        <f>++SUMIF('PUNTOS DE INYECCIÓN'!$A$4:$A$112,Areas_Integrales.!C50,Tabla1[Dif costo])</f>
        <v>7536.4319999999934</v>
      </c>
      <c r="I50" s="121"/>
      <c r="J50" s="121"/>
      <c r="K50" s="15"/>
      <c r="L50" s="15"/>
      <c r="M50" s="15"/>
    </row>
    <row r="51" spans="3:13" ht="16.5">
      <c r="C51" s="15" t="s">
        <v>181</v>
      </c>
      <c r="D51" s="120"/>
      <c r="E51" s="46" t="s">
        <v>39</v>
      </c>
      <c r="F51" s="47">
        <f>+VLOOKUP(C51,'PUNTOS DE INYECCIÓN'!A:C,3,0)</f>
        <v>0.15</v>
      </c>
      <c r="G51" s="48">
        <f>++SUMIF('PUNTOS DE INYECCIÓN'!$A$4:$A$112,Areas_Integrales.!C51,Tabla1[Dif litros])</f>
        <v>669.30000000000018</v>
      </c>
      <c r="H51" s="49">
        <f>++SUMIF('PUNTOS DE INYECCIÓN'!$A$4:$A$112,Areas_Integrales.!C51,Tabla1[Dif costo])</f>
        <v>4899.2760000000017</v>
      </c>
      <c r="I51" s="121"/>
      <c r="J51" s="121"/>
      <c r="K51" s="15"/>
      <c r="L51" s="15"/>
      <c r="M51" s="15"/>
    </row>
    <row r="52" spans="3:13" ht="16.5">
      <c r="C52" s="15" t="s">
        <v>178</v>
      </c>
      <c r="D52" s="120" t="s">
        <v>192</v>
      </c>
      <c r="E52" s="46" t="s">
        <v>159</v>
      </c>
      <c r="F52" s="47">
        <f>+VLOOKUP(C52,'PUNTOS DE INYECCIÓN'!A:C,3,0)</f>
        <v>0.1</v>
      </c>
      <c r="G52" s="48">
        <f>++SUMIF('PUNTOS DE INYECCIÓN'!$A$4:$A$112,Areas_Integrales.!C52,Tabla1[Dif litros])</f>
        <v>1820.7999999999993</v>
      </c>
      <c r="H52" s="49">
        <f>++SUMIF('PUNTOS DE INYECCIÓN'!$A$4:$A$112,Areas_Integrales.!C52,Tabla1[Dif costo])</f>
        <v>6736.9599999999991</v>
      </c>
      <c r="I52" s="121">
        <f>+SUM(G52:G55)</f>
        <v>4173.8499999999985</v>
      </c>
      <c r="J52" s="121">
        <f>+SUM(H52:H55)</f>
        <v>16428.773499999996</v>
      </c>
      <c r="K52" s="15"/>
      <c r="L52" s="15"/>
      <c r="M52" s="15"/>
    </row>
    <row r="53" spans="3:13" ht="16.5">
      <c r="C53" s="15" t="s">
        <v>175</v>
      </c>
      <c r="D53" s="120"/>
      <c r="E53" s="46" t="s">
        <v>158</v>
      </c>
      <c r="F53" s="47">
        <f>+VLOOKUP(C53,'PUNTOS DE INYECCIÓN'!A:C,3,0)</f>
        <v>0.1</v>
      </c>
      <c r="G53" s="48">
        <f>++SUMIF('PUNTOS DE INYECCIÓN'!$A$4:$A$112,Areas_Integrales.!C53,Tabla1[Dif litros])</f>
        <v>800.09999999999945</v>
      </c>
      <c r="H53" s="49">
        <f>++SUMIF('PUNTOS DE INYECCIÓN'!$A$4:$A$112,Areas_Integrales.!C53,Tabla1[Dif costo])</f>
        <v>3600.4499999999971</v>
      </c>
      <c r="I53" s="121"/>
      <c r="J53" s="121"/>
      <c r="K53" s="15"/>
      <c r="L53" s="15"/>
      <c r="M53" s="15"/>
    </row>
    <row r="54" spans="3:13" ht="16.5">
      <c r="C54" s="15" t="s">
        <v>176</v>
      </c>
      <c r="D54" s="120"/>
      <c r="E54" s="46" t="s">
        <v>30</v>
      </c>
      <c r="F54" s="47">
        <f>+VLOOKUP(C54,'PUNTOS DE INYECCIÓN'!A:C,3,0)</f>
        <v>0.15</v>
      </c>
      <c r="G54" s="48">
        <f>++SUMIF('PUNTOS DE INYECCIÓN'!$A$4:$A$112,Areas_Integrales.!C54,Tabla1[Dif litros])</f>
        <v>1165.3500000000004</v>
      </c>
      <c r="H54" s="49">
        <f>++SUMIF('PUNTOS DE INYECCIÓN'!$A$4:$A$112,Areas_Integrales.!C54,Tabla1[Dif costo])</f>
        <v>4533.2115000000013</v>
      </c>
      <c r="I54" s="121"/>
      <c r="J54" s="121"/>
      <c r="K54" s="15"/>
      <c r="L54" s="15"/>
      <c r="M54" s="15"/>
    </row>
    <row r="55" spans="3:13" ht="16.5">
      <c r="C55" s="15" t="s">
        <v>177</v>
      </c>
      <c r="D55" s="120"/>
      <c r="E55" s="46" t="s">
        <v>160</v>
      </c>
      <c r="F55" s="47">
        <f>+VLOOKUP(C55,'PUNTOS DE INYECCIÓN'!A:C,3,0)</f>
        <v>0.15</v>
      </c>
      <c r="G55" s="48">
        <f>++SUMIF('PUNTOS DE INYECCIÓN'!$A$4:$A$112,Areas_Integrales.!C55,Tabla1[Dif litros])</f>
        <v>387.59999999999991</v>
      </c>
      <c r="H55" s="49">
        <f>++SUMIF('PUNTOS DE INYECCIÓN'!$A$4:$A$112,Areas_Integrales.!C55,Tabla1[Dif costo])</f>
        <v>1558.1519999999982</v>
      </c>
      <c r="I55" s="121"/>
      <c r="J55" s="121"/>
      <c r="K55" s="15"/>
      <c r="L55" s="15"/>
      <c r="M55" s="15"/>
    </row>
    <row r="56" spans="3:13" ht="16.5">
      <c r="C56" s="15" t="s">
        <v>171</v>
      </c>
      <c r="D56" s="120" t="s">
        <v>193</v>
      </c>
      <c r="E56" s="46" t="s">
        <v>161</v>
      </c>
      <c r="F56" s="47">
        <f>+VLOOKUP(C56,'PUNTOS DE INYECCIÓN'!A:C,3,0)</f>
        <v>0.2</v>
      </c>
      <c r="G56" s="48">
        <f>++SUMIF('PUNTOS DE INYECCIÓN'!$A$4:$A$112,Areas_Integrales.!C56,Tabla1[Dif litros])</f>
        <v>5350.2463979999993</v>
      </c>
      <c r="H56" s="49">
        <f>++SUMIF('PUNTOS DE INYECCIÓN'!$A$4:$A$112,Areas_Integrales.!C56,Tabla1[Dif costo])</f>
        <v>27144.118952720011</v>
      </c>
      <c r="I56" s="121">
        <f>+SUM(G56:G60)</f>
        <v>10602.769398</v>
      </c>
      <c r="J56" s="121">
        <f>+SUM(H56:H60)</f>
        <v>50990.313962720014</v>
      </c>
      <c r="K56" s="15"/>
      <c r="L56" s="15"/>
      <c r="M56" s="15"/>
    </row>
    <row r="57" spans="3:13" ht="16.5">
      <c r="C57" s="15" t="s">
        <v>170</v>
      </c>
      <c r="D57" s="120"/>
      <c r="E57" s="46" t="s">
        <v>158</v>
      </c>
      <c r="F57" s="47">
        <f>+VLOOKUP(C57,'PUNTOS DE INYECCIÓN'!A:C,3,0)</f>
        <v>0.15</v>
      </c>
      <c r="G57" s="48">
        <f>++SUMIF('PUNTOS DE INYECCIÓN'!$A$4:$A$112,Areas_Integrales.!C57,Tabla1[Dif litros])</f>
        <v>2274.7650000000012</v>
      </c>
      <c r="H57" s="49">
        <f>++SUMIF('PUNTOS DE INYECCIÓN'!$A$4:$A$112,Areas_Integrales.!C57,Tabla1[Dif costo])</f>
        <v>13830.571200000006</v>
      </c>
      <c r="I57" s="121"/>
      <c r="J57" s="121"/>
      <c r="K57" s="15"/>
      <c r="L57" s="15"/>
      <c r="M57" s="15"/>
    </row>
    <row r="58" spans="3:13" ht="16.5">
      <c r="C58" s="15" t="s">
        <v>172</v>
      </c>
      <c r="D58" s="120"/>
      <c r="E58" s="46" t="s">
        <v>39</v>
      </c>
      <c r="F58" s="47">
        <f>+VLOOKUP(C58,'PUNTOS DE INYECCIÓN'!A:C,3,0)</f>
        <v>0.15</v>
      </c>
      <c r="G58" s="48">
        <f>++SUMIF('PUNTOS DE INYECCIÓN'!$A$4:$A$112,Areas_Integrales.!C58,Tabla1[Dif litros])</f>
        <v>0</v>
      </c>
      <c r="H58" s="49">
        <f>++SUMIF('PUNTOS DE INYECCIÓN'!$A$4:$A$112,Areas_Integrales.!C58,Tabla1[Dif costo])</f>
        <v>0</v>
      </c>
      <c r="I58" s="121"/>
      <c r="J58" s="121"/>
      <c r="K58" s="15"/>
      <c r="L58" s="15"/>
      <c r="M58" s="15"/>
    </row>
    <row r="59" spans="3:13" ht="16.5">
      <c r="C59" s="15" t="s">
        <v>174</v>
      </c>
      <c r="D59" s="120"/>
      <c r="E59" s="46" t="s">
        <v>160</v>
      </c>
      <c r="F59" s="47">
        <f>+VLOOKUP(C59,'PUNTOS DE INYECCIÓN'!A:C,3,0)</f>
        <v>0.15</v>
      </c>
      <c r="G59" s="48">
        <f>++SUMIF('PUNTOS DE INYECCIÓN'!$A$4:$A$112,Areas_Integrales.!C59,Tabla1[Dif litros])</f>
        <v>1692.6689999999999</v>
      </c>
      <c r="H59" s="49">
        <f>++SUMIF('PUNTOS DE INYECCIÓN'!$A$4:$A$112,Areas_Integrales.!C59,Tabla1[Dif costo])</f>
        <v>5890.4881199999945</v>
      </c>
      <c r="I59" s="121"/>
      <c r="J59" s="121"/>
      <c r="K59" s="15"/>
      <c r="L59" s="15"/>
      <c r="M59" s="15"/>
    </row>
    <row r="60" spans="3:13" ht="16.5">
      <c r="C60" s="15" t="s">
        <v>173</v>
      </c>
      <c r="D60" s="120"/>
      <c r="E60" s="46" t="s">
        <v>159</v>
      </c>
      <c r="F60" s="47">
        <f>+VLOOKUP(C60,'PUNTOS DE INYECCIÓN'!A:C,3,0)</f>
        <v>0.15</v>
      </c>
      <c r="G60" s="48">
        <f>++SUMIF('PUNTOS DE INYECCIÓN'!$A$4:$A$112,Areas_Integrales.!C60,Tabla1[Dif litros])</f>
        <v>1285.0889999999999</v>
      </c>
      <c r="H60" s="49">
        <f>++SUMIF('PUNTOS DE INYECCIÓN'!$A$4:$A$112,Areas_Integrales.!C60,Tabla1[Dif costo])</f>
        <v>4125.1356900000028</v>
      </c>
      <c r="I60" s="121"/>
      <c r="J60" s="121"/>
      <c r="K60" s="15"/>
      <c r="L60" s="15"/>
      <c r="M60" s="15"/>
    </row>
    <row r="61" spans="3:13" ht="16.5">
      <c r="C61" s="15" t="s">
        <v>169</v>
      </c>
      <c r="D61" s="120" t="s">
        <v>194</v>
      </c>
      <c r="E61" s="46" t="s">
        <v>159</v>
      </c>
      <c r="F61" s="47">
        <f>+VLOOKUP(C61,'PUNTOS DE INYECCIÓN'!A:C,3,0)</f>
        <v>0.1</v>
      </c>
      <c r="G61" s="48">
        <f>++SUMIF('PUNTOS DE INYECCIÓN'!$A$4:$A$112,Areas_Integrales.!C61,Tabla1[Dif litros])</f>
        <v>3317.2000000000007</v>
      </c>
      <c r="H61" s="49">
        <f>++SUMIF('PUNTOS DE INYECCIÓN'!$A$4:$A$112,Areas_Integrales.!C61,Tabla1[Dif costo])</f>
        <v>10648.212</v>
      </c>
      <c r="I61" s="121">
        <f>+SUM(G61:G64)</f>
        <v>7517.9500000000016</v>
      </c>
      <c r="J61" s="121">
        <f>+SUM(H61:H64)</f>
        <v>24982.061999999998</v>
      </c>
      <c r="K61" s="15"/>
      <c r="L61" s="15"/>
      <c r="M61" s="15"/>
    </row>
    <row r="62" spans="3:13" ht="16.5">
      <c r="C62" s="15" t="s">
        <v>167</v>
      </c>
      <c r="D62" s="120"/>
      <c r="E62" s="46" t="s">
        <v>158</v>
      </c>
      <c r="F62" s="47">
        <f>+VLOOKUP(C62,'PUNTOS DE INYECCIÓN'!A:C,3,0)</f>
        <v>0.15</v>
      </c>
      <c r="G62" s="48">
        <f>++SUMIF('PUNTOS DE INYECCIÓN'!$A$4:$A$112,Areas_Integrales.!C62,Tabla1[Dif litros])</f>
        <v>2278.0500000000011</v>
      </c>
      <c r="H62" s="49">
        <f>++SUMIF('PUNTOS DE INYECCIÓN'!$A$4:$A$112,Areas_Integrales.!C62,Tabla1[Dif costo])</f>
        <v>6469.6619999999966</v>
      </c>
      <c r="I62" s="121"/>
      <c r="J62" s="121"/>
      <c r="K62" s="15"/>
      <c r="L62" s="15"/>
      <c r="M62" s="15"/>
    </row>
    <row r="63" spans="3:13" ht="16.5">
      <c r="C63" s="15" t="s">
        <v>168</v>
      </c>
      <c r="D63" s="120"/>
      <c r="E63" s="46" t="s">
        <v>160</v>
      </c>
      <c r="F63" s="47">
        <f>+VLOOKUP(C63,'PUNTOS DE INYECCIÓN'!A:C,3,0)</f>
        <v>0.15</v>
      </c>
      <c r="G63" s="48">
        <f>++SUMIF('PUNTOS DE INYECCIÓN'!$A$4:$A$112,Areas_Integrales.!C63,Tabla1[Dif litros])</f>
        <v>1913.6999999999996</v>
      </c>
      <c r="H63" s="49">
        <f>++SUMIF('PUNTOS DE INYECCIÓN'!$A$4:$A$112,Areas_Integrales.!C63,Tabla1[Dif costo])</f>
        <v>7804.6079999999984</v>
      </c>
      <c r="I63" s="121"/>
      <c r="J63" s="121"/>
      <c r="K63" s="15"/>
      <c r="L63" s="15"/>
      <c r="M63" s="15"/>
    </row>
    <row r="64" spans="3:13" ht="16.5">
      <c r="C64" s="15" t="s">
        <v>188</v>
      </c>
      <c r="D64" s="120"/>
      <c r="E64" s="46" t="s">
        <v>157</v>
      </c>
      <c r="F64" s="47">
        <f>+VLOOKUP(C64,'PUNTOS DE INYECCIÓN'!A:C,3,0)</f>
        <v>0.15</v>
      </c>
      <c r="G64" s="48">
        <f>++SUMIF('PUNTOS DE INYECCIÓN'!$A$4:$A$112,Areas_Integrales.!C64,Tabla1[Dif litros])</f>
        <v>9</v>
      </c>
      <c r="H64" s="49">
        <f>++SUMIF('PUNTOS DE INYECCIÓN'!$A$4:$A$112,Areas_Integrales.!C64,Tabla1[Dif costo])</f>
        <v>59.579999999999984</v>
      </c>
      <c r="I64" s="121"/>
      <c r="J64" s="121"/>
      <c r="K64" s="15"/>
      <c r="L64" s="15"/>
      <c r="M64" s="15"/>
    </row>
    <row r="65" spans="3:13" ht="16.5">
      <c r="C65" s="15"/>
      <c r="D65" s="50"/>
      <c r="E65" s="50"/>
      <c r="F65" s="12" t="s">
        <v>162</v>
      </c>
      <c r="G65" s="51">
        <f>+SUM(G42:G64)</f>
        <v>32254.719398000005</v>
      </c>
      <c r="H65" s="51" t="s">
        <v>163</v>
      </c>
      <c r="I65" s="51">
        <f>+I61+I56+I52+I45+I42</f>
        <v>32254.719398000001</v>
      </c>
      <c r="J65" s="51">
        <f>+J61+J56+J52+J45+J42</f>
        <v>140509.39346272001</v>
      </c>
      <c r="K65" s="15"/>
      <c r="L65" s="15"/>
      <c r="M65" s="15"/>
    </row>
  </sheetData>
  <mergeCells count="17">
    <mergeCell ref="D61:D64"/>
    <mergeCell ref="I61:I64"/>
    <mergeCell ref="J61:J64"/>
    <mergeCell ref="D52:D55"/>
    <mergeCell ref="I52:I55"/>
    <mergeCell ref="J52:J55"/>
    <mergeCell ref="D56:D60"/>
    <mergeCell ref="I56:I60"/>
    <mergeCell ref="J56:J60"/>
    <mergeCell ref="D45:D51"/>
    <mergeCell ref="I45:I51"/>
    <mergeCell ref="J45:J51"/>
    <mergeCell ref="F34:H34"/>
    <mergeCell ref="I34:K34"/>
    <mergeCell ref="D42:D44"/>
    <mergeCell ref="I42:I44"/>
    <mergeCell ref="J42:J44"/>
  </mergeCells>
  <hyperlinks>
    <hyperlink ref="C1" location="Indice!A1" display="Indice" xr:uid="{D50371B2-0B54-4AF1-9FEC-7DB6CB2DF79E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F8D-DBE2-415C-A010-2EE9729BBEBB}">
  <dimension ref="C1:Q197"/>
  <sheetViews>
    <sheetView showGridLines="0" tabSelected="1" zoomScale="70" zoomScaleNormal="70" workbookViewId="0">
      <selection activeCell="K57" sqref="K57"/>
    </sheetView>
  </sheetViews>
  <sheetFormatPr baseColWidth="10" defaultRowHeight="15"/>
  <cols>
    <col min="3" max="3" width="46" customWidth="1"/>
    <col min="4" max="4" width="24.85546875" customWidth="1"/>
    <col min="5" max="5" width="20.5703125" customWidth="1"/>
    <col min="6" max="6" width="20.7109375" customWidth="1"/>
    <col min="7" max="7" width="17.140625" customWidth="1"/>
    <col min="8" max="8" width="14.7109375" customWidth="1"/>
    <col min="9" max="9" width="7.140625" customWidth="1"/>
    <col min="10" max="10" width="16.28515625" customWidth="1"/>
    <col min="11" max="11" width="18.85546875" customWidth="1"/>
    <col min="12" max="12" width="15.28515625" customWidth="1"/>
  </cols>
  <sheetData>
    <row r="1" spans="3:17">
      <c r="C1" s="109" t="s">
        <v>248</v>
      </c>
    </row>
    <row r="2" spans="3:17" ht="30" customHeight="1">
      <c r="C2" s="172" t="s">
        <v>135</v>
      </c>
      <c r="D2" s="172">
        <v>876.5</v>
      </c>
      <c r="E2" s="173">
        <v>45411</v>
      </c>
      <c r="F2" s="169" t="s">
        <v>268</v>
      </c>
      <c r="G2" s="170"/>
      <c r="H2" s="171">
        <v>0.314</v>
      </c>
    </row>
    <row r="4" spans="3:17">
      <c r="C4" s="29"/>
      <c r="D4" s="29" t="s">
        <v>28</v>
      </c>
      <c r="E4" s="29" t="s">
        <v>32</v>
      </c>
      <c r="F4" s="29" t="s">
        <v>136</v>
      </c>
      <c r="G4" s="29" t="s">
        <v>44</v>
      </c>
      <c r="H4" s="29" t="s">
        <v>33</v>
      </c>
      <c r="J4" s="29" t="s">
        <v>137</v>
      </c>
    </row>
    <row r="5" spans="3:17" ht="8.25" customHeight="1">
      <c r="C5" s="114"/>
      <c r="D5" s="114"/>
      <c r="E5" s="114"/>
      <c r="F5" s="114"/>
      <c r="G5" s="114"/>
      <c r="H5" s="114"/>
      <c r="J5" s="114"/>
    </row>
    <row r="6" spans="3:17" ht="15" customHeight="1">
      <c r="C6" s="29" t="s">
        <v>138</v>
      </c>
      <c r="D6" s="36">
        <f>Servicio!K3/D2/1000*0.98*(1-$H$2)</f>
        <v>34.967668277663677</v>
      </c>
      <c r="E6" s="36">
        <f>Servicio!K4/D2/1000*0.98*(1-$H$2)</f>
        <v>12.222729781220927</v>
      </c>
      <c r="F6" s="36">
        <f>Servicio!K5/D2/1000*0.98*(1-$H$2)</f>
        <v>12.261207355010091</v>
      </c>
      <c r="G6" s="36">
        <f>Servicio!K6/D2/1000*0.98*(1-$H$2)</f>
        <v>3.3672569452565027</v>
      </c>
      <c r="H6" s="36">
        <f>Servicio!K7/D2/1000*0.98*(1-$H$2)</f>
        <v>17.343062527408073</v>
      </c>
      <c r="J6" s="36">
        <f>+H6+G6+F6+E6+D6</f>
        <v>80.161924886559262</v>
      </c>
    </row>
    <row r="7" spans="3:17" ht="15" customHeight="1">
      <c r="C7" s="29" t="s">
        <v>139</v>
      </c>
      <c r="D7" s="36">
        <f>Servicio!H3/D2/1000*0.98*(1-$H$2)</f>
        <v>59.791942242898919</v>
      </c>
      <c r="E7" s="36">
        <f>Servicio!H4/D2/1000*0.98*(1-$H$2)</f>
        <v>52.737836697388374</v>
      </c>
      <c r="F7" s="36">
        <f>Servicio!H5/D2/1000*0.98*(1-$H$2)</f>
        <v>51.730107333744002</v>
      </c>
      <c r="G7" s="36">
        <f>Servicio!H6/D2/1000*0.98*(1-$H$2)</f>
        <v>16.329413187045606</v>
      </c>
      <c r="H7" s="36">
        <f>Servicio!H7/D2/1000*0.98*(1-$H$2)</f>
        <v>55.425115000440002</v>
      </c>
      <c r="J7" s="36">
        <f>+H7+G7+F7+E7+D7</f>
        <v>236.01441446151691</v>
      </c>
      <c r="K7" s="87">
        <f>+J7+J6</f>
        <v>316.17633934807617</v>
      </c>
    </row>
    <row r="8" spans="3:17" ht="2.1" customHeight="1">
      <c r="C8" s="114"/>
      <c r="D8" s="59"/>
      <c r="E8" s="59"/>
      <c r="F8" s="59"/>
      <c r="G8" s="59"/>
      <c r="H8" s="59"/>
      <c r="J8" s="59"/>
      <c r="K8" s="33">
        <f>+K7/(K7+J12)</f>
        <v>0.1919981856804735</v>
      </c>
    </row>
    <row r="9" spans="3:17" ht="2.1" customHeight="1">
      <c r="C9" s="114"/>
      <c r="D9" s="60"/>
      <c r="E9" s="60"/>
      <c r="F9" s="60"/>
      <c r="G9" s="60"/>
      <c r="H9" s="60"/>
      <c r="J9" s="60"/>
    </row>
    <row r="10" spans="3:17" ht="2.1" customHeight="1">
      <c r="C10" s="114"/>
      <c r="D10" s="60"/>
      <c r="E10" s="60"/>
      <c r="F10" s="60"/>
      <c r="G10" s="60"/>
      <c r="H10" s="60"/>
      <c r="J10" s="60"/>
    </row>
    <row r="11" spans="3:17" ht="2.1" customHeight="1">
      <c r="C11" s="114"/>
      <c r="D11" s="60"/>
      <c r="E11" s="60"/>
      <c r="F11" s="60"/>
      <c r="G11" s="60"/>
      <c r="H11" s="60"/>
      <c r="J11" s="60"/>
    </row>
    <row r="12" spans="3:17" ht="15" customHeight="1">
      <c r="C12" s="29" t="s">
        <v>140</v>
      </c>
      <c r="D12" s="30">
        <f>+SUM('PUNTOS DE INYECCIÓN'!L5:L27)/1000*0.98</f>
        <v>355.63114845999996</v>
      </c>
      <c r="E12" s="30">
        <f>SUM('PUNTOS DE INYECCIÓN'!L29:L49)/1000*0.98</f>
        <v>222.27719716999999</v>
      </c>
      <c r="F12" s="30">
        <f>SUM('PUNTOS DE INYECCIÓN'!L51:L80)/1000*0.98</f>
        <v>444.52860466086236</v>
      </c>
      <c r="G12" s="30">
        <f>SUM('PUNTOS DE INYECCIÓN'!L82:L90)/1000*0.98</f>
        <v>47.403422220000003</v>
      </c>
      <c r="H12" s="30">
        <f>SUM('PUNTOS DE INYECCIÓN'!L92:L105)/1000*0.98</f>
        <v>260.75061683999996</v>
      </c>
      <c r="J12" s="30">
        <f>+H12+G12+F12+E12+D12</f>
        <v>1330.5909893508624</v>
      </c>
      <c r="K12" s="76"/>
    </row>
    <row r="14" spans="3:17">
      <c r="C14" s="34" t="s">
        <v>196</v>
      </c>
      <c r="D14" s="34" t="s">
        <v>143</v>
      </c>
      <c r="E14" s="34" t="s">
        <v>142</v>
      </c>
      <c r="F14" s="34" t="s">
        <v>237</v>
      </c>
      <c r="G14" s="34" t="s">
        <v>238</v>
      </c>
      <c r="J14" s="82"/>
      <c r="K14" s="82"/>
      <c r="L14" s="82"/>
      <c r="M14" s="82"/>
      <c r="N14" s="82"/>
      <c r="O14" s="82"/>
      <c r="P14" s="82"/>
      <c r="Q14" s="82"/>
    </row>
    <row r="15" spans="3:17">
      <c r="C15" s="34" t="s">
        <v>144</v>
      </c>
      <c r="D15" s="35">
        <f>+Optimización_Scio!D15</f>
        <v>1498255.3009635999</v>
      </c>
      <c r="E15" s="35">
        <f>+Servicio!I8/D2</f>
        <v>510903.31089475466</v>
      </c>
      <c r="F15" s="34"/>
      <c r="G15" s="34"/>
      <c r="J15" s="82"/>
      <c r="K15" s="165"/>
      <c r="L15" s="165"/>
      <c r="M15" s="165"/>
      <c r="N15" s="165"/>
      <c r="O15" s="165"/>
      <c r="P15" s="82"/>
      <c r="Q15" s="82"/>
    </row>
    <row r="16" spans="3:17">
      <c r="C16" s="34" t="s">
        <v>145</v>
      </c>
      <c r="D16" s="35">
        <f>+D15</f>
        <v>1498255.3009635999</v>
      </c>
      <c r="E16" s="35">
        <f>+Servicio!L8/D2</f>
        <v>470304.54475527495</v>
      </c>
      <c r="F16" s="35">
        <f>+E15-E16</f>
        <v>40598.766139479703</v>
      </c>
      <c r="G16" s="86">
        <f>+E16/E15-1</f>
        <v>-7.9464676140732604E-2</v>
      </c>
      <c r="H16" t="s">
        <v>239</v>
      </c>
      <c r="J16" s="82"/>
      <c r="K16" s="165"/>
      <c r="L16" s="165"/>
      <c r="M16" s="165"/>
      <c r="N16" s="165"/>
      <c r="O16" s="165"/>
      <c r="P16" s="82"/>
      <c r="Q16" s="82"/>
    </row>
    <row r="17" spans="3:17">
      <c r="C17" s="34" t="s">
        <v>146</v>
      </c>
      <c r="D17" s="35">
        <f>++(D12+E12+F12+G12+H12)*1000</f>
        <v>1330590.9893508623</v>
      </c>
      <c r="E17" s="35">
        <f>+E16</f>
        <v>470304.54475527495</v>
      </c>
      <c r="F17" s="35">
        <f>+D15-D17</f>
        <v>167664.3116127376</v>
      </c>
      <c r="G17" s="86">
        <f>+D17/D15-1</f>
        <v>-0.11190636969874534</v>
      </c>
      <c r="H17" t="s">
        <v>220</v>
      </c>
      <c r="J17" s="82"/>
      <c r="K17" s="165"/>
      <c r="L17" s="165"/>
      <c r="M17" s="165"/>
      <c r="N17" s="165"/>
      <c r="O17" s="165"/>
      <c r="P17" s="82"/>
      <c r="Q17" s="82"/>
    </row>
    <row r="18" spans="3:17">
      <c r="C18" s="135" t="s">
        <v>240</v>
      </c>
      <c r="D18" s="136">
        <f>+D17</f>
        <v>1330590.9893508623</v>
      </c>
      <c r="E18" s="136">
        <f>+E17</f>
        <v>470304.54475527495</v>
      </c>
      <c r="F18" s="136">
        <f>+(D15+E15)-(D18+E18)</f>
        <v>208263.07775221742</v>
      </c>
      <c r="G18" s="137">
        <f>+F18/(E15+D15)</f>
        <v>0.10365686239155912</v>
      </c>
      <c r="H18" t="s">
        <v>241</v>
      </c>
      <c r="J18" s="82"/>
      <c r="K18" s="165"/>
      <c r="L18" s="166"/>
      <c r="M18" s="166"/>
      <c r="N18" s="166"/>
      <c r="O18" s="166"/>
      <c r="P18" s="82"/>
      <c r="Q18" s="82"/>
    </row>
    <row r="19" spans="3:17">
      <c r="C19" s="88" t="s">
        <v>262</v>
      </c>
      <c r="D19" s="35">
        <f>+D18</f>
        <v>1330590.9893508623</v>
      </c>
      <c r="E19" s="35">
        <f>+K7*1000</f>
        <v>316176.33934807614</v>
      </c>
      <c r="F19" s="35">
        <f>+(D15+E15)-(D19+E19)</f>
        <v>362391.28315941617</v>
      </c>
      <c r="G19" s="86">
        <f>+F19/(E15+D15)</f>
        <v>0.18036967366365633</v>
      </c>
      <c r="H19" t="s">
        <v>241</v>
      </c>
      <c r="J19" s="82"/>
      <c r="K19" s="165"/>
      <c r="L19" s="166"/>
      <c r="M19" s="166"/>
      <c r="N19" s="166"/>
      <c r="O19" s="166"/>
      <c r="P19" s="82"/>
      <c r="Q19" s="82"/>
    </row>
    <row r="20" spans="3:17">
      <c r="E20" s="148">
        <f>+E19/E18-1</f>
        <v>-0.32772000000000023</v>
      </c>
      <c r="J20" s="82"/>
      <c r="K20" s="82"/>
      <c r="L20" s="82"/>
      <c r="M20" s="82"/>
      <c r="N20" s="82"/>
      <c r="O20" s="167"/>
      <c r="P20" s="82"/>
      <c r="Q20" s="82"/>
    </row>
    <row r="21" spans="3:17">
      <c r="J21" s="82"/>
      <c r="K21" s="82"/>
      <c r="L21" s="82"/>
      <c r="M21" s="82"/>
      <c r="N21" s="82"/>
      <c r="O21" s="168"/>
      <c r="P21" s="82"/>
      <c r="Q21" s="82"/>
    </row>
    <row r="34" spans="3:13">
      <c r="C34" s="82"/>
      <c r="D34" s="82"/>
      <c r="E34" s="82"/>
      <c r="F34" s="119"/>
      <c r="G34" s="119"/>
      <c r="H34" s="119"/>
      <c r="I34" s="119"/>
      <c r="J34" s="119"/>
      <c r="K34" s="119"/>
    </row>
    <row r="35" spans="3:13">
      <c r="C35" s="82"/>
      <c r="D35" s="83"/>
      <c r="E35" s="83"/>
      <c r="F35" s="83"/>
      <c r="G35" s="83"/>
      <c r="H35" s="84"/>
      <c r="I35" s="83"/>
      <c r="J35" s="82"/>
      <c r="K35" s="82"/>
    </row>
    <row r="36" spans="3:13">
      <c r="C36" s="82"/>
      <c r="D36" s="83"/>
      <c r="E36" s="83"/>
      <c r="F36" s="83"/>
      <c r="G36" s="82"/>
      <c r="H36" s="82"/>
      <c r="I36" s="83"/>
      <c r="J36" s="83"/>
      <c r="K36" s="85"/>
    </row>
    <row r="41" spans="3:13" s="82" customFormat="1">
      <c r="C41" s="139"/>
      <c r="D41" s="146"/>
      <c r="E41" s="140"/>
      <c r="F41" s="141"/>
      <c r="G41" s="142"/>
      <c r="H41" s="143"/>
      <c r="I41" s="147"/>
      <c r="J41" s="147"/>
      <c r="K41" s="139"/>
      <c r="L41" s="139"/>
      <c r="M41" s="139"/>
    </row>
    <row r="42" spans="3:13" s="82" customFormat="1" ht="16.5">
      <c r="C42" s="131" t="s">
        <v>263</v>
      </c>
      <c r="D42" s="132"/>
      <c r="E42" s="132"/>
      <c r="F42" s="132"/>
      <c r="G42" s="132"/>
      <c r="H42" s="133"/>
      <c r="I42" s="144"/>
      <c r="J42" s="144"/>
      <c r="K42" s="139"/>
      <c r="L42" s="139"/>
      <c r="M42" s="143"/>
    </row>
    <row r="43" spans="3:13" s="82" customFormat="1" ht="30">
      <c r="C43" s="130" t="s">
        <v>255</v>
      </c>
      <c r="D43" s="130" t="s">
        <v>252</v>
      </c>
      <c r="E43" s="130" t="s">
        <v>253</v>
      </c>
      <c r="F43" s="130" t="s">
        <v>254</v>
      </c>
      <c r="G43" s="130" t="s">
        <v>256</v>
      </c>
      <c r="H43" s="130" t="s">
        <v>257</v>
      </c>
      <c r="I43" s="144"/>
      <c r="J43" s="144"/>
      <c r="K43" s="139"/>
      <c r="L43" s="139"/>
      <c r="M43" s="139"/>
    </row>
    <row r="44" spans="3:13" s="82" customFormat="1" ht="16.5">
      <c r="C44" s="29" t="s">
        <v>260</v>
      </c>
      <c r="D44" s="29">
        <f>13+2</f>
        <v>15</v>
      </c>
      <c r="E44" s="29">
        <v>11</v>
      </c>
      <c r="F44" s="29">
        <v>11</v>
      </c>
      <c r="G44" s="29"/>
      <c r="H44" s="29">
        <f>+SUM(D44:G44)</f>
        <v>37</v>
      </c>
      <c r="I44" s="144"/>
      <c r="J44" s="144"/>
      <c r="K44" s="139"/>
      <c r="L44" s="139"/>
      <c r="M44" s="139"/>
    </row>
    <row r="45" spans="3:13" s="82" customFormat="1" ht="16.5">
      <c r="C45" s="29" t="s">
        <v>250</v>
      </c>
      <c r="D45" s="29">
        <v>3</v>
      </c>
      <c r="E45" s="29">
        <v>3</v>
      </c>
      <c r="F45" s="29">
        <v>2</v>
      </c>
      <c r="G45" s="29"/>
      <c r="H45" s="29">
        <f>+SUM(D45:G45)</f>
        <v>8</v>
      </c>
      <c r="I45" s="144"/>
      <c r="J45" s="144"/>
      <c r="K45" s="139"/>
      <c r="L45" s="139"/>
      <c r="M45" s="139"/>
    </row>
    <row r="46" spans="3:13" s="82" customFormat="1" ht="16.5">
      <c r="C46" s="29" t="s">
        <v>251</v>
      </c>
      <c r="D46" s="29">
        <v>6</v>
      </c>
      <c r="E46" s="29">
        <v>6</v>
      </c>
      <c r="F46" s="29">
        <v>6</v>
      </c>
      <c r="G46" s="29"/>
      <c r="H46" s="29">
        <f>+SUM(D46:G46)</f>
        <v>18</v>
      </c>
      <c r="I46" s="144"/>
      <c r="J46" s="144"/>
      <c r="K46" s="139"/>
      <c r="L46" s="139"/>
      <c r="M46" s="139"/>
    </row>
    <row r="47" spans="3:13" s="82" customFormat="1" ht="16.5">
      <c r="C47" s="54"/>
      <c r="D47" s="54"/>
      <c r="E47" s="54"/>
      <c r="F47" s="54"/>
      <c r="G47" s="54"/>
      <c r="H47" s="54"/>
      <c r="I47" s="144"/>
      <c r="J47" s="144"/>
      <c r="K47" s="139"/>
      <c r="L47" s="139"/>
      <c r="M47" s="139"/>
    </row>
    <row r="48" spans="3:13" s="82" customFormat="1" ht="16.5">
      <c r="C48" s="131" t="s">
        <v>258</v>
      </c>
      <c r="D48" s="132"/>
      <c r="E48" s="132"/>
      <c r="F48" s="132"/>
      <c r="G48" s="132"/>
      <c r="H48" s="133"/>
      <c r="I48" s="144"/>
      <c r="J48" s="144"/>
      <c r="K48" s="139"/>
      <c r="L48" s="139"/>
      <c r="M48" s="139"/>
    </row>
    <row r="49" spans="3:13" s="82" customFormat="1" ht="30">
      <c r="C49" s="130" t="s">
        <v>255</v>
      </c>
      <c r="D49" s="130" t="s">
        <v>252</v>
      </c>
      <c r="E49" s="130" t="s">
        <v>253</v>
      </c>
      <c r="F49" s="130" t="s">
        <v>254</v>
      </c>
      <c r="G49" s="130" t="s">
        <v>256</v>
      </c>
      <c r="H49" s="130" t="s">
        <v>257</v>
      </c>
      <c r="I49" s="144"/>
      <c r="J49" s="144"/>
      <c r="K49" s="139"/>
      <c r="L49" s="139"/>
      <c r="M49" s="139"/>
    </row>
    <row r="50" spans="3:13" s="82" customFormat="1" ht="16.5">
      <c r="C50" s="29" t="s">
        <v>260</v>
      </c>
      <c r="D50" s="29">
        <v>7</v>
      </c>
      <c r="E50" s="29">
        <v>7</v>
      </c>
      <c r="F50" s="29">
        <v>6</v>
      </c>
      <c r="G50" s="29">
        <v>4</v>
      </c>
      <c r="H50" s="29">
        <f>+SUM(D50:G50)</f>
        <v>24</v>
      </c>
      <c r="I50" s="144"/>
      <c r="J50" s="144"/>
      <c r="K50" s="139"/>
      <c r="L50" s="139"/>
      <c r="M50" s="139"/>
    </row>
    <row r="51" spans="3:13" s="82" customFormat="1" ht="16.5">
      <c r="C51" s="29" t="s">
        <v>250</v>
      </c>
      <c r="D51" s="29">
        <v>2</v>
      </c>
      <c r="E51" s="29">
        <v>2</v>
      </c>
      <c r="F51" s="29">
        <v>2</v>
      </c>
      <c r="G51" s="29"/>
      <c r="H51" s="29">
        <f>+SUM(D51:G51)</f>
        <v>6</v>
      </c>
      <c r="I51" s="144"/>
      <c r="J51" s="144"/>
      <c r="K51" s="139"/>
      <c r="L51" s="139"/>
      <c r="M51" s="139"/>
    </row>
    <row r="52" spans="3:13" s="82" customFormat="1" ht="16.5">
      <c r="C52" s="29" t="s">
        <v>251</v>
      </c>
      <c r="D52" s="29">
        <v>4</v>
      </c>
      <c r="E52" s="29">
        <v>4</v>
      </c>
      <c r="F52" s="29">
        <v>4</v>
      </c>
      <c r="G52" s="29">
        <v>4</v>
      </c>
      <c r="H52" s="29">
        <f>+SUM(D52:G52)</f>
        <v>16</v>
      </c>
      <c r="I52" s="144"/>
      <c r="J52" s="144"/>
      <c r="K52" s="139"/>
      <c r="L52" s="139"/>
      <c r="M52" s="139"/>
    </row>
    <row r="53" spans="3:13" s="82" customFormat="1" ht="16.5">
      <c r="C53" s="54"/>
      <c r="D53" s="54"/>
      <c r="E53" s="54"/>
      <c r="F53" s="54"/>
      <c r="G53" s="54"/>
      <c r="H53" s="54"/>
      <c r="I53" s="144"/>
      <c r="J53" s="144"/>
      <c r="K53" s="139"/>
      <c r="L53" s="139"/>
      <c r="M53" s="139"/>
    </row>
    <row r="54" spans="3:13" s="82" customFormat="1" ht="16.5">
      <c r="C54" s="131" t="s">
        <v>259</v>
      </c>
      <c r="D54" s="132"/>
      <c r="E54" s="132"/>
      <c r="F54" s="132"/>
      <c r="G54" s="132"/>
      <c r="H54" s="134"/>
      <c r="I54" s="144"/>
      <c r="J54" s="144"/>
      <c r="K54" s="139"/>
      <c r="L54" s="139"/>
      <c r="M54" s="139"/>
    </row>
    <row r="55" spans="3:13" s="82" customFormat="1" ht="30">
      <c r="C55" s="130" t="s">
        <v>255</v>
      </c>
      <c r="D55" s="130" t="s">
        <v>252</v>
      </c>
      <c r="E55" s="130" t="s">
        <v>253</v>
      </c>
      <c r="F55" s="130" t="s">
        <v>254</v>
      </c>
      <c r="G55" s="130" t="s">
        <v>257</v>
      </c>
      <c r="H55" s="54"/>
      <c r="I55" s="144"/>
      <c r="J55" s="144"/>
      <c r="K55" s="139"/>
      <c r="L55" s="139"/>
      <c r="M55" s="139"/>
    </row>
    <row r="56" spans="3:13" s="82" customFormat="1" ht="16.5">
      <c r="C56" s="29" t="s">
        <v>260</v>
      </c>
      <c r="D56" s="129">
        <f>+D50/D44-1</f>
        <v>-0.53333333333333333</v>
      </c>
      <c r="E56" s="129">
        <f>+E50/E44-1</f>
        <v>-0.36363636363636365</v>
      </c>
      <c r="F56" s="129">
        <f>+F50/F44-1</f>
        <v>-0.45454545454545459</v>
      </c>
      <c r="G56" s="129">
        <f>+H50/H44-1</f>
        <v>-0.35135135135135132</v>
      </c>
      <c r="H56" s="54"/>
      <c r="I56" s="144"/>
      <c r="J56" s="144"/>
      <c r="K56" s="139"/>
      <c r="L56" s="139"/>
      <c r="M56" s="139"/>
    </row>
    <row r="57" spans="3:13" s="82" customFormat="1" ht="16.5">
      <c r="C57" s="29" t="s">
        <v>250</v>
      </c>
      <c r="D57" s="129">
        <f>+D51/D45-1</f>
        <v>-0.33333333333333337</v>
      </c>
      <c r="E57" s="129">
        <f>+E51/E45-1</f>
        <v>-0.33333333333333337</v>
      </c>
      <c r="F57" s="129">
        <f>+F51/F45-1</f>
        <v>0</v>
      </c>
      <c r="G57" s="129">
        <f>+H51/H45-1</f>
        <v>-0.25</v>
      </c>
      <c r="H57" s="54"/>
      <c r="I57" s="144"/>
      <c r="J57" s="144"/>
      <c r="K57" s="139"/>
      <c r="L57" s="139"/>
      <c r="M57" s="139"/>
    </row>
    <row r="58" spans="3:13" s="82" customFormat="1" ht="16.5">
      <c r="C58" s="29" t="s">
        <v>251</v>
      </c>
      <c r="D58" s="129">
        <f>+D52/D46-1</f>
        <v>-0.33333333333333337</v>
      </c>
      <c r="E58" s="129">
        <f>+E52/E46-1</f>
        <v>-0.33333333333333337</v>
      </c>
      <c r="F58" s="129">
        <f>+F52/F46-1</f>
        <v>-0.33333333333333337</v>
      </c>
      <c r="G58" s="129">
        <f>+H52/H46-1</f>
        <v>-0.11111111111111116</v>
      </c>
      <c r="H58" s="54"/>
      <c r="I58" s="144"/>
      <c r="J58" s="144"/>
      <c r="K58" s="139"/>
      <c r="L58" s="139"/>
      <c r="M58" s="139"/>
    </row>
    <row r="59" spans="3:13" s="82" customFormat="1" ht="16.5">
      <c r="C59" s="139"/>
      <c r="D59" s="146"/>
      <c r="E59" s="140"/>
      <c r="F59" s="141"/>
      <c r="G59" s="142"/>
      <c r="H59" s="143"/>
      <c r="I59" s="144"/>
      <c r="J59" s="144"/>
      <c r="K59" s="139"/>
      <c r="L59" s="139"/>
      <c r="M59" s="139"/>
    </row>
    <row r="60" spans="3:13" s="82" customFormat="1" ht="16.5">
      <c r="C60" s="139"/>
      <c r="D60" s="146"/>
      <c r="E60" s="140"/>
      <c r="F60" s="141"/>
      <c r="G60" s="142"/>
      <c r="H60" s="143"/>
      <c r="I60" s="144"/>
      <c r="J60" s="144"/>
      <c r="K60" s="139"/>
      <c r="L60" s="139"/>
      <c r="M60" s="139"/>
    </row>
    <row r="61" spans="3:13" s="82" customFormat="1" ht="16.5">
      <c r="H61" s="143"/>
      <c r="I61" s="144"/>
      <c r="J61" s="144"/>
      <c r="K61" s="139"/>
      <c r="L61" s="139"/>
      <c r="M61" s="139"/>
    </row>
    <row r="62" spans="3:13" s="82" customFormat="1" ht="16.5">
      <c r="H62" s="145"/>
      <c r="I62" s="145"/>
      <c r="J62" s="145"/>
      <c r="K62" s="139"/>
      <c r="L62" s="139"/>
      <c r="M62" s="139"/>
    </row>
    <row r="63" spans="3:13" s="82" customFormat="1"/>
    <row r="64" spans="3:13" s="82" customFormat="1"/>
    <row r="65" spans="3:6" s="82" customFormat="1" ht="16.5">
      <c r="C65" s="163"/>
      <c r="D65" s="164"/>
      <c r="E65" s="164"/>
      <c r="F65" s="164"/>
    </row>
    <row r="66" spans="3:6" s="82" customFormat="1"/>
    <row r="67" spans="3:6" s="82" customFormat="1"/>
    <row r="68" spans="3:6" s="82" customFormat="1"/>
    <row r="69" spans="3:6" s="82" customFormat="1"/>
    <row r="70" spans="3:6" s="82" customFormat="1"/>
    <row r="71" spans="3:6" s="82" customFormat="1"/>
    <row r="72" spans="3:6" s="82" customFormat="1"/>
    <row r="73" spans="3:6" s="82" customFormat="1"/>
    <row r="74" spans="3:6" s="82" customFormat="1"/>
    <row r="75" spans="3:6" s="82" customFormat="1"/>
    <row r="76" spans="3:6" s="82" customFormat="1"/>
    <row r="77" spans="3:6" s="82" customFormat="1"/>
    <row r="78" spans="3:6" s="82" customFormat="1"/>
    <row r="79" spans="3:6" s="82" customFormat="1"/>
    <row r="80" spans="3:6" s="82" customFormat="1"/>
    <row r="81" s="82" customFormat="1"/>
    <row r="82" s="82" customFormat="1"/>
    <row r="83" s="82" customFormat="1"/>
    <row r="84" s="82" customFormat="1"/>
    <row r="85" s="82" customFormat="1"/>
    <row r="86" s="82" customFormat="1"/>
    <row r="87" s="82" customFormat="1"/>
    <row r="88" s="82" customFormat="1"/>
    <row r="89" s="82" customFormat="1"/>
    <row r="90" s="82" customFormat="1"/>
    <row r="91" s="82" customFormat="1"/>
    <row r="92" s="82" customFormat="1"/>
    <row r="93" s="82" customFormat="1"/>
    <row r="94" s="82" customFormat="1"/>
    <row r="95" s="82" customFormat="1"/>
    <row r="96" s="82" customFormat="1"/>
    <row r="97" s="82" customFormat="1"/>
    <row r="98" s="82" customFormat="1"/>
    <row r="99" s="82" customFormat="1"/>
    <row r="100" s="82" customFormat="1"/>
    <row r="101" s="82" customFormat="1"/>
    <row r="102" s="82" customFormat="1"/>
    <row r="103" s="82" customFormat="1"/>
    <row r="104" s="82" customFormat="1"/>
    <row r="105" s="82" customFormat="1"/>
    <row r="106" s="82" customFormat="1"/>
    <row r="107" s="82" customFormat="1"/>
    <row r="108" s="82" customFormat="1"/>
    <row r="109" s="82" customFormat="1"/>
    <row r="110" s="82" customFormat="1"/>
    <row r="111" s="82" customFormat="1"/>
    <row r="112" s="82" customFormat="1"/>
    <row r="113" s="82" customFormat="1"/>
    <row r="114" s="82" customFormat="1"/>
    <row r="115" s="82" customFormat="1"/>
    <row r="116" s="82" customFormat="1"/>
    <row r="117" s="82" customFormat="1"/>
    <row r="118" s="82" customFormat="1"/>
    <row r="119" s="82" customFormat="1"/>
    <row r="120" s="82" customFormat="1"/>
    <row r="121" s="82" customFormat="1"/>
    <row r="122" s="82" customFormat="1"/>
    <row r="123" s="82" customFormat="1"/>
    <row r="124" s="82" customFormat="1"/>
    <row r="125" s="82" customFormat="1"/>
    <row r="126" s="82" customFormat="1"/>
    <row r="127" s="82" customFormat="1"/>
    <row r="128" s="82" customFormat="1"/>
    <row r="129" s="82" customFormat="1"/>
    <row r="130" s="82" customFormat="1"/>
    <row r="131" s="82" customFormat="1"/>
    <row r="132" s="82" customFormat="1"/>
    <row r="133" s="82" customFormat="1"/>
    <row r="134" s="82" customFormat="1"/>
    <row r="135" s="82" customFormat="1"/>
    <row r="136" s="82" customFormat="1"/>
    <row r="137" s="82" customFormat="1"/>
    <row r="138" s="82" customFormat="1"/>
    <row r="139" s="82" customFormat="1"/>
    <row r="140" s="82" customFormat="1"/>
    <row r="141" s="82" customFormat="1"/>
    <row r="142" s="82" customFormat="1"/>
    <row r="143" s="82" customFormat="1"/>
    <row r="144" s="82" customFormat="1"/>
    <row r="145" s="82" customFormat="1"/>
    <row r="146" s="82" customFormat="1"/>
    <row r="147" s="82" customFormat="1"/>
    <row r="148" s="82" customFormat="1"/>
    <row r="149" s="82" customFormat="1"/>
    <row r="150" s="82" customFormat="1"/>
    <row r="151" s="82" customFormat="1"/>
    <row r="152" s="82" customFormat="1"/>
    <row r="153" s="82" customFormat="1"/>
    <row r="154" s="82" customFormat="1"/>
    <row r="155" s="82" customFormat="1"/>
    <row r="156" s="82" customFormat="1"/>
    <row r="157" s="82" customFormat="1"/>
    <row r="158" s="82" customFormat="1"/>
    <row r="159" s="82" customFormat="1"/>
    <row r="160" s="82" customFormat="1"/>
    <row r="161" s="82" customFormat="1"/>
    <row r="162" s="82" customFormat="1"/>
    <row r="163" s="82" customFormat="1"/>
    <row r="164" s="82" customFormat="1"/>
    <row r="165" s="82" customFormat="1"/>
    <row r="166" s="82" customFormat="1"/>
    <row r="167" s="82" customFormat="1"/>
    <row r="168" s="82" customFormat="1"/>
    <row r="169" s="82" customFormat="1"/>
    <row r="170" s="82" customFormat="1"/>
    <row r="171" s="82" customFormat="1"/>
    <row r="172" s="82" customFormat="1"/>
    <row r="173" s="82" customFormat="1"/>
    <row r="174" s="82" customFormat="1"/>
    <row r="175" s="82" customFormat="1"/>
    <row r="176" s="82" customFormat="1"/>
    <row r="177" s="82" customFormat="1"/>
    <row r="178" s="82" customFormat="1"/>
    <row r="179" s="82" customFormat="1"/>
    <row r="180" s="82" customFormat="1"/>
    <row r="181" s="82" customFormat="1"/>
    <row r="182" s="82" customFormat="1"/>
    <row r="183" s="82" customFormat="1"/>
    <row r="184" s="82" customFormat="1"/>
    <row r="185" s="82" customFormat="1"/>
    <row r="186" s="82" customFormat="1"/>
    <row r="187" s="82" customFormat="1"/>
    <row r="188" s="82" customFormat="1"/>
    <row r="189" s="82" customFormat="1"/>
    <row r="190" s="82" customFormat="1"/>
    <row r="191" s="82" customFormat="1"/>
    <row r="192" s="82" customFormat="1"/>
    <row r="193" s="82" customFormat="1"/>
    <row r="194" s="82" customFormat="1"/>
    <row r="195" s="82" customFormat="1"/>
    <row r="196" s="82" customFormat="1"/>
    <row r="197" s="82" customFormat="1"/>
  </sheetData>
  <mergeCells count="14">
    <mergeCell ref="F2:G2"/>
    <mergeCell ref="I58:I61"/>
    <mergeCell ref="J58:J61"/>
    <mergeCell ref="C54:G54"/>
    <mergeCell ref="C42:H42"/>
    <mergeCell ref="C48:H48"/>
    <mergeCell ref="I49:I52"/>
    <mergeCell ref="J49:J52"/>
    <mergeCell ref="I53:I57"/>
    <mergeCell ref="J53:J57"/>
    <mergeCell ref="F34:H34"/>
    <mergeCell ref="I34:K34"/>
    <mergeCell ref="I42:I48"/>
    <mergeCell ref="J42:J48"/>
  </mergeCells>
  <hyperlinks>
    <hyperlink ref="C1" location="Indice!A1" display="Indice" xr:uid="{B089D79D-0784-4B5D-8363-904FC5AEB56B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8 a 7 3 e 2 - 6 f 7 8 - 4 4 c c - 8 c 0 9 - f 9 d 4 6 4 7 a 5 1 9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 1 0 . 3 8 3 7 1 4 4 5 4 9 9 5 3 3 5 < / L a t i t u d e > < L o n g i t u d e > - 6 6 . 2 8 5 1 6 6 9 5 6 7 9 8 1 < / L o n g i t u d e > < R o t a t i o n > 0 < / R o t a t i o n > < P i v o t A n g l e > 0 < / P i v o t A n g l e > < D i s t a n c e > 3 . 2 3 3 9 7 0 6 8 1 0 2 3 4 8 1 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 G u i d = " 1 6 1 a 4 a 0 8 - 0 8 c d - 4 0 d 6 - 8 5 d 1 - 4 5 2 8 3 e 7 d d 7 0 7 "   R e v = " 1 "   R e v G u i d = " 3 e 9 e 7 8 7 7 - 9 8 3 c - 4 5 8 a - a 7 d 3 - 1 6 c d 0 a 6 a 0 d 3 8 " 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3 7 5 8 7 D F 6 - 8 C 4 D - 4 3 4 0 - B A 7 8 - 3 8 F 2 9 E 6 F 8 4 0 D } "   T o u r I d = " a 6 2 2 3 0 a 0 - 0 8 0 b - 4 7 1 5 - 8 7 e 2 - 6 9 5 0 5 f 8 9 0 5 0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B i Q S U R B V H h e 7 Z 3 5 c x v Z c c d 7 c B M g e F 8 S S Y m i t N q V t L J X q / X a e 8 u W 7 S Q V n 7 + k 4 q y d H 5 z K p u z / K l W p u C q / x L G 9 t t f e Q 7 t a X R Q l 6 p Y o k Z R 4 i C d 4 4 p z B D J D u f j M 4 S J A E y S E l 2 / 1 B t Q Y Y H B Q G 8 5 1 v v 3 5 v 3 m j / 9 / n l P A i C 4 A o e e y k I g g t o v / n i i j i U I L i E O J Q g u I g I S h B c B F O + P k n 5 B M E l t N + e F 0 E J g l t I y i c I L o I O d V U c S h B c Q v v d l y I o Q X A L S f k E w U V E U I L g I t r v L v R L y i c I L q F 9 K I I S B N e Q l E 8 Q X A Q d 6 p o 4 l C C 4 h P b h R R G U I L i F 9 n s R l C C 4 B g r q u g h K E F x C + / 0 l E Z Q g u I X 2 B x G U I L i G l M 0 F w U W 0 P 1 w e E I c S B J c Q h x I E F 9 H + K A 7 1 3 B G q a 4 O 8 B e A N 7 4 d D 9 W n Q T S 8 E f T l o D p v g 9 3 n x V / N A X A e Y n p u F p 7 F l s C z T f q f w r E F B 3 R B B P W M a W r r h q 1 0 R u D 0 B Y O Z y U B + y o L v e h F w + j 4 8 1 6 B v 1 o 6 g 0 + 9 U A p 7 s M a I r k Q d M 0 D o / H A / 0 T I U h b f s g l H q A Y U W 3 C M 0 H 7 4 x U R 1 L P g R O 8 h a I t 4 I G n k Y T G V h 2 j A g o A 3 D x 4 N R Y T u l A M N P h 8 K Q D i Q h 9 e 6 D X 5 u c s U L 9 6 b 9 / P 4 X 2 0 w 4 0 I g v t M n l N T g 3 X F M Q W C D g B 4 / x C C w j b b 9 C 2 A t E U H v M 2 y / 3 g g / N x r I s y J o 5 F h C 5 j 5 l D x 8 H n L z 0 J Q l u t B R l c l 9 A 1 s F A o B x t N T v m G 5 v z 8 2 K G j z o K X O 7 J 8 / + O H I V 6 S o I j 2 a B 6 W d R + 2 k v 3 g h 3 m w 0 l O 8 X t h d t I + u 3 B R B 7 Q H f P P U i m E Y G L E z p k h k L Q r 4 8 u o o H E o Y G P k + e h U T k M c 1 z + P b R D C 8 t X P X Z o x A 0 e a Z g I b e P 1 5 F u S l 4 K A d R O 1 i q K j S h N C X 0 + H z T 4 Z i G R i N n P C r u B 9 l G f C G o 3 8 f i j 8 O 5 L r Z D N Z l k s O R T U 7 S k / d G E b y e c B q A 3 m Y H z R B 4 N z q I h V 9 G B K d 6 R V O Z D D x J I X H s y q t G 8 j H K c i H G F 5 v R 7 w + z A V z N y 1 n x H c R g S 1 i / g i L 8 I b B 9 G V M L 3 L Y U q H n q K e Q E h c 9 K j c U w A G Z 3 0 w l / D C 6 w d V u 4 l e c w c F e K R h B Y y c D + o j f n Q 1 D / S N B t D h 1 H s 2 o p K w D r d p M L m Q A S 0 7 b j 8 j u I X 2 p 7 5 b V f w s w p b Q v G A G j s K 7 h + J g m i b v x C Q g Z z m f 8 s J s 3 A P H 2 s v d h x i K + S C d 1 a A + l C s U H a w c A J o L u 1 s + n 8 P 7 + P m 4 8 t x I h J + v B k d Y B V G 1 5 L D t l o f F x S e 8 X n A H 7 U 9 X R V B u 4 g t 3 Q N K o h 3 d 6 E q p i Z 2 Y x 1 f K x k E q x 0 F 6 o D e V H F 6 q G u a Q H h m P o T j q 2 i V A b 9 H E t E Q v X e + 1 X V E e p s K h t B T k L w t p j X i f s H B k p 4 S L B p h O 4 w 9 f B S y 0 J T O X I T f I s p q W 0 c q Z S v K i K p + O j 8 P G d D P z m m i o + E I a x t g 8 p F j e h u c a E 2 g B a F U K p H v V F 9 T S Z c K r T 4 H X V 4 v w / a M m O p 3 n g 9 K E O 8 G V T v F 7 Y G e J Q L h F s O g n L y z p 0 1 u l w M J o A f y B Q J q J E f A V 8 f j / k c S e u C U d Q O N h G w t d k T Q s e x k J w t f 8 6 f P 2 1 U 3 C s w w Q L 0 0 S 0 E M h i m 8 n U 4 1 B b W 8 u v t 7 Q g p 4 T H O 7 J c 9 d s J q 1 P A l 9 v i M L + 8 B C v 6 1 g Q q l I P H S b n t 9 O Y J t r O Y A p 4 s H G k 2 1 o i J q I 3 W Q S h U A 6 G a M D u D w x e P Q 3 A C B d L d f Y D F l E z p 8 O c b C + h s X g j 5 8 y z A q 2 M B + N / L i / z 6 m b h 3 x 2 I i 6 P 9 X G s t G C L o b g y X f S m 7 b u v 2 5 / 7 Y 4 1 A 4 I 1 O 6 H 5 V Q E m y I W F y H I X S z c s K G A K m 1 T U Y L 6 g F Z j 6 D p o P j + 2 p T w o H I B P U E Q N E Q 9 8 p S e C 6 a A H P C i o V C o J C 0 Z d V W X y n c A u h S k q t f t u j p m Y B q 7 Y z w h b R Q S 1 E 3 B H 1 L 1 H u Y / p 7 A t p P t L r m Q w E g k F 2 F o 0 a / c j y 0 i K 7 F v U B 0 T K Z W I F I b R 2 s Y I p V V 9 / A r 1 n N k 1 g O h h b C 9 q P d x U n / O u u z 0 F O X g E / u m d D W k O R 1 w t b A X 5 w 2 p s R 2 w g w c U 2 V x y P O I b x I U i Y k K C 4 6 Y M u k U 1 D c 0 Q h j b T b q u i g 8 k J o L E R C 4 U X 1 n m x z q 6 F n 0 G p Y R 7 I S Z b R / w 3 i a f L f l h Y W o F X u g F m F w K 4 Z u 1 3 l t g 4 t I + v 3 R G H 2 g a e 6 A m I x 1 W n 7 e k u H a K B L D q V D s F g j f 0 K g M X 5 G K R T K W j t 2 M d t I q c A Q F C K S G k d 7 c z J R B y C o R D 4 / b Q T F 8 f l 7 T X 0 f 6 P / T 9 S b h E P 1 S z C + k u U q o F A 9 s r W 2 S S K h s 5 h o B 6 w L Y X q H O i E x k W M 5 N D a 3 Q F 1 D A w r F z 3 0 + j p i o b 4 r E R N B n 1 N S E C 2 J 6 l j h O t a Q H I I j / 5 / Z A c T S 7 U B 2 S 8 m 0 j s p j q l V b q n k 5 O 4 r / 0 H B Q K E A u x W V 5 S d Y 9 w 0 j 1 6 n w / b U k Q a 0 7 3 S g s W j W e 2 Z u V M p H o + X H X U R 2 3 6 h F A 2 m X b s N J C q H h w 6 a E t V H U 9 e L 3 C f E n a J 4 R K f w R 7 t 4 3 f X r A z A 3 N 4 c b F l / X 0 s Z L B + 5 b Q s i p y J W I + Z h 6 L X 4 K f P I o B K N L a s T 5 s 4 b a f 2 n T h w c B A y K R c M X t I L F O f H L 9 r r S h t o D u e 5 G L B 4 5 D k a B q g 3 n 4 x s H y E Q 4 p b D u F w 8 X C A o m I j v o L 8 / M Q r G 2 E I J 1 u g a 5 l G B m 4 M d 8 B W e v 5 y r 7 z p g 6 H Q 8 N c l V x Z i U M m 3 G I / I 2 y E p H x b C M 0 f L Z y G Q d C S x t X V + I v p H 0 F i G x 0 d 4 / v 0 U k r j P h u O w P m R I I y m O + D S a B j O D Y f h w k Q T t r G a I P L s m 0 9 l e P E 7 1 W t z f A C g g b g + b u + V b w u J y i F F i S 1 g a F 2 F V M + B x t X V r O p 3 p b T u 8 O F e v k + p n A O d m U s j z U u h n + F Q 0 / M 1 y Q q d 0 N j Q 1 A K J Z I q 7 A E h Y n q W n 9 r P C R k g b a g t B 7 a R S d 3 J Y S G k w u l g u F B q n d 3 N w w n 6 0 P j c m / J w y P m + M L f k g G q 2 F c C Q C R t b g H W X 1 9 p B Y G + J Q 1 R I 6 W C a i U q I o i C c L a 4 c H z W l H 7 H u V w e 0 P M X S s y 6 P P W c 6 H U I k / G A j y k h w 3 l U 5 D 3 l p 7 / p Z Q j r S h q g z d D K 1 J 9 x y m V r y Q 3 U a X j f N J q + e C e B 4 w M e 8 b G R n B b 6 7 x k K l o N A r L o 4 P 4 z N p t I 1 E M T 4 V 1 E h W C O m w r p X s O 9 L K t c N S e K 6 I t a v F k L H S G 7 n p s 9 b P d g J z p 5 Z N f 4 T T G T 1 O S 4 R 2 u b N r b Q 6 J y U J G q 0 n q J k v A G G g t l 8 v X A r G h D 6 k J 5 F s 6 J d n W + 0 c M 5 l S L O x r 1 c u K D R F v Q 8 z Y Z E s y C V s l a + e 8 O N y Q D / b d o G 1 A 1 A 5 2 W t 3 j Y S 5 S E p X x W R 9 b S v m + 4 5 0 L w P j + b L 2 1 F 1 Q S V C E s j r B 1 Q / 1 d 2 Z 8 v Y S O Q B 9 7 P i S j 8 v r N B + f l d P g q 5 1 Z H i P 4 r K D v u p w C i K / E + b G F X 5 B E l Z i m 7 o C 1 2 0 h C h a R 8 V Y R h V N d A G p 3 3 c l + T A 8 1 c R K 7 z b m 8 a 7 t 2 7 D 5 O z 6 i T B U h y N t k Y s 6 G 5 Q f y d A c / a Z O g y j Q B t q l C j f P K S z e + 0 V J C i 6 k S s 9 f D g E 0 b p a 7 p z W U 4 m K 2 0 h C h X b u 5 o O 9 + 5 X + Q k n k e w s l 8 4 1 c q p T D z S Z P n f w W C u H e 3 X t w + M h h u D E d h b i + 8 8 I q / X a 7 + a P R d 6 Q B v F k j A 9 3 a f R 4 Z X 1 N T A 1 N T U 7 C M j t X 7 2 j v 2 K 4 X V o K A G R V C b E M / 1 F E Z I V C u o I t R 2 0 i G j 6 z z i g A b D 0 t C l 2 0 + S s K T t t 1 + z d X Z T V H R y J A m K h k U 1 J f v B 7 / f x 8 C O P 1 w O J e A J 6 T o u g 1 k P 6 o a p g 6 y I q R Y 0 g f 7 L g h b v o V J c u X e G R B 7 3 d O x s b t 7 s O R e 1 F D B T W l P c 4 t L e 3 w / 7 9 + y C d S s P S s j o Z U q i M t K E 2 i Z w W 2 q G g F B P x W p i r e R 3 e e O P r 7 F K 3 J v 0 8 M + z z B r s w L l U R R o m q / 7 H O Q m p q b o J A T V 3 F 7 S S h Q m Y 9 2 v T m L h 8 / D M L A v T F M A T G l q t C h S 1 U / Y r 9 5 A 9 s u J k T s u f j 2 C h I Q B 4 t J p b j p n B o 1 T + s z V q B k 2 8 h t 9 U 1 S v k 3 g I 7 Y L D l V E g 9 5 D B + G 9 I 5 X n v z v 7 Q g b O 9 C b g + P G X 4 L v H T H i j x 4 C T + 1 S 1 k K C p x V p q L Z 7 k c r c g d 1 J h c U G C l n f m 6 i G d y c B 0 f G s z 1 f 6 t I S n f Z k E L e + k W V 8 e D 8 O j x J H z r S I a D r g e V z 8 z D 1 w 4 o k S 0 u L q q U i x / R t Z 6 U S 5 G o 3 j 6 k w y v 7 s 3 C k x e T 5 z t 2 E B e Q E C 8 k W l q X E d W u K h l 9 Z a 7 e R R C H E o T a F H M q + 6 y K z n q P w 6 V A I h h d 8 M J v w Q r P 5 s D D 8 q L W 1 F a a m p j n F q g Q J k n i v N w W d 9 d s Y R L g B O b v d R F E m M F q H z 5 H Q h P W R N t Q m N 5 + H x v D t X j t m F A V F + P e 9 z k u H z s 7 9 6 I w a X L t 2 H W K x W F n a + b V u H R Y W F n k U O F 3 B o y m Y 5 N E Y 0 Q 3 G A 2 6 E S m t t E d k p H o d z n 5 b Y n q O p 0 m h Z u n 3 k V n 6 T l K + K c O a D 2 E 0 q d f i S o E 6 f f p W H / d D 9 U h o b G 6 C / / x r f z 8 3 d h D N H d D g c m e K 0 s K l m 6 6 d Z U A G C R k K Q e E g 4 f J / F p I T E j 3 E 7 8 B X n V 2 0 f i W J I y l c F t F P t O h u k l X V 1 0 Y J D X b h w E e 7 c u Q t Z 3 L l f e E G d b 9 X W 1 s r L l u Z m 3 v H 9 S z f 4 c T X w 5 2 J Q q g d 5 W 0 R O u s f i s t f Z o s r n n 6 + z i 5 8 3 J O W r 4 m Z Z N E p C p V O r n c I N f J 4 c j 9 V b D x q U m k 6 r q 7 l 3 d H T A s W M v Q c D v 5 / V E S 0 s z D A z c g H O f f Q K f f n o O T p 4 8 C Y e b q 3 Q p W 0 w k H t N U I i L x F J 0 J g 5 z J z G I Y U B s J l W w Z u a 2 + i U N V Q Y 5 2 p u z 2 z l b d r B L n 9 e b h z Q M p H k V R O k m m A w m k q a k J r l 6 9 B t c H B q C 5 u Q m y W V U N 3 L d v H 0 x M T P D s S q d O v Q J n v n k W 3 n r r G / x c a 2 C J l + u j u g P o V h B O m Y B K I 8 t D k U z c B g d 7 u u z 3 C 5 X Q z t 8 d 2 o U a 1 l 8 X N M + 3 b v k h E A y T R d l r 3 e H d w 3 p h x A S N F 7 x 1 6 z a 3 m x y W l 5 e h v r 7 e f l T O 4 k K M r + L R v q / T X q M g w T k z 0 c a S H n g y k 4 E l U 0 2 4 6 e A U I i i N U + 5 D g j H 4 v b w 0 M j w 5 p 5 F J g 5 5 J Q j q Z w F i G n 7 z / j 2 5 v g r 8 q 8 P h p t 6 Y k 1 o 2 2 J r X D 0 d H b b U q H H 5 H b k J g u X b z M 7 R h i c J B O O 6 / M p L 6 P x T R v z 1 L r U D q t c 0 s k B 6 c O e v k i b W / 3 6 t A d X u A R 8 O x Q X N V z 0 j v V X i o 6 F a Z + 5 E 5 0 n 1 1 K C U 2 l v B L r h f b l 3 W F x q C p 4 N J a D Q K g W X a q m c G W N 7 U J v t / U C u Y X 7 8 K 3 X u m B p a R n b Q s U B s + Q g 1 E b K Z H R O 8 9 z A o O m g N Q 9 4 f T 5 u K 3 0 y 6 A M D X Z H S W R P b i c q Z S D g 6 O 5 + h p 9 C d 0 p B J o z s l V l C A O r z / s x / b n y Z U Q s r m V U b I b 2 E 6 p P N O t 1 6 H a 7 X U + I r v f / s r 7 d D X 1 1 8 m J m J k 5 D G M j Y 1 D X V 2 t v W Z 9 U s n K 1 3 I i l 2 M R 2 V A b j f q u S E y z s 9 P w a t s s u 4 9 Z c C E K u 7 3 E j q R E Z q L I s o Y O 3 / v B 2 Y r b R q I Y k v J V G V 3 7 / H z k N k 2 a h n l n q V / S K D q c o d X C m 2 + + Y T 9 S x G L z P F E m V f O q u S o H z Z 1 X C R K B k z r S C Z L B U A 0 7 X y a d g X C 4 F p L x e E n K V x R U U V j K r b L Z D C / r G 6 g t V 3 n 7 S K j Y W e 7 y N w S 1 H U z c Q W k n 5 b Q I d z h q h + y U / v E A 6 K v 0 O T M 9 Z d / b G X S R 7 E C Q T j + h K 3 5 g m k e O R W c e 4 y 2 T T o P p b 1 R u 5 K R 9 J C B + T E J S 6 R 9 / X 3 S 5 2 t q 9 u Z r i X z o y c + w W 4 m B n A H d I E h Q d s Q 0 8 i m 9 / X B t + X I H z I + W X s N n f W S x N r y 6 E z M / N s D D o I m 0 L s T m + r O h K h Z P + 0 u k U e L 1 q W F O K p 1 Q 2 Y C 5 O H b a q s q d 5 / X B 9 T L O d y H E j u m g c i s g J / K 7 q + + r w z + / / s O I 2 k S g P c a g t U B c N g K m n W V C 0 k 1 E a R D s 8 j z b Y I q v f M b l c P C 2 C h h W N j 4 / D / Q e D L A o S A V 0 q p 7 / / O j S 3 t n M 7 i E T Q 1 N L K l x W t q 1 B W p 4 u 4 0 f + L 3 k t X 0 K B l r Y 8 c y O R R F p 8 / 8 u L / n Y R U 3 m 6 y U E i c 2 t o H j q y e g m A Q 0 0 7 c W Y T N 0 S 7 c f y x V v i 2 Q z m T h w V A C A q E w 7 q g h j C B f Q I 2 u S E g X K t s J z j l P p c z P z 0 N z c z P f p 5 l c e 3 v V R Q i I T C Y N I W w X r Y a E R O P / a M g Q C T 6 X o 0 l X T A z 1 + B y K i f q 8 u C D B A i K h 2 Y 5 E f U 9 4 0 N A z K U g n 4 1 z p + + A X P 7 U / W d g M m e h y i x E O + X H H w x Q K d 2 Z q W 3 A b A 4 O O 8 r Q D b 9 W t K E 1 w q H T 1 w s b G R v s e s J j I a a j 6 t 7 y 8 A g E U 8 2 r o e U r v S D i O i J L J J F c C K Y 2 j M r k q j R f D S e + K g s p w u Z x E V R e N V t w O E p V D y u b b i N O v d P B R 3 D D s 9 I 8 r Y W r n V I 5 A 5 w 6 R s D Y X F 7 0 s U G J s 8 6 n y L J z O i y q F 0 r 0 D B 7 q h v r 6 O h e O k d R Q k H h K R 4 0 i z M 9 O 8 1 O j C 0 / i + b N Z k h 6 X 0 T l X z l D M V h M W i o j S P D h Z p P t r + 5 G c / r L g N J C o H b u k K a y U 2 D B + 1 a 7 J q W I 5 z R M / q 6 g j v 7 J x U i m Z R V e F Y p f N o D k w E 2 K l M u 6 u q v l G l e 5 W Y m H g K f X 1 X b T G Z X E A g k W V R L I a R 5 Q 5 o W i o H M i C R i M P F Y c 0 W T 2 n Q + / B 7 U N j u R A e M 7 / 3 w u / h X K m 8 D i c q h X X z w Z P N f X K j I F 1 8 + B H 8 w U m x L + Q N c q v Z 4 f O D 1 U Z v K x 4 5 C O z a 5 h E r v c K O X 5 n k b Q M O S o i t X e O A r u Y 7 j e I 4 r 0 Z I q d u o x B X U + m 5 B K Y R s v E A D L P s e J 2 0 o Y q Y w F f a M e F F S x A M F p I D k T O S 6 K K Z N O g o 5 B Z f J / / f k / 8 d 8 T q k e 7 N C i C 2 i 7 Z r A V f X h p G U d U o U f l J V H 6 u z N H w H k d Q V L B g Q b G w i o K i 4 f 5 8 Y G P 4 U S F J d F a f P Z q B 6 e l p a G t r Y + F Q U E F h 9 M k Y d O x r h / P n L 8 C Z M + + y w K g Q Q U O I 6 E w T S u t o Y G 1 N O M x i o v d c H K b K H o k L B Y V C c t I 8 R 1 D U Z i I x + f B g 8 M E v p R C x H S T l 2 0 H Q j K q d H R H e C Q 3 c G S l N c k r q K v 0 r p o B O W 0 W 1 X T B w x + b 2 F j o I B 1 X k + E Q + d T 4 S 7 / g Y a d 1 E Q c 3 g T m + o y f q T S b h 9 + w 5 0 d n c q 9 8 M b C Y c E w 2 E o 8 V B p n M r l c / N x u D C k Y Z A z F U W k Q q V 5 p W L y Y M P p 5 x / 8 S 8 X v K 7 F 5 o E O N i k P t k P v 3 x 2 B i c h m d i k r p q o z u x S g t p z s u x S J w X K o 0 D e R P K m I n d 3 D m c I Z d a W x s D L q 6 u l B 0 N D 5 P h 3 S a R i 9 E 2 J n I g a h 4 Q W f u U o p H a R + l g B d G v L i k f q Z i X x P d 5 y I K C p Q E r 9 q A 6 h Q N 6 u X / t / 9 4 H 9 P F t V d j F K q D D n G l A p P Y R h w 7 f g D A w s Z 8 O s 5 H e T r a 8 0 6 K w T u s 3 d h X j q D c g Y s H f B 9 3 b F q S c 5 S E c h J q 3 x h w 7 t z n P B 0 y v w f d h w g G g y y q g Y G b u M 7 k / i p d N 9 C t l n j u 9 P N D m B r a f 0 v 9 v a J 4 i i J S r k T t J v o q 3 / 2 H M x A I o p h W f T + J 6 k O 7 / H B M H M o l / v T R Z c h a X m x H B d m p v P 6 A a k / Z Q W 0 o b l O h Y y m X U m 5 l 2 5 S z K I D G B G / 3 Z u D W z d v w 8 s k T q g 1 F x Q c 6 Z R 2 d i S b u n 5 m Z g T g u u 7 u 7 I B Q K o c i S E E u F 4 P G 8 m l y G 0 k c 1 C q J y u 4 l E T n O t n / 3 O e / D i s W K n s b A 9 R F A u c + / u C D w a m g K f X f n z e l X 6 p 6 p + x d B o N g 9 b U C w q P r y p z y i A v 0 x v 6 D H P I 5 G z C x K l g q L 7 N 2 / e g u P H j / F j S v c e z G i w k L B P a + e 2 G l X 5 S E j U x l J t O u V Q G V 7 v 9 / v h g 1 / + j E U l 7 B z t 8 i M R l N s k k 2 n 4 4 x 8 u c 9 X P W 6 j 8 U X v K V 2 h T q f Z U u U s p P R V V R a P C O / K D 0 H N Q X Y H e C R I P O 1 Q y A a F g i E c / L C w s w F C 8 t V D k c M b p 0 X w Y 5 E 7 l 7 a Y 0 / x U q r f / 7 L 3 9 q C 1 p w A + 2 K C G r X + J 9 f f Q R o V S g s T P 1 w 6 a R + S l Q o J C 5 Q O E G a o h 2 7 u H P X B H J w p H 6 F U 7 m C m N i d l K h u P 5 y A w w c 6 I G P k 0 J k 8 7 E a l 5 z a p I o R K 9 Z w 0 j 4 o U X v y 7 B 3 u 6 4 f s / + o 7 9 l w S 3 Q E G N i 6 B 2 k Z H h c b h 8 6 R Y 7 l U r 9 y K 3 s / i l O / R x B 2 a l f i V u 8 1 m 3 A 1 O Q U p n z t J Y L C J a V 3 G L S 8 N u 5 V r k T r b C E V 2 0 3 U e a v c i Y R F s C v 9 4 q e S 4 u 0 S I q g 9 4 l f / 9 W v I W p p y K i q n o 5 h K C x W F 1 A 8 d y t H U q U 5 V 5 a N 2 T q m g 7 k 9 7 I Z N V H b m F P i z b n T j N 4 6 W q E u Y w 9 a P P p T 6 z r 7 5 y E t 5 8 5 z X 1 4 c K u o F 0 Z E k H t J f / 9 n 7 8 G P U t z O 6 B L F U Z T q C K F B 0 V F a u L W l G 1 W J 9 p 1 f k x i W k r T X O g e d i O e s Y i D x E Q i U k t 2 J R R V H t e T U O l M 3 V d e f R n e e F u E t B d o f U M T I q h n w K c f X 4 S h R y P 4 C 6 j U r 1 L 6 R 5 e 5 M V P z 0 N b S A M M x c i U q p S s h K U E V n Y n E R O v o f S Q k a n d 9 / 8 d / j + n i z i 4 9 K m w N E d Q z h p y n 7 / I N u D l w x + 6 0 V d b E N z S s j p o 4 n 0 Q 4 M u 9 V a V 8 u D 0 G f C W n 7 e m 2 O g C j o z N o f / O j v o L V d R P S s 0 P q G R V D P E + Q + s 9 M x d K 8 n M D M 1 C 0 t L K 3 Z q R x O t K F G R i 7 W 2 N U P P o W 4 4 d O Q A R K O b T z U m 7 A 0 o q K c i K E F w C e 2 q C E o Q X E O 7 O i K C E g S 3 Q E F N i q A E w S W 0 f h G U I L i G x 1 4 K g u A C W v 9 j c S h B c A s U 1 J Q I S h B c Q r s m g h I E 1 9 C u P R F B C Y J b o K C m R V C C 4 B J S 5 R M E F 9 G u j 4 p D C Y J b o K B m R F C C 4 B K S 8 g m C i 2 g D 4 l C C 4 B r a w N i s C E o Q X E J S P k F w E R G U I L i I d m N c U j 5 B c A s U 1 J w I S h B c Q g Q l C F u E p r n + 8 4 e / h X f P f g c G 7 9 3 l C U p p X X f P I W l D C c J W W Z y f h 4 V Y D C Z G R 2 H k 4 S D c v n E N R k e G 4 W M U m X Z z I i Y O J Q i u A P D / t J j l X 3 S l a a A A A A A A S U V O R K 5 C Y I I = < / I m a g e > < / T o u r > < / T o u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587DF6-8C4D-4340-BA78-38F29E6F840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8B6E30C-CFEC-4A65-9C3A-49CD5D83637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79A32D2-5F2E-4996-B259-CCEDE1022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6FF50-FACD-44D4-85E7-36C0F78509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Indice</vt:lpstr>
      <vt:lpstr>PUNTOS DE INYECCIÓN</vt:lpstr>
      <vt:lpstr>Servicio</vt:lpstr>
      <vt:lpstr>Base</vt:lpstr>
      <vt:lpstr>Optimización_Scio</vt:lpstr>
      <vt:lpstr>Optimizacion_consumo</vt:lpstr>
      <vt:lpstr>Nuevas_Tec_ME</vt:lpstr>
      <vt:lpstr>Areas_Integrales.</vt:lpstr>
      <vt:lpstr>Optimización_Estructura</vt:lpstr>
      <vt:lpstr>Resumen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GRAMAGLIA, PIA</dc:creator>
  <cp:lastModifiedBy>Bergerat, Juan Gabriel</cp:lastModifiedBy>
  <cp:lastPrinted>2024-04-29T16:03:04Z</cp:lastPrinted>
  <dcterms:created xsi:type="dcterms:W3CDTF">2024-02-26T13:40:36Z</dcterms:created>
  <dcterms:modified xsi:type="dcterms:W3CDTF">2024-04-30T14:08:51Z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2024-02-26T13:50:39Z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1254e466-3455-4426-b6f3-996f6f29a75c</vt:lpwstr>
  </property>
  <property fmtid="{D5CDD505-2E9C-101B-9397-08002B2CF9AE}" pid="8" name="MSIP_Label_b701c5ec-e5b5-40ab-b632-dbf2eb8611fa_ContentBits">
    <vt:lpwstr>3</vt:lpwstr>
  </property>
</Properties>
</file>