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37. YPF. TQ_Pta_Int_ Ttos_Mendoza/"/>
    </mc:Choice>
  </mc:AlternateContent>
  <xr:revisionPtr revIDLastSave="3911" documentId="11_9321297ED2B6891EBB2066B3556D52B432E45E3F" xr6:coauthVersionLast="47" xr6:coauthVersionMax="47" xr10:uidLastSave="{50856A67-78B7-474C-8E70-A55980ECAC67}"/>
  <bookViews>
    <workbookView xWindow="-120" yWindow="-120" windowWidth="24240" windowHeight="13140" firstSheet="1" activeTab="1" xr2:uid="{00000000-000D-0000-FFFF-FFFF00000000}"/>
  </bookViews>
  <sheets>
    <sheet name="LP" sheetId="11" state="hidden" r:id="rId1"/>
    <sheet name="EERR Global" sheetId="14" r:id="rId2"/>
    <sheet name="Scio" sheetId="7" r:id="rId3"/>
    <sheet name="PUNTOS DE INYECCIÓN" sheetId="6" r:id="rId4"/>
    <sheet name="Optimización Batch" sheetId="26" r:id="rId5"/>
    <sheet name="Consumos importantes" sheetId="23" r:id="rId6"/>
    <sheet name="Ptos de Inyección 2" sheetId="21" state="hidden" r:id="rId7"/>
    <sheet name="CR" sheetId="20" state="hidden" r:id="rId8"/>
    <sheet name="Recopilación de PQs" sheetId="9" state="hidden" r:id="rId9"/>
    <sheet name="Hoja4" sheetId="17" state="hidden" r:id="rId10"/>
    <sheet name="EMB" sheetId="18" state="hidden" r:id="rId11"/>
    <sheet name="Hoja2" sheetId="15" state="hidden" r:id="rId12"/>
    <sheet name="Lista PQ Comp" sheetId="10" r:id="rId13"/>
    <sheet name="Lista PQ PECOM" sheetId="12" r:id="rId14"/>
    <sheet name="Personal" sheetId="24" r:id="rId15"/>
    <sheet name="Listas aux" sheetId="13" state="hidden" r:id="rId16"/>
    <sheet name="DBM-RT" sheetId="19" state="hidden" r:id="rId17"/>
    <sheet name="FA" sheetId="8" state="hidden" r:id="rId18"/>
    <sheet name="Hoja3" sheetId="22" state="hidden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___F">#REF!</definedName>
    <definedName name="________________PAG1">#REF!</definedName>
    <definedName name="________________PAG2">#REF!</definedName>
    <definedName name="________________PAG3">#REF!</definedName>
    <definedName name="_______________F">#REF!</definedName>
    <definedName name="_______________PAG1">#REF!</definedName>
    <definedName name="_______________PAG2">#REF!</definedName>
    <definedName name="_______________PAG3">#REF!</definedName>
    <definedName name="______________F">#REF!</definedName>
    <definedName name="______________PAG1">#REF!</definedName>
    <definedName name="______________PAG2">#REF!</definedName>
    <definedName name="______________PAG3">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_r">#REF!</definedName>
    <definedName name="_____F">#REF!</definedName>
    <definedName name="_____PAG1">#REF!</definedName>
    <definedName name="_____PAG2">#REF!</definedName>
    <definedName name="_____PAG3">#REF!</definedName>
    <definedName name="_____r">#REF!</definedName>
    <definedName name="____F">#REF!</definedName>
    <definedName name="____PAG1">#REF!</definedName>
    <definedName name="____PAG2">#REF!</definedName>
    <definedName name="____PAG3">#REF!</definedName>
    <definedName name="____r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F">#REF!</definedName>
    <definedName name="___PAG1">#REF!</definedName>
    <definedName name="___PAG2">#REF!</definedName>
    <definedName name="___PAG3">#REF!</definedName>
    <definedName name="___r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F">#REF!</definedName>
    <definedName name="__PAG1">#REF!</definedName>
    <definedName name="__PAG2">#REF!</definedName>
    <definedName name="__PAG3">#REF!</definedName>
    <definedName name="__r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011_01_BASE_INTEGRADA">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">#REF!</definedName>
    <definedName name="_FC">#REF!</definedName>
    <definedName name="_Fill" hidden="1">#REF!</definedName>
    <definedName name="_xlnm._FilterDatabase" localSheetId="7" hidden="1">CR!$C$2:$F$40</definedName>
    <definedName name="_xlnm._FilterDatabase" localSheetId="16" hidden="1">'DBM-RT'!$I$1:$J$34</definedName>
    <definedName name="_xlnm._FilterDatabase" localSheetId="12" hidden="1">'Lista PQ Comp'!$B$2:$F$76</definedName>
    <definedName name="_xlnm._FilterDatabase" localSheetId="13" hidden="1">'Lista PQ PECOM'!$B$2:$O$285</definedName>
    <definedName name="_xlnm._FilterDatabase" localSheetId="0" hidden="1">LP!$A$2:$I$34</definedName>
    <definedName name="_xlnm._FilterDatabase" localSheetId="6" hidden="1">'Ptos de Inyección 2'!$A$1:$S$1</definedName>
    <definedName name="_xlnm._FilterDatabase" localSheetId="8" hidden="1">'Recopilación de PQs'!$A$3:$F$193</definedName>
    <definedName name="_GOR2">#REF!</definedName>
    <definedName name="_Key1" hidden="1">#REF!</definedName>
    <definedName name="_Key2" hidden="1">#REF!</definedName>
    <definedName name="_Lab1">[4]MiniDB!$D$69</definedName>
    <definedName name="_Lab2">[4]MiniDB!$D$70</definedName>
    <definedName name="_Lab3">[4]MiniDB!$D$71</definedName>
    <definedName name="_Lab4">[4]MiniDB!$D$72</definedName>
    <definedName name="_Lab5">[4]MiniDB!$D$73</definedName>
    <definedName name="_MACRO">#N/A</definedName>
    <definedName name="_MSG2">#REF!</definedName>
    <definedName name="_MTR1">#REF!</definedName>
    <definedName name="_Oil1">[4]MiniDB!$D$22</definedName>
    <definedName name="_Oil2">[4]MiniDB!$D$23</definedName>
    <definedName name="_Oil3">[4]MiniDB!$D$24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'[5]PC97 98'!$A$7</definedName>
    <definedName name="_PCO1">#REF!</definedName>
    <definedName name="_PCO2">#REF!</definedName>
    <definedName name="_PCO3">#REF!</definedName>
    <definedName name="_PCO4">#REF!</definedName>
    <definedName name="_Pdb1">[4]MiniDB!$D$11</definedName>
    <definedName name="_Pdb2">[4]MiniDB!$D$8</definedName>
    <definedName name="_Pdb3">[4]MiniDB!$D$3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">#REF!</definedName>
    <definedName name="_RC5">#REF!</definedName>
    <definedName name="_Regression_Int" hidden="1">1</definedName>
    <definedName name="_Rgo1">[4]MiniDB!$D$52</definedName>
    <definedName name="_Rgo2">[4]MiniDB!$D$53</definedName>
    <definedName name="_Rgo3">[4]MiniDB!$D$54</definedName>
    <definedName name="_Rgo4">[4]MiniDB!$D$55</definedName>
    <definedName name="_Sort" hidden="1">#REF!</definedName>
    <definedName name="_Tdb1">[4]MiniDB!$D$28</definedName>
    <definedName name="_Tdb2">[4]MiniDB!$D$29</definedName>
    <definedName name="_Tdb3">[4]MiniDB!$D$30</definedName>
    <definedName name="_TP">#REF!</definedName>
    <definedName name="_TPF">#REF!</definedName>
    <definedName name="_WO2006">[6]InfRep.11_2003!#REF!</definedName>
    <definedName name="_WTI1">#REF!</definedName>
    <definedName name="_WTI2">#REF!</definedName>
    <definedName name="_WTI3">#REF!</definedName>
    <definedName name="_WTI4">#REF!</definedName>
    <definedName name="_x002">'[7]500'!$A$1:$N$60</definedName>
    <definedName name="_X01">'[7]500'!$A$1:$N$60</definedName>
    <definedName name="_xlcn.WorksheetConnection_Tabla11" hidden="1">Tabla1[]</definedName>
    <definedName name="A">#REF!</definedName>
    <definedName name="A_IMPRESION_IM">#REF!</definedName>
    <definedName name="A_impresión_IM">#REF!</definedName>
    <definedName name="A_IMPRESIÚN_IM">#REF!</definedName>
    <definedName name="A_pozo">[4]MiniDB!$D$39</definedName>
    <definedName name="aa" hidden="1">#REF!</definedName>
    <definedName name="aaaa" hidden="1">#REF!</definedName>
    <definedName name="AbrirImprimir">[8]!AbrirImprimir</definedName>
    <definedName name="ACT">#REF!</definedName>
    <definedName name="Actual">#REF!</definedName>
    <definedName name="Adic">[9]CS!$A$31:$A$38</definedName>
    <definedName name="ADIC_CCT">[10]BD_ADICIONALES.PETROLERO!$A$8:$A$14</definedName>
    <definedName name="ADIC_IMPORTE">[10]BD_ADICIONALES.PETROLERO!$BE$8:$FL$14</definedName>
    <definedName name="Adic_Intern">#REF!</definedName>
    <definedName name="ADIC_ITEM">[10]BD_ADICIONALES.PETROLERO!$BE$6:$FL$6</definedName>
    <definedName name="ADIC_MES">[10]BD_ADICIONALES.PETROLERO!$BE$7:$FL$7</definedName>
    <definedName name="ADIC_PROVINCIA">[11]BD_ADICIONALES!$B$8:$B$16</definedName>
    <definedName name="Administración">#REF!</definedName>
    <definedName name="Afe_Buscado">[12]Cotizaciones!#REF!</definedName>
    <definedName name="Agua">#REF!</definedName>
    <definedName name="AGUA.INY">#REF!</definedName>
    <definedName name="AGUA_ACTUAL_YAC11">'[13]producción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ORT">#N/A</definedName>
    <definedName name="Amperaje">#REF!</definedName>
    <definedName name="Analisis">#REF!</definedName>
    <definedName name="Analisis_Final">#REF!</definedName>
    <definedName name="anioIni">[14]TABLERO!$C$6</definedName>
    <definedName name="anlisis">#REF!</definedName>
    <definedName name="ANSW">#REF!</definedName>
    <definedName name="AOF">[4]MiniDB!$D$43</definedName>
    <definedName name="API">#REF!</definedName>
    <definedName name="APIDB">[15]API!$A$2:$M$102</definedName>
    <definedName name="aqerqwer" hidden="1">#REF!</definedName>
    <definedName name="_xlnm.Print_Area" localSheetId="12">'Lista PQ Comp'!$C$2:$F$76</definedName>
    <definedName name="areaniv">#REF!</definedName>
    <definedName name="ary">#REF!</definedName>
    <definedName name="asd">#REF!</definedName>
    <definedName name="asdf">#REF!</definedName>
    <definedName name="asdfas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tención">#REF!</definedName>
    <definedName name="B">#REF!</definedName>
    <definedName name="B_pozo">[4]MiniDB!$D$40</definedName>
    <definedName name="B4450.">#REF!</definedName>
    <definedName name="Bacterias">'[16]Ultima Medicion'!$V$1:$W$5</definedName>
    <definedName name="BAJADAS">#REF!</definedName>
    <definedName name="BAKE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se2">[17]Dic2001!$A$12:$I$112</definedName>
    <definedName name="Base6">#REF!</definedName>
    <definedName name="Base7">#REF!</definedName>
    <definedName name="BaseDatos">#REF!</definedName>
    <definedName name="_xlnm.Database">#REF!</definedName>
    <definedName name="BaseGastos">#REF!</definedName>
    <definedName name="bb">#REF!</definedName>
    <definedName name="bbaINY">'[16]Impulsion Bomba Inyectora'!$A$4:$U$231</definedName>
    <definedName name="Bbl">[18]Tablas!$I$4</definedName>
    <definedName name="BHP">#REF!</definedName>
    <definedName name="BHT">#REF!</definedName>
    <definedName name="bipp">[19]SPLITS!#REF!</definedName>
    <definedName name="BOLIVARES">#REF!</definedName>
    <definedName name="Bolívares">#REF!</definedName>
    <definedName name="Bolívares_MRIL">#REF!</definedName>
    <definedName name="BOMBAS">#N/A</definedName>
    <definedName name="Bono">[17]Dic2001!$F$12:$F$112</definedName>
    <definedName name="BorrarHoja">[8]!BorrarHoja</definedName>
    <definedName name="BorrarProducc">[20]Production!$C$6:$L$306</definedName>
    <definedName name="brantes">[21]Sheet1!#REF!</definedName>
    <definedName name="brdesp">[21]Sheet1!#REF!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[4]MiniDB!$D$41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'[22]Coef.'!$J$112:$J$115</definedName>
    <definedName name="CANO">#REF!</definedName>
    <definedName name="Cant_CV">#REF!</definedName>
    <definedName name="Cant_turnos">#REF!</definedName>
    <definedName name="CANTESP">#REF!</definedName>
    <definedName name="CARGAR">#REF!</definedName>
    <definedName name="Cargo">#REF!</definedName>
    <definedName name="Carrera">#REF!</definedName>
    <definedName name="cash">#REF!</definedName>
    <definedName name="Categoria">[23]Hoja3!$A$2:$A$9</definedName>
    <definedName name="Catepp">[9]GdP!$F$5:$K$5</definedName>
    <definedName name="Catot">[9]GdP!$F$61:$K$61</definedName>
    <definedName name="CBIOBOMBAS">'[24]CAMBIO DE BOMBA'!$A$1:$J$59</definedName>
    <definedName name="CBIOBOMBASPERDIDA">'[24]CAMBIO DE BOMBA'!$A$136:$J$199</definedName>
    <definedName name="CBIOBOMBASTOTAL">'[24]CAMBIO DE BOMBA'!$A$66:$J$129</definedName>
    <definedName name="cc">#REF!</definedName>
    <definedName name="ccc">#REF!</definedName>
    <definedName name="CCT_1">#REF!</definedName>
    <definedName name="CCT_2">#REF!</definedName>
    <definedName name="Ce">#REF!</definedName>
    <definedName name="Ce35A">[25]Pulling!$C$24</definedName>
    <definedName name="CeCos">[26]CeCos!$D$2:$D$1842</definedName>
    <definedName name="Celdasaborrar">[27]Planilla!$B$9:$C$33,[27]Planilla!$BG$8:$BM$33</definedName>
    <definedName name="CENTENARIO">#REF!</definedName>
    <definedName name="CF">#REF!</definedName>
    <definedName name="cftr">'[28]500'!$A$1:$N$61</definedName>
    <definedName name="CH_DATE">#REF!</definedName>
    <definedName name="CH_PAGE">#REF!</definedName>
    <definedName name="chapa">#REF!</definedName>
    <definedName name="CHECK">#REF!</definedName>
    <definedName name="cia">#REF!</definedName>
    <definedName name="CINCO">"Lista desplegable 1"</definedName>
    <definedName name="Ciudad">#REF!</definedName>
    <definedName name="Clor1">[4]MiniDB!$D$21</definedName>
    <definedName name="Clor2">[4]MiniDB!$D$20</definedName>
    <definedName name="Clor3">[4]MiniDB!$D$19</definedName>
    <definedName name="cmax">#REF!</definedName>
    <definedName name="cmin">#REF!</definedName>
    <definedName name="CNT">#REF!</definedName>
    <definedName name="CNTR">#REF!</definedName>
    <definedName name="Co">#REF!</definedName>
    <definedName name="cober1">[29]Hoja1!$F$3:$F$6</definedName>
    <definedName name="Cobertura">[30]Cobertura!$K$12:$K$13</definedName>
    <definedName name="code">[15]Data!$I$13</definedName>
    <definedName name="coef">'[31]COEF. C'!$A$5:$B$104</definedName>
    <definedName name="Cola_camisa">'[22]Coef.'!$J$117:$J$122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[20]Production!$P$4</definedName>
    <definedName name="cond">[15]Data!$J$13</definedName>
    <definedName name="CONT\Y">[1]Sheet6!#REF!</definedName>
    <definedName name="Contacto">#REF!</definedName>
    <definedName name="CONTADOR">[1]Sheet6!#REF!</definedName>
    <definedName name="continua">[0]!continua</definedName>
    <definedName name="controasist">[32]Hoja1!$H$1:$H$4</definedName>
    <definedName name="Control">#REF!</definedName>
    <definedName name="CONTROLADOR">[1]Sheet6!#REF!</definedName>
    <definedName name="conv1">[15]Data!$AF$3</definedName>
    <definedName name="conv2">[15]Data!$AF$4</definedName>
    <definedName name="conv3">[15]Data!$AF$5</definedName>
    <definedName name="Conyuge">#REF!</definedName>
    <definedName name="Conyuge1">#REF!</definedName>
    <definedName name="CORROSION">#N/A</definedName>
    <definedName name="costos_diectos">'[33]Cuadro de Resultados'!#REF!</definedName>
    <definedName name="COTA">#REF!</definedName>
    <definedName name="Coti">#REF!</definedName>
    <definedName name="Coti_01">[34]Tablas!$D$4</definedName>
    <definedName name="Coti_02">[34]Tablas!$D$5</definedName>
    <definedName name="Coti_03">[34]Tablas!$D$6</definedName>
    <definedName name="Coti_04">[34]Tablas!$D$7</definedName>
    <definedName name="Coti_05">[34]Tablas!$D$8</definedName>
    <definedName name="Coti_06">[34]Tablas!$D$9</definedName>
    <definedName name="Coti_07">[34]Tablas!$D$10</definedName>
    <definedName name="Coti_08">[34]Tablas!$D$11</definedName>
    <definedName name="Coti_09">[34]Tablas!$D$12</definedName>
    <definedName name="Coti_10">[34]Tablas!$D$13</definedName>
    <definedName name="Coti_11">[34]Tablas!$D$14</definedName>
    <definedName name="Coti_12">[34]Tablas!$D$15</definedName>
    <definedName name="cotiz">'[27]WO 1'!$Q$53</definedName>
    <definedName name="CP">#REF!</definedName>
    <definedName name="CPG">#REF!</definedName>
    <definedName name="CPL">#REF!</definedName>
    <definedName name="Criterio">#REF!</definedName>
    <definedName name="CS">#REF!</definedName>
    <definedName name="CSUB2">#REF!</definedName>
    <definedName name="CUAR">[1]Sheet6!#REF!</definedName>
    <definedName name="CUAR2">[1]Sheet5!#REF!</definedName>
    <definedName name="Cuartil1">[4]MiniDB!$D$46</definedName>
    <definedName name="Cuartil2">[4]MiniDB!$D$47</definedName>
    <definedName name="Cuartil3">[4]MiniDB!$D$48</definedName>
    <definedName name="Cuenta">#REF!</definedName>
    <definedName name="Curvaprog">#REF!</definedName>
    <definedName name="CUST">#REF!</definedName>
    <definedName name="D">#REF!</definedName>
    <definedName name="D_pozo">[4]MiniDB!$D$42</definedName>
    <definedName name="DATA_PRES.DIN">#REF!</definedName>
    <definedName name="DATA_PRES_DIN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E">#REF!</definedName>
    <definedName name="DATE0">#REF!</definedName>
    <definedName name="datos">[35]RUBROS!$A$2:$B$562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ddd">#REF!</definedName>
    <definedName name="De">#REF!</definedName>
    <definedName name="Ded_Esp">#REF!</definedName>
    <definedName name="Ded_Esp1">#REF!</definedName>
    <definedName name="Deducciones1">#REF!</definedName>
    <definedName name="Deducciones2">#REF!</definedName>
    <definedName name="Desarrollo">#REF!</definedName>
    <definedName name="Desc_Serv1">#REF!</definedName>
    <definedName name="Desc_Serv2">#REF!</definedName>
    <definedName name="Desc_Serv3">#REF!</definedName>
    <definedName name="Desc_Serv4">#REF!</definedName>
    <definedName name="Desc_Serv5">#REF!</definedName>
    <definedName name="Descuento_Bolívares">#REF!</definedName>
    <definedName name="Descuento_Dólares">#REF!</definedName>
    <definedName name="DESENRVBBEO">'[24]PESCA DE V-B'!$A$69:$J$133</definedName>
    <definedName name="det">#REF!</definedName>
    <definedName name="dete">#REF!</definedName>
    <definedName name="dhsl">#REF!</definedName>
    <definedName name="diagrama">#REF!</definedName>
    <definedName name="diam">[15]Data!$E$7</definedName>
    <definedName name="Días_a_cubrir">#REF!</definedName>
    <definedName name="Días_descanso_titular">#REF!</definedName>
    <definedName name="Días_trabajdos_titular">#REF!</definedName>
    <definedName name="DIC">'[36]Informe global'!$A$6:$AA$107</definedName>
    <definedName name="DIFF">#REF!</definedName>
    <definedName name="Dirección">#REF!</definedName>
    <definedName name="dlev">[15]Data!$D$11</definedName>
    <definedName name="Do">#REF!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[15]Data!$H$7</definedName>
    <definedName name="DR_">#REF!</definedName>
    <definedName name="DR_1">#REF!</definedName>
    <definedName name="drf">#REF!</definedName>
    <definedName name="dro">[15]Data!$D$17</definedName>
    <definedName name="drw">[15]Data!$D$19</definedName>
    <definedName name="DTOMAT8">#N/A</definedName>
    <definedName name="DTORMAT">#N/A</definedName>
    <definedName name="DTORSER">#N/A</definedName>
    <definedName name="DTOSER8">#N/A</definedName>
    <definedName name="dyyi">#REF!</definedName>
    <definedName name="E">#REF!</definedName>
    <definedName name="EC_ANtes">#REF!</definedName>
    <definedName name="ec_despues">#REF!</definedName>
    <definedName name="ecant">[21]Sheet1!#REF!</definedName>
    <definedName name="ecdesp">[21]Sheet1!#REF!</definedName>
    <definedName name="EDIT2">#REF!</definedName>
    <definedName name="ee">#REF!</definedName>
    <definedName name="eeeeeee">#REF!</definedName>
    <definedName name="eeerr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jecucion">#REF!</definedName>
    <definedName name="EL__PORVENIR">#REF!</definedName>
    <definedName name="ELAPS">#REF!</definedName>
    <definedName name="Empresa">[37]Hoja1!$B$55:$B$56</definedName>
    <definedName name="EMPRESA_DEL_GRUPO">#REF!</definedName>
    <definedName name="END">[0]!END</definedName>
    <definedName name="entAPI">#REF!</definedName>
    <definedName name="entBAF">'[16]Entrada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cala">#REF!</definedName>
    <definedName name="Escala2">#REF!</definedName>
    <definedName name="ESPA">#REF!</definedName>
    <definedName name="Est">[9]GE!$I$5:$I$36</definedName>
    <definedName name="et">#REF!</definedName>
    <definedName name="ETAPA">[38]MODELO!$D$7</definedName>
    <definedName name="EVI">#REF!</definedName>
    <definedName name="ex_despues">#REF!</definedName>
    <definedName name="exdesp">[21]Sheet1!#REF!</definedName>
    <definedName name="fab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x">#REF!</definedName>
    <definedName name="FB">#REF!</definedName>
    <definedName name="FC.DURACION">'[10]FUERA DE CONVENIO'!#REF!</definedName>
    <definedName name="FC.MES">'[10]FUERA DE CONVENIO'!$D$8</definedName>
    <definedName name="Fd">[39]ESPESOR!$C$15</definedName>
    <definedName name="Fecha">#REF!</definedName>
    <definedName name="Fecha_Antes">#REF!</definedName>
    <definedName name="Fecha_Cierre">'[12]Datos Generales'!$C$3</definedName>
    <definedName name="Fecha_despues">#REF!</definedName>
    <definedName name="Fecha1">[4]MiniDB!$D$10</definedName>
    <definedName name="Fecha2">[4]MiniDB!$D$7</definedName>
    <definedName name="Fecha3">[4]MiniDB!$D$2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[21]Sheet1!#REF!</definedName>
    <definedName name="fechdesp">[21]Sheet1!#REF!</definedName>
    <definedName name="ff">#REF!</definedName>
    <definedName name="FG">#REF!</definedName>
    <definedName name="FIEL">#REF!</definedName>
    <definedName name="FIL">#REF!</definedName>
    <definedName name="FixedC">#REF!</definedName>
    <definedName name="FL_ID">[4]MiniDB!$D$36</definedName>
    <definedName name="FL_length">[4]MiniDB!$D$35</definedName>
    <definedName name="Fluido">#REF!</definedName>
    <definedName name="Fono">#REF!</definedName>
    <definedName name="Ford4000">#REF!</definedName>
    <definedName name="FORM">#REF!</definedName>
    <definedName name="FORMAC">#REF!</definedName>
    <definedName name="Format">'[40]Base General'!#REF!</definedName>
    <definedName name="FPDe">[15]Data!$D$13</definedName>
    <definedName name="FPV">#REF!</definedName>
    <definedName name="Frec_1">[4]MiniDB!$D$57</definedName>
    <definedName name="Frec_2">[4]MiniDB!$D$58</definedName>
    <definedName name="Frec_3">[4]MiniDB!$D$59</definedName>
    <definedName name="Frec_4">[4]MiniDB!$D$60</definedName>
    <definedName name="Frec_5">[4]MiniDB!$D$61</definedName>
    <definedName name="Frec_6">[4]MiniDB!$D$62</definedName>
    <definedName name="FS">#REF!</definedName>
    <definedName name="FSDFSD">#N/A</definedName>
    <definedName name="Ft">[39]ESPESOR!$C$16</definedName>
    <definedName name="FTF">#REF!</definedName>
    <definedName name="FU">#REF!</definedName>
    <definedName name="fv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mma">#REF!</definedName>
    <definedName name="Gan_no_Imp">#REF!</definedName>
    <definedName name="Gan_no_imp1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[21]Sheet1!#REF!</definedName>
    <definedName name="gasdesp">[21]Sheet1!#REF!</definedName>
    <definedName name="GassepModelo">[41]DataCombos2!$B$6:$B$88</definedName>
    <definedName name="GAST">#REF!</definedName>
    <definedName name="GC3500_PRICES">'[42]MASTER TABLE'!$I$547:$I$564</definedName>
    <definedName name="GDEP">#REF!</definedName>
    <definedName name="GENERAL">#N/A</definedName>
    <definedName name="GETDAT">#REF!</definedName>
    <definedName name="gf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[21]Sheet1!#REF!</definedName>
    <definedName name="GPM">#REF!</definedName>
    <definedName name="_xlnm.Recorder">#REF!</definedName>
    <definedName name="GRABAR">#REF!</definedName>
    <definedName name="GrabarCambios">[8]!GrabarCambios</definedName>
    <definedName name="GRABARDIAS">[1]Sheet6!#REF!</definedName>
    <definedName name="grade">[15]Data!$K$13</definedName>
    <definedName name="Guardias_por_turno">#REF!</definedName>
    <definedName name="h">#REF!</definedName>
    <definedName name="H2O">#REF!</definedName>
    <definedName name="hdp">[43]WTPO0197!#REF!</definedName>
    <definedName name="HeatValue">#REF!</definedName>
    <definedName name="HERRA">#REF!</definedName>
    <definedName name="herramientas">[44]Equipos!#REF!</definedName>
    <definedName name="hh">#REF!</definedName>
    <definedName name="hi">#REF!</definedName>
    <definedName name="Hijo1">#REF!</definedName>
    <definedName name="Hijos">#REF!</definedName>
    <definedName name="hoja2">#REF!</definedName>
    <definedName name="hoja3">#REF!</definedName>
    <definedName name="hoja4">#REF!</definedName>
    <definedName name="hoja5">'[16]Salida Tk Bafle'!$A$7:$P$500</definedName>
    <definedName name="hoja6">'[16]Impulsion Bomba Inyectora'!$A$4:$U$502</definedName>
    <definedName name="Horas_por_turno">#REF!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">#REF!</definedName>
    <definedName name="IB">#REF!</definedName>
    <definedName name="iff">#REF!</definedName>
    <definedName name="ii">#REF!</definedName>
    <definedName name="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mp_1">#REF!</definedName>
    <definedName name="Imp_2">#REF!</definedName>
    <definedName name="Impuestos">#REF!</definedName>
    <definedName name="imputa">'[45]Canon Taller '!$I$15:$J$19</definedName>
    <definedName name="Income">#REF!</definedName>
    <definedName name="Indices">[46]Validaciones!$B$79:$B$83</definedName>
    <definedName name="InfoGlob">'[47]Informe global'!$A$6:$AA$90</definedName>
    <definedName name="INI">#REF!</definedName>
    <definedName name="INICIAL">[1]Sheet5!#REF!</definedName>
    <definedName name="inicio">#REF!</definedName>
    <definedName name="InjectionVC">[20]Datos!$F$66</definedName>
    <definedName name="Insumos_Directo_Indirecto">[48]Validaciones!$B$61:$B$63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">#REF!</definedName>
    <definedName name="IVA_AÑO">[49]IVA!$C$6:$G$6</definedName>
    <definedName name="IVA_IMPORTE">[49]IVA!$C$7:$G$90</definedName>
    <definedName name="IVA_JURISDICCION">[49]IVA!$B$7:$B$90</definedName>
    <definedName name="j">#REF!</definedName>
    <definedName name="jj">#REF!</definedName>
    <definedName name="JJJF">'[7]PROD DIA Y MES'!$A$1:$P$55</definedName>
    <definedName name="k">#REF!</definedName>
    <definedName name="KFAC">#REF!</definedName>
    <definedName name="kk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m_inf">[4]MiniDB!$D$51</definedName>
    <definedName name="Lim_sup">[4]MiniDB!$D$56</definedName>
    <definedName name="LIN">#REF!</definedName>
    <definedName name="ListaActividades">[50]Datos!$G$6:$G$29</definedName>
    <definedName name="ListaCombustibles">#REF!</definedName>
    <definedName name="ListaModelos">'[51]Controles procesos'!$B$29:$B$37</definedName>
    <definedName name="ListaNeumaticos">#REF!</definedName>
    <definedName name="ListaSueldos">#REF!</definedName>
    <definedName name="ListaTiemposUnidades">[50]Datos!$K$6:$K$10</definedName>
    <definedName name="ll">#REF!</definedName>
    <definedName name="LOC">#REF!</definedName>
    <definedName name="LTW_Seguimiento_Laboratorio">#REF!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8m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acro1">[0]!Macro1</definedName>
    <definedName name="Macro10">[0]!Macro10</definedName>
    <definedName name="Macro2">[0]!Macro2</definedName>
    <definedName name="Macro20">[0]!Macro20</definedName>
    <definedName name="Macro4">[8]!Macro4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aquina1">[32]Hoja1!$E$1:$E$14</definedName>
    <definedName name="Máquinas">[9]Maq!$A$6:$A$33</definedName>
    <definedName name="mas">#REF!</definedName>
    <definedName name="MATE">'[52]1240-18-P-RI-002'!#REF!</definedName>
    <definedName name="Materiales">[9]Mat!$A$4:$A$305</definedName>
    <definedName name="Maxima">[4]MiniDB!$D$49</definedName>
    <definedName name="MedicinaLaboral">#REF!</definedName>
    <definedName name="Menor">'[45]Sop Dif '!#REF!</definedName>
    <definedName name="menos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in">#REF!</definedName>
    <definedName name="Minima">[4]MiniDB!$D$45</definedName>
    <definedName name="mm">#REF!</definedName>
    <definedName name="mm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odalidad">[32]Hoja1!$F$1:$F$5</definedName>
    <definedName name="Módulo3.Sector2">[8]!Módulo3.Sector2</definedName>
    <definedName name="Módulo4.Sector3">[8]!Módulo4.Sector3</definedName>
    <definedName name="Módulo5.Sector4">[8]!Módulo5.Sector4</definedName>
    <definedName name="Módulo6.Sector5">[8]!Módulo6.Sector5</definedName>
    <definedName name="MOI">#REF!</definedName>
    <definedName name="Moneda">[12]Resumen!$X$2</definedName>
    <definedName name="MONTO">#REF!</definedName>
    <definedName name="Monto_Descuento_Bolívares">#REF!</definedName>
    <definedName name="Monto_Descuento_Dólares">#REF!</definedName>
    <definedName name="Mopre1">#REF!</definedName>
    <definedName name="movimiento">#REF!</definedName>
    <definedName name="MOVPARAFINA">'[24]PERDIDA DE TBG.'!$A$71:$J$132</definedName>
    <definedName name="MOVTBGACIDO">'[24]PERDIDA DE TBG.'!$A$207:$J$268</definedName>
    <definedName name="MOVTBGARENACARB">'[24]PERDIDA DE TBG.'!$A$139:$J$200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U">#REF!</definedName>
    <definedName name="MW">#REF!</definedName>
    <definedName name="n">#REF!</definedName>
    <definedName name="N°CCT">'[11]MO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[21]Sheet1!#REF!</definedName>
    <definedName name="netdesp">[21]Sheet1!#REF!</definedName>
    <definedName name="Neto_Arg">#REF!</definedName>
    <definedName name="Neto_Arg_T">#REF!</definedName>
    <definedName name="Netos_país">'[36]Netos  país'!$A$6:$I$107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OAMORT">[53]Bases!$H$7:$O$60</definedName>
    <definedName name="NOMBRE">#REF!</definedName>
    <definedName name="Normal">[4]MiniDB!$D$44</definedName>
    <definedName name="nro">#REF!</definedName>
    <definedName name="NROW">#REF!</definedName>
    <definedName name="NROWF">#REF!</definedName>
    <definedName name="NTIME">#REF!</definedName>
    <definedName name="NUEDTO.S">#N/A</definedName>
    <definedName name="NUEDTOA">#N/A</definedName>
    <definedName name="NUEDTOP">#N/A</definedName>
    <definedName name="NUEVA">#REF!</definedName>
    <definedName name="ñ">#REF!</definedName>
    <definedName name="o">#REF!</definedName>
    <definedName name="O_Cargas">#REF!</definedName>
    <definedName name="O_Cargas1">#REF!</definedName>
    <definedName name="obs_Antes">#REF!</definedName>
    <definedName name="obs_despues">#REF!</definedName>
    <definedName name="obsant">[21]Sheet1!#REF!</definedName>
    <definedName name="obsdesp">[21]Sheet1!#REF!</definedName>
    <definedName name="Observation">[4]MiniDB!$D$34</definedName>
    <definedName name="OGRA">#REF!</definedName>
    <definedName name="OGRA_C">#REF!</definedName>
    <definedName name="OILMTR">#REF!</definedName>
    <definedName name="OilReserves">[20]Datos!$F$13</definedName>
    <definedName name="OILT">#REF!</definedName>
    <definedName name="OiltransC">#REF!</definedName>
    <definedName name="OPC_ELEG">[1]Sheet5!#REF!</definedName>
    <definedName name="operador">#REF!</definedName>
    <definedName name="Operadores">#REF!</definedName>
    <definedName name="ORDEN">#REF!</definedName>
    <definedName name="ORID">#REF!</definedName>
    <definedName name="Orif3">[4]MiniDB!$D$5</definedName>
    <definedName name="orifa">[21]Sheet1!#REF!</definedName>
    <definedName name="orifd">[21]Sheet1!#REF!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[9]Otros!$A$4:$A$303</definedName>
    <definedName name="Overhead">#REF!</definedName>
    <definedName name="p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.A.">#N/A</definedName>
    <definedName name="pa">#REF!</definedName>
    <definedName name="Página_Principal">#REF!</definedName>
    <definedName name="pat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b_Comp">[4]MiniDB!$D$38</definedName>
    <definedName name="pdepth">[15]Data!$D$9</definedName>
    <definedName name="PE_Obs">[4]MiniDB!$D$37</definedName>
    <definedName name="PEPI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RF">#REF!</definedName>
    <definedName name="Perforador">#REF!</definedName>
    <definedName name="PERICAM">[54]PARAM!$A$3</definedName>
    <definedName name="Personal">[9]MO!$A$3:$A$128</definedName>
    <definedName name="PESOS150">#REF!</definedName>
    <definedName name="pesos600">#REF!</definedName>
    <definedName name="PESOS83">'[55]#¡REF'!$K$28</definedName>
    <definedName name="PESOS85">'[55]RESUMEN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'[16]Pileta Revestida'!$A$7:$P$54</definedName>
    <definedName name="PINCUPLA">'[24]PESCA DE V-B'!$A$135:$J$195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1">[4]MiniDB!$D$15</definedName>
    <definedName name="Plin2">[4]MiniDB!$D$14</definedName>
    <definedName name="Plin3">[4]MiniDB!$D$13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[15]Data!$D$7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rc_T0">[4]MiniDB!$D$63</definedName>
    <definedName name="Porc_T1">[4]MiniDB!$D$64</definedName>
    <definedName name="Porc_T2">[4]MiniDB!$D$65</definedName>
    <definedName name="Porc_T3">[4]MiniDB!$D$66</definedName>
    <definedName name="Porc_T4">[4]MiniDB!$D$67</definedName>
    <definedName name="Porc_T5">[4]MiniDB!$D$68</definedName>
    <definedName name="potencial">#REF!</definedName>
    <definedName name="Pozo">[4]MiniDB!$D$1</definedName>
    <definedName name="Pozos">#REF!</definedName>
    <definedName name="pp">[39]ESPESOR!$C$13</definedName>
    <definedName name="ppp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[20]Datos!$F$74</definedName>
    <definedName name="production">#REF!</definedName>
    <definedName name="prof">#REF!</definedName>
    <definedName name="Proveedores">#REF!</definedName>
    <definedName name="PROVINCIA">'[11]MO - Petrolero Privado'!$E$8</definedName>
    <definedName name="PRTR">#REF!</definedName>
    <definedName name="Psep1">[4]MiniDB!$D$18</definedName>
    <definedName name="Psep2">[4]MiniDB!$D$17</definedName>
    <definedName name="Psep3">[4]MiniDB!$D$16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untos_con_telemetria">#REF!</definedName>
    <definedName name="PZ.1">#REF!</definedName>
    <definedName name="PZ.2">#REF!</definedName>
    <definedName name="PZ.3">#REF!</definedName>
    <definedName name="PZ.4">#REF!</definedName>
    <definedName name="q">#REF!</definedName>
    <definedName name="Qab">[56]Datos!$F$48</definedName>
    <definedName name="Qabg">#REF!</definedName>
    <definedName name="Qabo">#REF!</definedName>
    <definedName name="qfh">#REF!</definedName>
    <definedName name="QG">#REF!</definedName>
    <definedName name="Qgas1">[4]MiniDB!$D$12</definedName>
    <definedName name="Qgas2">[4]MiniDB!$D$9</definedName>
    <definedName name="Qgas3">[4]MiniDB!$D$4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_Social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">[4]MiniDB!$D$50</definedName>
    <definedName name="rango_produccion">#REF!</definedName>
    <definedName name="rango_produccion_total">#REF!</definedName>
    <definedName name="RANGOIMPRESION">#REF!</definedName>
    <definedName name="rara">#REF!</definedName>
    <definedName name="Recover">[57]Macro1!$A$314</definedName>
    <definedName name="RECUP">#REF!</definedName>
    <definedName name="RED">#REF!</definedName>
    <definedName name="Refin">#REF!</definedName>
    <definedName name="region2">[32]Hoja1!$G$1:$G$5</definedName>
    <definedName name="renglon">#REF!</definedName>
    <definedName name="Rep">'[45]Sop Dif '!$K$5</definedName>
    <definedName name="reparacion">#REF!</definedName>
    <definedName name="RES">[54]PARAM!$A$1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TTBGYMOVROTTBG">'[24]PERDIDA DE TBG.'!$A$1:$J$63</definedName>
    <definedName name="ROWS">#REF!</definedName>
    <definedName name="Roygas">#REF!</definedName>
    <definedName name="Royoil">#REF!</definedName>
    <definedName name="rpm">[15]Data!$K$9</definedName>
    <definedName name="rr">[15]Data!$H$9</definedName>
    <definedName name="rrrrrrrrrrrrrr">#REF!</definedName>
    <definedName name="RUT">#REF!</definedName>
    <definedName name="S">#REF!</definedName>
    <definedName name="sal">#REF!</definedName>
    <definedName name="SALABA40">[1]Sheet4!#REF!</definedName>
    <definedName name="salAPI">#REF!</definedName>
    <definedName name="SALARIOS">#REF!</definedName>
    <definedName name="salBAF">'[16]Salida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APBEXdnldView" hidden="1">"BDBYBWNAUJ42UM403UEV7H72C"</definedName>
    <definedName name="SAPBEXsysID" hidden="1">"BP2"</definedName>
    <definedName name="SCI_UTE">'[58]CECO - SCI - SCI PESA'!$A$2:$A$44</definedName>
    <definedName name="SCII">'[59]CECO - SCII'!$A$2:$A$45</definedName>
    <definedName name="SCIO">'[60]CECO - SCIO'!$A$2:$A$4</definedName>
    <definedName name="SDAT">#REF!</definedName>
    <definedName name="Sector">#REF!</definedName>
    <definedName name="Sector1">[8]!Sector1</definedName>
    <definedName name="Sector2">#N/A</definedName>
    <definedName name="SectorTanque1">[8]!SectorTanque1</definedName>
    <definedName name="SEG">[1]Sheet6!#REF!</definedName>
    <definedName name="Segurodeobra">[44]MOI!#REF!</definedName>
    <definedName name="SeguroRanger">#REF!</definedName>
    <definedName name="SELECCION">[1]Sheet5!#REF!</definedName>
    <definedName name="SelloModelo">[61]DataCombos2!$D$6:$D$165</definedName>
    <definedName name="Semanas_por_mes">#REF!</definedName>
    <definedName name="SEPAR">#REF!</definedName>
    <definedName name="SERIE">#REF!</definedName>
    <definedName name="sf">[15]Data!$J$14</definedName>
    <definedName name="SH">[62]InfTerm!#REF!</definedName>
    <definedName name="shdf">#REF!</definedName>
    <definedName name="sino">[32]Hoja1!$D$1:$D$3</definedName>
    <definedName name="SINO2">[63]Hoja1!$K$3:$K$6</definedName>
    <definedName name="sl">[15]Data!$J$5</definedName>
    <definedName name="Sp">[39]ESPESOR!$C$14</definedName>
    <definedName name="spm">[15]Data!$L$5</definedName>
    <definedName name="spmt">[15]Data!$K$5</definedName>
    <definedName name="srdata">[15]Data!$R$3:$U$6</definedName>
    <definedName name="Srink">#REF!</definedName>
    <definedName name="srl">[15]Data!$K$16</definedName>
    <definedName name="sry">#REF!</definedName>
    <definedName name="ss">'[64]Informe Mensual'!#REF!</definedName>
    <definedName name="sss">'[64]Informe Mensual'!#REF!</definedName>
    <definedName name="ssssssss">'[65]Informe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bcuenta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">#REF!</definedName>
    <definedName name="T_Actividad">[48]Validaciones!$B$4:$B$8</definedName>
    <definedName name="T_Gremio">[48]Validaciones!$D$4:$D$38</definedName>
    <definedName name="T_Nro_CCT">[48]Validaciones!$F$4:$F$11</definedName>
    <definedName name="T_Provincia">[48]Validaciones!$B$11:$B$17</definedName>
    <definedName name="T_Relac_con_servic">[48]Validaciones!$B$39:$B$42</definedName>
    <definedName name="T_rubro">[48]Validaciones!$F$19:$F$23</definedName>
    <definedName name="T_sino">[48]Validaciones!$B$28:$B$29</definedName>
    <definedName name="T_Situac_actual">[48]Validaciones!$B$34:$B$35</definedName>
    <definedName name="T_Tipo_neumat">[66]Validaciones!$B$46:$B$47</definedName>
    <definedName name="T_UUNN">[48]Validaciones!$B$23:$B$25</definedName>
    <definedName name="TABLA.FC_IMPORTE">[10]BD_ADICIONALES.FC!$B$7:$J$13</definedName>
    <definedName name="TABLA.FC_ITEM">[10]BD_ADICIONALES.FC!$A$7:$A$13</definedName>
    <definedName name="TABLA.FC_MES">[10]BD_ADICIONALES.FC!$B$6:$J$6</definedName>
    <definedName name="TABLA.UOCRA_ADIC.UOCRA">[10]BD_ESCALAS.UOCRA!$K$127:$K$262</definedName>
    <definedName name="TABLA.UOCRA_ADIC.ZONA">[10]BD_ESCALAS.UOCRA!$F$127:$F$262</definedName>
    <definedName name="TABLA.UOCRA_AYUDA.ALIM">[10]BD_ESCALAS.UOCRA!$I$127:$I$262</definedName>
    <definedName name="TABLA.UOCRA_CAMPAMENTO">[10]BD_ESCALAS.UOCRA!$J$127:$J$262</definedName>
    <definedName name="TABLA.UOCRA_CATEGORIA">[10]BD_ESCALAS.UOCRA!$B$127:$B$262</definedName>
    <definedName name="TABLA.UOCRA_HSVIAJE">[10]BD_ESCALAS.UOCRA!$G$127:$G$262</definedName>
    <definedName name="TABLA.UOCRA_IMPORTE">[10]BD_ESCALAS.UOCRA!$E$127:$E$262</definedName>
    <definedName name="TABLA.UOCRA_MES">[10]BD_ESCALAS.UOCRA!$C$127:$C$262</definedName>
    <definedName name="TABLA.UOCRA_VIANDA">[10]BD_ESCALAS.UOCRA!$H$127:$H$262</definedName>
    <definedName name="TABLA.UOCRA_ZONA">[10]BD_ESCALAS.UOCRA!$D$127:$D$262</definedName>
    <definedName name="TABLA_CATEGORIA">[10]BD_ESCALAS.PETROLERO!$A$10:$A$105</definedName>
    <definedName name="TABLA_CCT">[10]BD_ESCALAS.PETROLERO!$BA$7:$CN$7</definedName>
    <definedName name="TABLA_IMPORTE">[10]BD_ESCALAS.PETROLERO!$BA$10:$CN$105</definedName>
    <definedName name="TABLA_MES">[10]BD_ESCALAS.PETROLERO!$BA$9:$CN$9</definedName>
    <definedName name="TABLA_TURNO">[10]BD_ESCALAS.PETROLERO!$B$10:$B$105</definedName>
    <definedName name="TABLA_ZONA">[10]BD_ESCALAS.PETROLERO!$BA$8:$CN$8</definedName>
    <definedName name="tabladatos">#REF!</definedName>
    <definedName name="TableName">"Dummy"</definedName>
    <definedName name="Tanque2">[8]!Tanque2</definedName>
    <definedName name="Tanque3">[8]!Tanque3</definedName>
    <definedName name="Tanque4">[8]!Tanque4</definedName>
    <definedName name="Tanque5">[8]!Tanque5</definedName>
    <definedName name="Tanque6">[8]!Tanque6</definedName>
    <definedName name="TAREAS">#REF!</definedName>
    <definedName name="tarifa">#REF!</definedName>
    <definedName name="Tb">#REF!</definedName>
    <definedName name="TBG">#N/A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[48]Validaciones!$B$69:$B$73</definedName>
    <definedName name="tipo1">[32]Hoja1!$A$1:$A$5</definedName>
    <definedName name="Tipo3">[4]MiniDB!$D$6</definedName>
    <definedName name="tipocliente">[32]Hoja1!$B$1:$B$4</definedName>
    <definedName name="TIPSA">#N/A</definedName>
    <definedName name="TIT_POZOS_PETROLIFEROS">#REF!</definedName>
    <definedName name="Titulo">#REF!</definedName>
    <definedName name="Título">#REF!</definedName>
    <definedName name="Titulo_1">#REF!</definedName>
    <definedName name="_xlnm.Print_Titles">#N/A</definedName>
    <definedName name="Títulos_a_imprimir_IM">#REF!</definedName>
    <definedName name="t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BBA">'[24]RESUMEN ANUAL'!$A$66:$J$94</definedName>
    <definedName name="TOTALCUERPO">'[24]PESCA DE V-B'!$A$1:$J$63</definedName>
    <definedName name="TOTALFAC">#REF!</definedName>
    <definedName name="TOTALPESC">'[24]RESUMEN ANUAL'!$A$34:$J$62</definedName>
    <definedName name="TOTALPUL">'[24]RESUMEN ANUAL'!$A$1:$J$30</definedName>
    <definedName name="TOTALTBGR">'[24]RESUMEN ANUAL'!$A$98:$J$126</definedName>
    <definedName name="TP">#REF!</definedName>
    <definedName name="tr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iler">#REF!</definedName>
    <definedName name="Trepano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sep1">[4]MiniDB!$D$31</definedName>
    <definedName name="Tsep2">[4]MiniDB!$D$32</definedName>
    <definedName name="Tsep3">[4]MiniDB!$D$33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">#REF!</definedName>
    <definedName name="UF">#REF!</definedName>
    <definedName name="UIB">[15]Data!$H$5</definedName>
    <definedName name="Unid.">'[52]1240-18-P-RI-002'!#REF!</definedName>
    <definedName name="Unidadgor">[67]Datos!$H$50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[10]UOCRA!$D$8</definedName>
    <definedName name="UOCRA.ZONA">[10]UOCRA!$D$9</definedName>
    <definedName name="US">[68]IPC!$H$9</definedName>
    <definedName name="Utilidad">#REF!</definedName>
    <definedName name="UTS">[15]Data!$K$14</definedName>
    <definedName name="uu">[0]!uu</definedName>
    <definedName name="v">#REF!</definedName>
    <definedName name="V0">#REF!</definedName>
    <definedName name="Valor_Final">#REF!</definedName>
    <definedName name="Valor_Serv1">#REF!</definedName>
    <definedName name="Valor_Serv2">#REF!</definedName>
    <definedName name="Valor_Serv3">#REF!</definedName>
    <definedName name="Valor_Serv4">#REF!</definedName>
    <definedName name="Valor_Serv5">#REF!</definedName>
    <definedName name="varios">#REF!</definedName>
    <definedName name="Vehiculos">[9]Veh!$A$6:$A$23</definedName>
    <definedName name="Vehículos">#REF!</definedName>
    <definedName name="VERGUENZA">#REF!</definedName>
    <definedName name="Vestimenta">#REF!</definedName>
    <definedName name="VfluidC">[20]Datos!$F$62</definedName>
    <definedName name="VgasC">#REF!</definedName>
    <definedName name="Viandas">#REF!</definedName>
    <definedName name="VInjecC">[20]Datos!$F$66</definedName>
    <definedName name="VM">#REF!</definedName>
    <definedName name="VnpozosC">[20]Datos!$F$72</definedName>
    <definedName name="VoilC">#REF!</definedName>
    <definedName name="VOLVER">[69]!VOLVER</definedName>
    <definedName name="vp">[15]Data!$H$16</definedName>
    <definedName name="VtasNetas">#REF!</definedName>
    <definedName name="VwatC">[20]Datos!#REF!</definedName>
    <definedName name="VwellC">#REF!</definedName>
    <definedName name="w">#REF!</definedName>
    <definedName name="Water1">[4]MiniDB!$D$25</definedName>
    <definedName name="Water2">[4]MiniDB!$D$26</definedName>
    <definedName name="Water3">[4]MiniDB!$D$27</definedName>
    <definedName name="wc">[15]Data!$D$15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leto260.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UMAT." hidden="1">{#N/A,#N/A,FALSE,"SERIE_150";#N/A,#N/A,FALSE,"SERIE_600 "}</definedName>
    <definedName name="wrn.FORECAST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ayroll.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cinv96." hidden="1">{#N/A,#N/A,TRUE,"DESARROLLO";#N/A,#N/A,TRUE,"MANTENIMIENTO";#N/A,#N/A,TRUE,"MENSUAL";#N/A,#N/A,TRUE,"PORCUENTA";#N/A,#N/A,TRUE,"DETALLE"}</definedName>
    <definedName name="wrn.PEPE.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ull97." hidden="1">{#N/A,#N/A,FALSE,"ENE"}</definedName>
    <definedName name="wrn.pull98." hidden="1">{#N/A,#N/A,FALSE,"ENE"}</definedName>
    <definedName name="wrn.Sale_Local_Q2." hidden="1">{"Sales_Local_Q2",#N/A,FALSE,"Q1_2000"}</definedName>
    <definedName name="wrn.Sale_Local_Q4." hidden="1">{"Sales_Local_Q4",#N/A,FALSE,"Q4_1999"}</definedName>
    <definedName name="WSAL">#REF!</definedName>
    <definedName name="WTI_01">[18]Tablas!$E$4</definedName>
    <definedName name="WTI_02">[18]Tablas!$E$5</definedName>
    <definedName name="WTI_03">[18]Tablas!$E$6</definedName>
    <definedName name="WTI_04">[18]Tablas!$E$7</definedName>
    <definedName name="WTI_05">[18]Tablas!$E$8</definedName>
    <definedName name="WTI_06">[18]Tablas!$E$9</definedName>
    <definedName name="WTI_07">[18]Tablas!$E$10</definedName>
    <definedName name="WTI_08">[18]Tablas!$E$11</definedName>
    <definedName name="WTI_09">[18]Tablas!$E$12</definedName>
    <definedName name="WTI_10">[18]Tablas!$E$13</definedName>
    <definedName name="WTI_11">[18]Tablas!$E$14</definedName>
    <definedName name="WTI_12">[18]Tablas!$E$15</definedName>
    <definedName name="wtrhy">#REF!</definedName>
    <definedName name="ww">#REF!</definedName>
    <definedName name="wwww">#REF!</definedName>
    <definedName name="x">#REF!</definedName>
    <definedName name="xx">[39]ESPESOR!$B$21</definedName>
    <definedName name="xxx">#REF!</definedName>
    <definedName name="xxxx">#REF!</definedName>
    <definedName name="xxxxxxxxxxx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Y">#REF!</definedName>
    <definedName name="Y_2">#REF!</definedName>
    <definedName name="YACI">#REF!</definedName>
    <definedName name="Yacimiento">[37]Hoja1!$B$57:$B$65</definedName>
    <definedName name="yak">#REF!</definedName>
    <definedName name="yar">#REF!</definedName>
    <definedName name="Yes_No">'[22]Coef.'!$J$112:$J$113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[48]Validaciones!$B$51:$B$57</definedName>
  </definedNames>
  <calcPr calcId="191028"/>
  <pivotCaches>
    <pivotCache cacheId="0" r:id="rId9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WorksheetConnection_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" i="14" l="1"/>
  <c r="Q35" i="14"/>
  <c r="Q36" i="14"/>
  <c r="Q33" i="14"/>
  <c r="J4" i="7"/>
  <c r="K4" i="7" s="1"/>
  <c r="J5" i="7"/>
  <c r="K5" i="7" s="1"/>
  <c r="J6" i="7"/>
  <c r="K6" i="7" s="1"/>
  <c r="J7" i="7"/>
  <c r="K7" i="7" s="1"/>
  <c r="J3" i="7"/>
  <c r="K3" i="7" s="1"/>
  <c r="L240" i="26"/>
  <c r="M240" i="26" s="1"/>
  <c r="K240" i="26"/>
  <c r="S90" i="6"/>
  <c r="Q90" i="6"/>
  <c r="S99" i="6"/>
  <c r="S114" i="6" s="1"/>
  <c r="Q99" i="6"/>
  <c r="Q114" i="6" s="1"/>
  <c r="U20" i="6"/>
  <c r="U25" i="6"/>
  <c r="U26" i="6"/>
  <c r="S120" i="6"/>
  <c r="S87" i="6"/>
  <c r="S75" i="6"/>
  <c r="S18" i="6"/>
  <c r="S47" i="6"/>
  <c r="S77" i="6"/>
  <c r="E300" i="26"/>
  <c r="F300" i="26" s="1"/>
  <c r="D300" i="26"/>
  <c r="G300" i="26" s="1"/>
  <c r="S97" i="6"/>
  <c r="Q85" i="6"/>
  <c r="Q80" i="6"/>
  <c r="S39" i="6"/>
  <c r="S37" i="6"/>
  <c r="S65" i="6"/>
  <c r="S64" i="6"/>
  <c r="D68" i="7"/>
  <c r="D67" i="7"/>
  <c r="D66" i="7"/>
  <c r="D65" i="7"/>
  <c r="F8" i="7"/>
  <c r="F9" i="7"/>
  <c r="E9" i="7"/>
  <c r="E8" i="7"/>
  <c r="E62" i="7"/>
  <c r="N240" i="26" l="1"/>
  <c r="F9" i="20"/>
  <c r="E36" i="7" l="1"/>
  <c r="E54" i="7"/>
  <c r="S19" i="23"/>
  <c r="P19" i="23"/>
  <c r="S9" i="23"/>
  <c r="P9" i="23"/>
  <c r="S14" i="23"/>
  <c r="R14" i="23" s="1"/>
  <c r="S15" i="23"/>
  <c r="R15" i="23" s="1"/>
  <c r="S16" i="23"/>
  <c r="R16" i="23" s="1"/>
  <c r="S17" i="23"/>
  <c r="R17" i="23" s="1"/>
  <c r="S18" i="23"/>
  <c r="R18" i="23" s="1"/>
  <c r="R13" i="23"/>
  <c r="S13" i="23"/>
  <c r="R12" i="23"/>
  <c r="O14" i="23"/>
  <c r="O15" i="23"/>
  <c r="O16" i="23"/>
  <c r="O17" i="23"/>
  <c r="O18" i="23"/>
  <c r="O13" i="23"/>
  <c r="P14" i="23"/>
  <c r="P15" i="23"/>
  <c r="P16" i="23"/>
  <c r="P17" i="23"/>
  <c r="P18" i="23"/>
  <c r="P13" i="23"/>
  <c r="O12" i="23"/>
  <c r="R4" i="23"/>
  <c r="R5" i="23"/>
  <c r="R6" i="23"/>
  <c r="R7" i="23"/>
  <c r="R8" i="23"/>
  <c r="R3" i="23"/>
  <c r="S4" i="23"/>
  <c r="S5" i="23"/>
  <c r="S6" i="23"/>
  <c r="S7" i="23"/>
  <c r="S8" i="23"/>
  <c r="S3" i="23"/>
  <c r="R2" i="23"/>
  <c r="O4" i="23"/>
  <c r="O5" i="23"/>
  <c r="O6" i="23"/>
  <c r="O7" i="23"/>
  <c r="O8" i="23"/>
  <c r="O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3" i="23"/>
  <c r="E4" i="23"/>
  <c r="F4" i="23"/>
  <c r="G4" i="23"/>
  <c r="H4" i="23"/>
  <c r="E5" i="23"/>
  <c r="F5" i="23"/>
  <c r="G5" i="23"/>
  <c r="H5" i="23"/>
  <c r="E6" i="23"/>
  <c r="F6" i="23"/>
  <c r="G6" i="23"/>
  <c r="H6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E31" i="23"/>
  <c r="F31" i="23"/>
  <c r="G31" i="23"/>
  <c r="H31" i="23"/>
  <c r="E32" i="23"/>
  <c r="F32" i="23"/>
  <c r="G32" i="23"/>
  <c r="H32" i="23"/>
  <c r="E33" i="23"/>
  <c r="F33" i="23"/>
  <c r="G33" i="23"/>
  <c r="H33" i="23"/>
  <c r="E34" i="23"/>
  <c r="F34" i="23"/>
  <c r="G34" i="23"/>
  <c r="H34" i="23"/>
  <c r="E35" i="23"/>
  <c r="F35" i="23"/>
  <c r="G35" i="23"/>
  <c r="H35" i="23"/>
  <c r="E36" i="23"/>
  <c r="F36" i="23"/>
  <c r="G36" i="23"/>
  <c r="H36" i="23"/>
  <c r="E37" i="23"/>
  <c r="F37" i="23"/>
  <c r="G37" i="23"/>
  <c r="H37" i="23"/>
  <c r="E38" i="23"/>
  <c r="F38" i="23"/>
  <c r="G38" i="23"/>
  <c r="H38" i="23"/>
  <c r="E39" i="23"/>
  <c r="F39" i="23"/>
  <c r="G39" i="23"/>
  <c r="H39" i="23"/>
  <c r="E40" i="23"/>
  <c r="F40" i="23"/>
  <c r="G40" i="23"/>
  <c r="H40" i="23"/>
  <c r="E41" i="23"/>
  <c r="F41" i="23"/>
  <c r="G41" i="23"/>
  <c r="H41" i="23"/>
  <c r="E42" i="23"/>
  <c r="F42" i="23"/>
  <c r="G42" i="23"/>
  <c r="H42" i="23"/>
  <c r="E43" i="23"/>
  <c r="F43" i="23"/>
  <c r="G43" i="23"/>
  <c r="H43" i="23"/>
  <c r="E44" i="23"/>
  <c r="F44" i="23"/>
  <c r="G44" i="23"/>
  <c r="H44" i="23"/>
  <c r="E45" i="23"/>
  <c r="F45" i="23"/>
  <c r="G45" i="23"/>
  <c r="H45" i="23"/>
  <c r="E46" i="23"/>
  <c r="F46" i="23"/>
  <c r="G46" i="23"/>
  <c r="H46" i="23"/>
  <c r="E47" i="23"/>
  <c r="F47" i="23"/>
  <c r="G47" i="23"/>
  <c r="H47" i="23"/>
  <c r="E48" i="23"/>
  <c r="F48" i="23"/>
  <c r="G48" i="23"/>
  <c r="H48" i="23"/>
  <c r="E49" i="23"/>
  <c r="F49" i="23"/>
  <c r="G49" i="23"/>
  <c r="H49" i="23"/>
  <c r="E50" i="23"/>
  <c r="F50" i="23"/>
  <c r="G50" i="23"/>
  <c r="H50" i="23"/>
  <c r="H3" i="23"/>
  <c r="F3" i="23"/>
  <c r="G3" i="23"/>
  <c r="E3" i="23"/>
  <c r="G4" i="7"/>
  <c r="G5" i="7"/>
  <c r="G6" i="7"/>
  <c r="G7" i="7"/>
  <c r="G3" i="7"/>
  <c r="D62" i="7"/>
  <c r="C62" i="7"/>
  <c r="D36" i="7"/>
  <c r="C36" i="7"/>
  <c r="D45" i="7"/>
  <c r="C45" i="7"/>
  <c r="C54" i="7"/>
  <c r="D54" i="7"/>
  <c r="H51" i="23" l="1"/>
  <c r="E51" i="23"/>
  <c r="L49" i="23"/>
  <c r="L47" i="23"/>
  <c r="L45" i="23"/>
  <c r="L43" i="23"/>
  <c r="L41" i="23"/>
  <c r="L39" i="23"/>
  <c r="L37" i="23"/>
  <c r="L35" i="23"/>
  <c r="L33" i="23"/>
  <c r="L31" i="23"/>
  <c r="L29" i="23"/>
  <c r="L27" i="23"/>
  <c r="L25" i="23"/>
  <c r="L23" i="23"/>
  <c r="L21" i="23"/>
  <c r="L19" i="23"/>
  <c r="L17" i="23"/>
  <c r="L15" i="23"/>
  <c r="L13" i="23"/>
  <c r="L11" i="23"/>
  <c r="L9" i="23"/>
  <c r="L7" i="23"/>
  <c r="L5" i="23"/>
  <c r="G51" i="23"/>
  <c r="K11" i="23" s="1"/>
  <c r="K35" i="23"/>
  <c r="K43" i="23"/>
  <c r="K3" i="23"/>
  <c r="K9" i="23"/>
  <c r="K17" i="23"/>
  <c r="K25" i="23"/>
  <c r="K33" i="23"/>
  <c r="K41" i="23"/>
  <c r="K49" i="23"/>
  <c r="K47" i="23"/>
  <c r="K45" i="23"/>
  <c r="K39" i="23"/>
  <c r="K37" i="23"/>
  <c r="K31" i="23"/>
  <c r="K29" i="23"/>
  <c r="K23" i="23"/>
  <c r="K21" i="23"/>
  <c r="K15" i="23"/>
  <c r="K13" i="23"/>
  <c r="K7" i="23"/>
  <c r="K5" i="23"/>
  <c r="I49" i="23"/>
  <c r="I47" i="23"/>
  <c r="I45" i="23"/>
  <c r="I39" i="23"/>
  <c r="I37" i="23"/>
  <c r="I31" i="23"/>
  <c r="I29" i="23"/>
  <c r="I23" i="23"/>
  <c r="I21" i="23"/>
  <c r="I15" i="23"/>
  <c r="I13" i="23"/>
  <c r="I7" i="23"/>
  <c r="I5" i="23"/>
  <c r="L50" i="23"/>
  <c r="L48" i="23"/>
  <c r="L46" i="23"/>
  <c r="L44" i="23"/>
  <c r="L42" i="23"/>
  <c r="L40" i="23"/>
  <c r="L38" i="23"/>
  <c r="L36" i="23"/>
  <c r="L34" i="23"/>
  <c r="L32" i="23"/>
  <c r="L30" i="23"/>
  <c r="L28" i="23"/>
  <c r="L26" i="23"/>
  <c r="L24" i="23"/>
  <c r="L22" i="23"/>
  <c r="L20" i="23"/>
  <c r="L18" i="23"/>
  <c r="L16" i="23"/>
  <c r="L14" i="23"/>
  <c r="L12" i="23"/>
  <c r="L10" i="23"/>
  <c r="L8" i="23"/>
  <c r="L6" i="23"/>
  <c r="L4" i="23"/>
  <c r="K50" i="23"/>
  <c r="K42" i="23"/>
  <c r="K38" i="23"/>
  <c r="K32" i="23"/>
  <c r="K28" i="23"/>
  <c r="K26" i="23"/>
  <c r="K24" i="23"/>
  <c r="K22" i="23"/>
  <c r="K20" i="23"/>
  <c r="K18" i="23"/>
  <c r="K16" i="23"/>
  <c r="K14" i="23"/>
  <c r="K12" i="23"/>
  <c r="K10" i="23"/>
  <c r="K8" i="23"/>
  <c r="K6" i="23"/>
  <c r="K4" i="23"/>
  <c r="K44" i="23"/>
  <c r="K34" i="23"/>
  <c r="I9" i="23"/>
  <c r="I17" i="23"/>
  <c r="I25" i="23"/>
  <c r="I33" i="23"/>
  <c r="I41" i="23"/>
  <c r="I11" i="23"/>
  <c r="I19" i="23"/>
  <c r="I27" i="23"/>
  <c r="I35" i="23"/>
  <c r="I43" i="23"/>
  <c r="K48" i="23"/>
  <c r="K46" i="23"/>
  <c r="K40" i="23"/>
  <c r="K36" i="23"/>
  <c r="K30" i="23"/>
  <c r="I50" i="23"/>
  <c r="I48" i="23"/>
  <c r="I46" i="23"/>
  <c r="I44" i="23"/>
  <c r="I42" i="23"/>
  <c r="I40" i="23"/>
  <c r="I38" i="23"/>
  <c r="I36" i="23"/>
  <c r="I34" i="23"/>
  <c r="I32" i="23"/>
  <c r="I30" i="23"/>
  <c r="I28" i="23"/>
  <c r="I26" i="23"/>
  <c r="I24" i="23"/>
  <c r="I22" i="23"/>
  <c r="I20" i="23"/>
  <c r="I18" i="23"/>
  <c r="I16" i="23"/>
  <c r="I14" i="23"/>
  <c r="I12" i="23"/>
  <c r="I10" i="23"/>
  <c r="I8" i="23"/>
  <c r="I6" i="23"/>
  <c r="I4" i="23"/>
  <c r="P4" i="23" s="1"/>
  <c r="F51" i="23"/>
  <c r="J49" i="23" s="1"/>
  <c r="L3" i="23"/>
  <c r="I3" i="23"/>
  <c r="P8" i="23" l="1"/>
  <c r="K27" i="23"/>
  <c r="P6" i="23"/>
  <c r="P5" i="23"/>
  <c r="P7" i="23"/>
  <c r="P3" i="23"/>
  <c r="K19" i="23"/>
  <c r="J3" i="23"/>
  <c r="J32" i="23"/>
  <c r="J19" i="23"/>
  <c r="J36" i="23"/>
  <c r="J16" i="23"/>
  <c r="J34" i="23"/>
  <c r="J43" i="23"/>
  <c r="J27" i="23"/>
  <c r="J9" i="23"/>
  <c r="J41" i="23"/>
  <c r="J5" i="23"/>
  <c r="J13" i="23"/>
  <c r="J14" i="23"/>
  <c r="J40" i="23"/>
  <c r="J18" i="23"/>
  <c r="J38" i="23"/>
  <c r="J37" i="23"/>
  <c r="J17" i="23"/>
  <c r="J44" i="23"/>
  <c r="J4" i="23"/>
  <c r="J47" i="23"/>
  <c r="J48" i="23"/>
  <c r="J15" i="23"/>
  <c r="J6" i="23"/>
  <c r="J22" i="23"/>
  <c r="J46" i="23"/>
  <c r="J25" i="23"/>
  <c r="J29" i="23"/>
  <c r="J12" i="23"/>
  <c r="J30" i="23"/>
  <c r="J31" i="23"/>
  <c r="J42" i="23"/>
  <c r="J7" i="23"/>
  <c r="J21" i="23"/>
  <c r="J50" i="23"/>
  <c r="J23" i="23"/>
  <c r="J8" i="23"/>
  <c r="J24" i="23"/>
  <c r="J35" i="23"/>
  <c r="J39" i="23"/>
  <c r="J28" i="23"/>
  <c r="J11" i="23"/>
  <c r="J20" i="23"/>
  <c r="J33" i="23"/>
  <c r="J10" i="23"/>
  <c r="J26" i="23"/>
  <c r="J45" i="23"/>
  <c r="F59" i="10" l="1"/>
  <c r="D65" i="6"/>
  <c r="V64" i="6" s="1"/>
  <c r="D66" i="6"/>
  <c r="D64" i="6"/>
  <c r="N94" i="6"/>
  <c r="N95" i="6"/>
  <c r="F14" i="20"/>
  <c r="F15" i="20"/>
  <c r="S110" i="6" s="1"/>
  <c r="N107" i="6"/>
  <c r="N10" i="6"/>
  <c r="N20" i="6"/>
  <c r="N21" i="6"/>
  <c r="N22" i="6"/>
  <c r="N23" i="6"/>
  <c r="N24" i="6"/>
  <c r="N12" i="6"/>
  <c r="N13" i="6"/>
  <c r="N14" i="6"/>
  <c r="N15" i="6"/>
  <c r="N8" i="6"/>
  <c r="S15" i="6"/>
  <c r="F31" i="20"/>
  <c r="F22" i="20"/>
  <c r="S73" i="6" s="1"/>
  <c r="K13" i="18" l="1"/>
  <c r="C37" i="7"/>
  <c r="P213" i="12"/>
  <c r="T65" i="6"/>
  <c r="T66" i="6"/>
  <c r="F6" i="19"/>
  <c r="I13" i="18"/>
  <c r="D14" i="18"/>
  <c r="I14" i="18" s="1"/>
  <c r="D19" i="18"/>
  <c r="D20" i="18"/>
  <c r="D13" i="18"/>
  <c r="D12" i="18"/>
  <c r="D18" i="18"/>
  <c r="D16" i="18"/>
  <c r="I15" i="18" s="1"/>
  <c r="D17" i="18"/>
  <c r="L34" i="19"/>
  <c r="O94" i="6"/>
  <c r="C57" i="7"/>
  <c r="C55" i="7"/>
  <c r="C58" i="7" s="1"/>
  <c r="O6" i="6"/>
  <c r="O107" i="6"/>
  <c r="D122" i="6"/>
  <c r="D123" i="6"/>
  <c r="D121" i="6"/>
  <c r="D104" i="6"/>
  <c r="D103" i="6"/>
  <c r="C48" i="7"/>
  <c r="C46" i="7"/>
  <c r="C49" i="7" s="1"/>
  <c r="D56" i="6"/>
  <c r="D55" i="6"/>
  <c r="D5" i="6"/>
  <c r="D4" i="6"/>
  <c r="D62" i="6"/>
  <c r="D63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61" i="6"/>
  <c r="D6" i="6"/>
  <c r="T6" i="6" s="1"/>
  <c r="U6" i="6" s="1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2" i="6"/>
  <c r="D33" i="6"/>
  <c r="T33" i="6" s="1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9" i="6"/>
  <c r="D60" i="6"/>
  <c r="D93" i="6"/>
  <c r="D94" i="6"/>
  <c r="D95" i="6"/>
  <c r="D96" i="6"/>
  <c r="D97" i="6"/>
  <c r="D98" i="6"/>
  <c r="D99" i="6"/>
  <c r="D100" i="6"/>
  <c r="D101" i="6"/>
  <c r="D102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4" i="6"/>
  <c r="D125" i="6"/>
  <c r="D126" i="6"/>
  <c r="D127" i="6"/>
  <c r="D128" i="6"/>
  <c r="D129" i="6"/>
  <c r="D130" i="6"/>
  <c r="F194" i="9"/>
  <c r="N106" i="6"/>
  <c r="O106" i="6" s="1"/>
  <c r="N33" i="6"/>
  <c r="O33" i="6" s="1"/>
  <c r="K33" i="6"/>
  <c r="C39" i="7"/>
  <c r="K9" i="6"/>
  <c r="S9" i="6"/>
  <c r="S11" i="6"/>
  <c r="S20" i="6"/>
  <c r="S25" i="6"/>
  <c r="S26" i="6"/>
  <c r="S38" i="6"/>
  <c r="S41" i="6"/>
  <c r="S51" i="6"/>
  <c r="S52" i="6"/>
  <c r="S62" i="6"/>
  <c r="S72" i="6"/>
  <c r="S74" i="6"/>
  <c r="S82" i="6"/>
  <c r="S95" i="6"/>
  <c r="S96" i="6"/>
  <c r="S101" i="6"/>
  <c r="S108" i="6"/>
  <c r="S109" i="6"/>
  <c r="S115" i="6"/>
  <c r="S117" i="6"/>
  <c r="S118" i="6"/>
  <c r="S124" i="6"/>
  <c r="S125" i="6"/>
  <c r="S126" i="6"/>
  <c r="S127" i="6"/>
  <c r="S130" i="6"/>
  <c r="F23" i="20"/>
  <c r="S7" i="6" s="1"/>
  <c r="F20" i="20"/>
  <c r="F17" i="20"/>
  <c r="S13" i="6" s="1"/>
  <c r="F18" i="20"/>
  <c r="S14" i="6" s="1"/>
  <c r="F33" i="20"/>
  <c r="F8" i="20"/>
  <c r="S16" i="6" s="1"/>
  <c r="F29" i="20"/>
  <c r="S17" i="6" s="1"/>
  <c r="F12" i="20"/>
  <c r="F28" i="20"/>
  <c r="S46" i="6" s="1"/>
  <c r="F35" i="20"/>
  <c r="F16" i="20"/>
  <c r="F6" i="20"/>
  <c r="S23" i="6" s="1"/>
  <c r="F34" i="20"/>
  <c r="S24" i="6" s="1"/>
  <c r="F39" i="20"/>
  <c r="S88" i="6" s="1"/>
  <c r="F5" i="20"/>
  <c r="S54" i="6" s="1"/>
  <c r="F3" i="20"/>
  <c r="S60" i="6" s="1"/>
  <c r="F10" i="20"/>
  <c r="S61" i="6" s="1"/>
  <c r="F26" i="20"/>
  <c r="S35" i="6" s="1"/>
  <c r="F19" i="20"/>
  <c r="S43" i="6" s="1"/>
  <c r="F30" i="20"/>
  <c r="S84" i="6" s="1"/>
  <c r="F38" i="20"/>
  <c r="S48" i="6" s="1"/>
  <c r="F13" i="20"/>
  <c r="F21" i="20"/>
  <c r="S67" i="6" s="1"/>
  <c r="F40" i="20"/>
  <c r="S71" i="6" s="1"/>
  <c r="F25" i="20"/>
  <c r="F36" i="20"/>
  <c r="F27" i="20"/>
  <c r="S76" i="6" s="1"/>
  <c r="F32" i="20"/>
  <c r="S81" i="6" s="1"/>
  <c r="F37" i="20"/>
  <c r="S86" i="6" s="1"/>
  <c r="F4" i="20"/>
  <c r="S129" i="6" s="1"/>
  <c r="F11" i="20"/>
  <c r="S94" i="6" s="1"/>
  <c r="F7" i="20"/>
  <c r="S5" i="6" s="1"/>
  <c r="E10" i="19"/>
  <c r="G10" i="19" s="1"/>
  <c r="E11" i="19"/>
  <c r="G11" i="19" s="1"/>
  <c r="E9" i="19"/>
  <c r="G9" i="19" s="1"/>
  <c r="P285" i="12" s="1"/>
  <c r="A2" i="19"/>
  <c r="E3" i="19"/>
  <c r="G3" i="19" s="1"/>
  <c r="E4" i="19"/>
  <c r="G4" i="19" s="1"/>
  <c r="E5" i="19"/>
  <c r="G5" i="19" s="1"/>
  <c r="D34" i="18"/>
  <c r="D33" i="18"/>
  <c r="D30" i="18"/>
  <c r="D31" i="18"/>
  <c r="D28" i="18"/>
  <c r="D27" i="18"/>
  <c r="D25" i="18"/>
  <c r="D24" i="18"/>
  <c r="D15" i="18"/>
  <c r="D11" i="18"/>
  <c r="N7" i="6"/>
  <c r="O7" i="6" s="1"/>
  <c r="O8" i="6"/>
  <c r="N9" i="6"/>
  <c r="O9" i="6" s="1"/>
  <c r="O10" i="6"/>
  <c r="N11" i="6"/>
  <c r="O11" i="6" s="1"/>
  <c r="U11" i="6" s="1"/>
  <c r="O13" i="6"/>
  <c r="O14" i="6"/>
  <c r="O15" i="6"/>
  <c r="N16" i="6"/>
  <c r="N17" i="6"/>
  <c r="O17" i="6" s="1"/>
  <c r="N18" i="6"/>
  <c r="O18" i="6" s="1"/>
  <c r="N19" i="6"/>
  <c r="O19" i="6" s="1"/>
  <c r="O21" i="6"/>
  <c r="O22" i="6"/>
  <c r="O24" i="6"/>
  <c r="N25" i="6"/>
  <c r="N26" i="6"/>
  <c r="N27" i="6"/>
  <c r="O27" i="6" s="1"/>
  <c r="N28" i="6"/>
  <c r="O28" i="6" s="1"/>
  <c r="N29" i="6"/>
  <c r="O29" i="6" s="1"/>
  <c r="N34" i="6"/>
  <c r="O34" i="6" s="1"/>
  <c r="N35" i="6"/>
  <c r="O35" i="6" s="1"/>
  <c r="N36" i="6"/>
  <c r="O36" i="6" s="1"/>
  <c r="N37" i="6"/>
  <c r="O37" i="6" s="1"/>
  <c r="N38" i="6"/>
  <c r="O38" i="6" s="1"/>
  <c r="N39" i="6"/>
  <c r="O39" i="6" s="1"/>
  <c r="N40" i="6"/>
  <c r="N41" i="6"/>
  <c r="N42" i="6"/>
  <c r="O42" i="6" s="1"/>
  <c r="N43" i="6"/>
  <c r="O43" i="6" s="1"/>
  <c r="N44" i="6"/>
  <c r="O44" i="6" s="1"/>
  <c r="N45" i="6"/>
  <c r="O45" i="6" s="1"/>
  <c r="N46" i="6"/>
  <c r="O46" i="6" s="1"/>
  <c r="N47" i="6"/>
  <c r="O47" i="6" s="1"/>
  <c r="N48" i="6"/>
  <c r="N49" i="6"/>
  <c r="O49" i="6" s="1"/>
  <c r="N50" i="6"/>
  <c r="N51" i="6"/>
  <c r="N52" i="6"/>
  <c r="N53" i="6"/>
  <c r="O53" i="6" s="1"/>
  <c r="N54" i="6"/>
  <c r="O54" i="6" s="1"/>
  <c r="N60" i="6"/>
  <c r="O60" i="6" s="1"/>
  <c r="N61" i="6"/>
  <c r="O61" i="6" s="1"/>
  <c r="N62" i="6"/>
  <c r="N63" i="6"/>
  <c r="O63" i="6" s="1"/>
  <c r="N64" i="6"/>
  <c r="O64" i="6" s="1"/>
  <c r="N67" i="6"/>
  <c r="N68" i="6"/>
  <c r="O68" i="6" s="1"/>
  <c r="N69" i="6"/>
  <c r="O69" i="6" s="1"/>
  <c r="N70" i="6"/>
  <c r="O70" i="6" s="1"/>
  <c r="N71" i="6"/>
  <c r="O71" i="6" s="1"/>
  <c r="N72" i="6"/>
  <c r="O72" i="6" s="1"/>
  <c r="N73" i="6"/>
  <c r="O73" i="6" s="1"/>
  <c r="N74" i="6"/>
  <c r="O74" i="6" s="1"/>
  <c r="N75" i="6"/>
  <c r="O75" i="6" s="1"/>
  <c r="N76" i="6"/>
  <c r="O76" i="6" s="1"/>
  <c r="N77" i="6"/>
  <c r="O77" i="6" s="1"/>
  <c r="N78" i="6"/>
  <c r="N79" i="6"/>
  <c r="O79" i="6" s="1"/>
  <c r="N80" i="6"/>
  <c r="O80" i="6" s="1"/>
  <c r="N81" i="6"/>
  <c r="O81" i="6" s="1"/>
  <c r="N82" i="6"/>
  <c r="N83" i="6"/>
  <c r="O83" i="6" s="1"/>
  <c r="N84" i="6"/>
  <c r="O84" i="6" s="1"/>
  <c r="N85" i="6"/>
  <c r="O85" i="6" s="1"/>
  <c r="N86" i="6"/>
  <c r="O86" i="6" s="1"/>
  <c r="N87" i="6"/>
  <c r="O87" i="6" s="1"/>
  <c r="N88" i="6"/>
  <c r="O88" i="6" s="1"/>
  <c r="N89" i="6"/>
  <c r="O89" i="6" s="1"/>
  <c r="N90" i="6"/>
  <c r="O90" i="6" s="1"/>
  <c r="N96" i="6"/>
  <c r="O96" i="6" s="1"/>
  <c r="N97" i="6"/>
  <c r="O97" i="6" s="1"/>
  <c r="N98" i="6"/>
  <c r="O98" i="6" s="1"/>
  <c r="N99" i="6"/>
  <c r="O99" i="6" s="1"/>
  <c r="N100" i="6"/>
  <c r="O100" i="6" s="1"/>
  <c r="N101" i="6"/>
  <c r="N102" i="6"/>
  <c r="N108" i="6"/>
  <c r="O108" i="6" s="1"/>
  <c r="N109" i="6"/>
  <c r="O109" i="6" s="1"/>
  <c r="N110" i="6"/>
  <c r="O110" i="6" s="1"/>
  <c r="N111" i="6"/>
  <c r="N112" i="6"/>
  <c r="O112" i="6" s="1"/>
  <c r="N113" i="6"/>
  <c r="O113" i="6" s="1"/>
  <c r="N114" i="6"/>
  <c r="O114" i="6" s="1"/>
  <c r="N115" i="6"/>
  <c r="N116" i="6"/>
  <c r="O116" i="6" s="1"/>
  <c r="N117" i="6"/>
  <c r="N118" i="6"/>
  <c r="N119" i="6"/>
  <c r="O119" i="6" s="1"/>
  <c r="N120" i="6"/>
  <c r="O120" i="6" s="1"/>
  <c r="N125" i="6"/>
  <c r="N126" i="6"/>
  <c r="N127" i="6"/>
  <c r="N128" i="6"/>
  <c r="N129" i="6"/>
  <c r="N5" i="6"/>
  <c r="O5" i="6" s="1"/>
  <c r="K5" i="6"/>
  <c r="K7" i="6"/>
  <c r="K8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60" i="6"/>
  <c r="K61" i="6"/>
  <c r="K62" i="6"/>
  <c r="K63" i="6"/>
  <c r="K64" i="6"/>
  <c r="K67" i="6"/>
  <c r="K69" i="6"/>
  <c r="K70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4" i="6"/>
  <c r="K95" i="6"/>
  <c r="K96" i="6"/>
  <c r="K97" i="6"/>
  <c r="K98" i="6"/>
  <c r="K99" i="6"/>
  <c r="K100" i="6"/>
  <c r="K101" i="6"/>
  <c r="K102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5" i="6"/>
  <c r="K126" i="6"/>
  <c r="K127" i="6"/>
  <c r="K128" i="6"/>
  <c r="K129" i="6"/>
  <c r="K130" i="6"/>
  <c r="R11" i="6"/>
  <c r="R20" i="6"/>
  <c r="R25" i="6"/>
  <c r="R26" i="6"/>
  <c r="R41" i="6"/>
  <c r="R51" i="6"/>
  <c r="R52" i="6"/>
  <c r="R62" i="6"/>
  <c r="R72" i="6"/>
  <c r="R82" i="6"/>
  <c r="R95" i="6"/>
  <c r="R101" i="6"/>
  <c r="R115" i="6"/>
  <c r="R117" i="6"/>
  <c r="R118" i="6"/>
  <c r="R124" i="6"/>
  <c r="R125" i="6"/>
  <c r="R126" i="6"/>
  <c r="R127" i="6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R120" i="6" s="1"/>
  <c r="P24" i="12"/>
  <c r="R54" i="6" s="1"/>
  <c r="P25" i="12"/>
  <c r="P26" i="12"/>
  <c r="P27" i="12"/>
  <c r="P28" i="12"/>
  <c r="P29" i="12"/>
  <c r="R23" i="6" s="1"/>
  <c r="P30" i="12"/>
  <c r="P31" i="12"/>
  <c r="P32" i="12"/>
  <c r="P33" i="12"/>
  <c r="R5" i="6" s="1"/>
  <c r="P34" i="12"/>
  <c r="P35" i="12"/>
  <c r="P36" i="12"/>
  <c r="P37" i="12"/>
  <c r="R16" i="6" s="1"/>
  <c r="P38" i="12"/>
  <c r="P39" i="12"/>
  <c r="P40" i="12"/>
  <c r="P41" i="12"/>
  <c r="P42" i="12"/>
  <c r="P43" i="12"/>
  <c r="P44" i="12"/>
  <c r="P45" i="12"/>
  <c r="P46" i="12"/>
  <c r="P47" i="12"/>
  <c r="R34" i="6" s="1"/>
  <c r="P48" i="12"/>
  <c r="P49" i="12"/>
  <c r="P50" i="12"/>
  <c r="P51" i="12"/>
  <c r="R94" i="6" s="1"/>
  <c r="P52" i="12"/>
  <c r="P53" i="12"/>
  <c r="P54" i="12"/>
  <c r="P55" i="12"/>
  <c r="P56" i="12"/>
  <c r="P57" i="12"/>
  <c r="R47" i="6" s="1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R37" i="6" s="1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R108" i="6" s="1"/>
  <c r="P100" i="12"/>
  <c r="P101" i="12"/>
  <c r="P102" i="12"/>
  <c r="P103" i="12"/>
  <c r="P104" i="12"/>
  <c r="P105" i="12"/>
  <c r="R36" i="6" s="1"/>
  <c r="P106" i="12"/>
  <c r="R42" i="6" s="1"/>
  <c r="P107" i="12"/>
  <c r="P108" i="12"/>
  <c r="P109" i="12"/>
  <c r="P110" i="12"/>
  <c r="R14" i="6" s="1"/>
  <c r="P111" i="12"/>
  <c r="R43" i="6" s="1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R12" i="6" s="1"/>
  <c r="S12" i="6" s="1"/>
  <c r="P125" i="12"/>
  <c r="R67" i="6" s="1"/>
  <c r="P126" i="12"/>
  <c r="P127" i="12"/>
  <c r="P128" i="12"/>
  <c r="P129" i="12"/>
  <c r="P130" i="12"/>
  <c r="P131" i="12"/>
  <c r="P132" i="12"/>
  <c r="P133" i="12"/>
  <c r="P134" i="12"/>
  <c r="R7" i="6" s="1"/>
  <c r="P135" i="12"/>
  <c r="P136" i="12"/>
  <c r="R38" i="6" s="1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R35" i="6" s="1"/>
  <c r="P157" i="12"/>
  <c r="P158" i="12"/>
  <c r="R76" i="6" s="1"/>
  <c r="P159" i="12"/>
  <c r="P160" i="12"/>
  <c r="R19" i="6" s="1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R17" i="6" s="1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R84" i="6" s="1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R98" i="6" s="1"/>
  <c r="P201" i="12"/>
  <c r="P202" i="12"/>
  <c r="P203" i="12"/>
  <c r="P204" i="12"/>
  <c r="P205" i="12"/>
  <c r="P206" i="12"/>
  <c r="P207" i="12"/>
  <c r="P208" i="12"/>
  <c r="P209" i="12"/>
  <c r="P210" i="12"/>
  <c r="P211" i="12"/>
  <c r="R24" i="6" s="1"/>
  <c r="P212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R21" i="6" s="1"/>
  <c r="S21" i="6" s="1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R86" i="6" s="1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R48" i="6" s="1"/>
  <c r="P280" i="12"/>
  <c r="P281" i="12"/>
  <c r="P282" i="12"/>
  <c r="P283" i="12"/>
  <c r="P284" i="12"/>
  <c r="R68" i="6" s="1"/>
  <c r="P3" i="12"/>
  <c r="R29" i="6" s="1"/>
  <c r="R283" i="12"/>
  <c r="R208" i="12"/>
  <c r="E7" i="14" l="1"/>
  <c r="T5" i="6"/>
  <c r="U5" i="6" s="1"/>
  <c r="S80" i="6"/>
  <c r="S85" i="6"/>
  <c r="R85" i="6"/>
  <c r="R80" i="6"/>
  <c r="O103" i="6"/>
  <c r="T42" i="6"/>
  <c r="T34" i="6"/>
  <c r="U34" i="6" s="1"/>
  <c r="T16" i="6"/>
  <c r="U16" i="6" s="1"/>
  <c r="T24" i="6"/>
  <c r="U24" i="6" s="1"/>
  <c r="R15" i="6"/>
  <c r="T15" i="6" s="1"/>
  <c r="U15" i="6" s="1"/>
  <c r="R73" i="6"/>
  <c r="T73" i="6" s="1"/>
  <c r="T47" i="6"/>
  <c r="U47" i="6" s="1"/>
  <c r="T98" i="6"/>
  <c r="T38" i="6"/>
  <c r="U38" i="6" s="1"/>
  <c r="T54" i="6"/>
  <c r="U54" i="6" s="1"/>
  <c r="G58" i="7"/>
  <c r="Q12" i="14" s="1"/>
  <c r="F58" i="7"/>
  <c r="N12" i="14" s="1"/>
  <c r="S119" i="6"/>
  <c r="S36" i="6"/>
  <c r="S66" i="6"/>
  <c r="S79" i="6"/>
  <c r="S40" i="6"/>
  <c r="S111" i="6"/>
  <c r="S45" i="6"/>
  <c r="S70" i="6"/>
  <c r="S34" i="6"/>
  <c r="S113" i="6"/>
  <c r="S112" i="6"/>
  <c r="S53" i="6"/>
  <c r="S22" i="6"/>
  <c r="S98" i="6"/>
  <c r="S78" i="6"/>
  <c r="S69" i="6"/>
  <c r="S44" i="6"/>
  <c r="S29" i="6"/>
  <c r="S68" i="6"/>
  <c r="S28" i="6"/>
  <c r="S19" i="6"/>
  <c r="S8" i="6"/>
  <c r="S128" i="6"/>
  <c r="S50" i="6"/>
  <c r="S42" i="6"/>
  <c r="S27" i="6"/>
  <c r="S116" i="6"/>
  <c r="S107" i="6"/>
  <c r="S83" i="6"/>
  <c r="S49" i="6"/>
  <c r="S102" i="6"/>
  <c r="S89" i="6"/>
  <c r="S100" i="6"/>
  <c r="T64" i="6"/>
  <c r="U64" i="6" s="1"/>
  <c r="R7" i="14"/>
  <c r="O121" i="6"/>
  <c r="L7" i="14" s="1"/>
  <c r="O30" i="6"/>
  <c r="O7" i="14" s="1"/>
  <c r="J15" i="18"/>
  <c r="J13" i="18"/>
  <c r="J14" i="18"/>
  <c r="T43" i="6"/>
  <c r="T36" i="6"/>
  <c r="U36" i="6" s="1"/>
  <c r="T120" i="6"/>
  <c r="U120" i="6" s="1"/>
  <c r="T35" i="6"/>
  <c r="U35" i="6" s="1"/>
  <c r="T94" i="6"/>
  <c r="U94" i="6" s="1"/>
  <c r="R10" i="6"/>
  <c r="T10" i="6" s="1"/>
  <c r="U10" i="6" s="1"/>
  <c r="T19" i="6"/>
  <c r="U19" i="6" s="1"/>
  <c r="T17" i="6"/>
  <c r="U17" i="6" s="1"/>
  <c r="T23" i="6"/>
  <c r="U23" i="6" s="1"/>
  <c r="T7" i="6"/>
  <c r="U7" i="6" s="1"/>
  <c r="T29" i="6"/>
  <c r="U29" i="6" s="1"/>
  <c r="T21" i="6"/>
  <c r="U21" i="6" s="1"/>
  <c r="R8" i="6"/>
  <c r="T8" i="6" s="1"/>
  <c r="U8" i="6" s="1"/>
  <c r="T108" i="6"/>
  <c r="U108" i="6" s="1"/>
  <c r="T48" i="6"/>
  <c r="T14" i="6"/>
  <c r="U14" i="6" s="1"/>
  <c r="T37" i="6"/>
  <c r="T12" i="6"/>
  <c r="U12" i="6" s="1"/>
  <c r="O55" i="6"/>
  <c r="I7" i="14" s="1"/>
  <c r="T86" i="6"/>
  <c r="U86" i="6" s="1"/>
  <c r="T84" i="6"/>
  <c r="U84" i="6" s="1"/>
  <c r="T76" i="6"/>
  <c r="U76" i="6" s="1"/>
  <c r="T68" i="6"/>
  <c r="U68" i="6" s="1"/>
  <c r="T67" i="6"/>
  <c r="O91" i="6"/>
  <c r="F7" i="14"/>
  <c r="R97" i="6"/>
  <c r="T97" i="6" s="1"/>
  <c r="U97" i="6" s="1"/>
  <c r="R69" i="6"/>
  <c r="T69" i="6" s="1"/>
  <c r="U69" i="6" s="1"/>
  <c r="R110" i="6"/>
  <c r="R107" i="6"/>
  <c r="T107" i="6" s="1"/>
  <c r="R27" i="6"/>
  <c r="T27" i="6" s="1"/>
  <c r="U27" i="6" s="1"/>
  <c r="R78" i="6"/>
  <c r="T78" i="6" s="1"/>
  <c r="R39" i="6"/>
  <c r="T39" i="6" s="1"/>
  <c r="U39" i="6" s="1"/>
  <c r="R70" i="6"/>
  <c r="T70" i="6" s="1"/>
  <c r="R116" i="6"/>
  <c r="T116" i="6" s="1"/>
  <c r="U116" i="6" s="1"/>
  <c r="R129" i="6"/>
  <c r="R87" i="6"/>
  <c r="T87" i="6" s="1"/>
  <c r="U87" i="6" s="1"/>
  <c r="R71" i="6"/>
  <c r="T71" i="6" s="1"/>
  <c r="U71" i="6" s="1"/>
  <c r="R49" i="6"/>
  <c r="T49" i="6" s="1"/>
  <c r="U49" i="6" s="1"/>
  <c r="R22" i="6"/>
  <c r="T22" i="6" s="1"/>
  <c r="U22" i="6" s="1"/>
  <c r="R79" i="6"/>
  <c r="T79" i="6" s="1"/>
  <c r="U79" i="6" s="1"/>
  <c r="R40" i="6"/>
  <c r="R61" i="6"/>
  <c r="T61" i="6" s="1"/>
  <c r="U61" i="6" s="1"/>
  <c r="R13" i="6"/>
  <c r="T13" i="6" s="1"/>
  <c r="U13" i="6" s="1"/>
  <c r="C40" i="7"/>
  <c r="E12" i="14" s="1"/>
  <c r="R60" i="6"/>
  <c r="T60" i="6" s="1"/>
  <c r="U60" i="6" s="1"/>
  <c r="R113" i="6"/>
  <c r="T113" i="6" s="1"/>
  <c r="U113" i="6" s="1"/>
  <c r="R112" i="6"/>
  <c r="T112" i="6" s="1"/>
  <c r="R83" i="6"/>
  <c r="T83" i="6" s="1"/>
  <c r="U83" i="6" s="1"/>
  <c r="R75" i="6"/>
  <c r="T75" i="6" s="1"/>
  <c r="U75" i="6" s="1"/>
  <c r="R53" i="6"/>
  <c r="T53" i="6" s="1"/>
  <c r="U53" i="6" s="1"/>
  <c r="R45" i="6"/>
  <c r="T45" i="6" s="1"/>
  <c r="R18" i="6"/>
  <c r="T18" i="6" s="1"/>
  <c r="U18" i="6" s="1"/>
  <c r="R119" i="6"/>
  <c r="T119" i="6" s="1"/>
  <c r="U119" i="6" s="1"/>
  <c r="R111" i="6"/>
  <c r="R100" i="6"/>
  <c r="T100" i="6" s="1"/>
  <c r="U100" i="6" s="1"/>
  <c r="R90" i="6"/>
  <c r="T90" i="6" s="1"/>
  <c r="U90" i="6" s="1"/>
  <c r="R74" i="6"/>
  <c r="T74" i="6" s="1"/>
  <c r="R44" i="6"/>
  <c r="T44" i="6" s="1"/>
  <c r="R9" i="6"/>
  <c r="T9" i="6" s="1"/>
  <c r="U9" i="6" s="1"/>
  <c r="R99" i="6"/>
  <c r="T99" i="6" s="1"/>
  <c r="U99" i="6" s="1"/>
  <c r="R89" i="6"/>
  <c r="T89" i="6" s="1"/>
  <c r="U89" i="6" s="1"/>
  <c r="R81" i="6"/>
  <c r="T81" i="6" s="1"/>
  <c r="U81" i="6" s="1"/>
  <c r="R63" i="6"/>
  <c r="R96" i="6"/>
  <c r="T96" i="6" s="1"/>
  <c r="U96" i="6" s="1"/>
  <c r="R128" i="6"/>
  <c r="R109" i="6"/>
  <c r="T109" i="6" s="1"/>
  <c r="U109" i="6" s="1"/>
  <c r="R88" i="6"/>
  <c r="T88" i="6" s="1"/>
  <c r="U88" i="6" s="1"/>
  <c r="R50" i="6"/>
  <c r="T50" i="6" s="1"/>
  <c r="R114" i="6"/>
  <c r="T114" i="6" s="1"/>
  <c r="U114" i="6" s="1"/>
  <c r="R77" i="6"/>
  <c r="T77" i="6" s="1"/>
  <c r="U77" i="6" s="1"/>
  <c r="R28" i="6"/>
  <c r="T28" i="6" s="1"/>
  <c r="U28" i="6" s="1"/>
  <c r="R102" i="6"/>
  <c r="T102" i="6" s="1"/>
  <c r="R46" i="6"/>
  <c r="T46" i="6" s="1"/>
  <c r="U46" i="6" s="1"/>
  <c r="E33" i="11"/>
  <c r="B33" i="11"/>
  <c r="J33" i="11" s="1"/>
  <c r="E32" i="11"/>
  <c r="B32" i="11"/>
  <c r="J32" i="11" s="1"/>
  <c r="E31" i="11"/>
  <c r="B31" i="11"/>
  <c r="J31" i="11" s="1"/>
  <c r="E30" i="11"/>
  <c r="B30" i="11"/>
  <c r="J30" i="11" s="1"/>
  <c r="E29" i="11"/>
  <c r="B29" i="11"/>
  <c r="J29" i="11" s="1"/>
  <c r="E28" i="11"/>
  <c r="B28" i="11"/>
  <c r="J28" i="11" s="1"/>
  <c r="E27" i="11"/>
  <c r="B27" i="11"/>
  <c r="J27" i="11" s="1"/>
  <c r="E26" i="11"/>
  <c r="B26" i="11"/>
  <c r="J26" i="11" s="1"/>
  <c r="E25" i="11"/>
  <c r="B25" i="11"/>
  <c r="J25" i="11" s="1"/>
  <c r="E24" i="11"/>
  <c r="B24" i="11"/>
  <c r="J24" i="11" s="1"/>
  <c r="E23" i="11"/>
  <c r="B23" i="11"/>
  <c r="J23" i="11" s="1"/>
  <c r="E22" i="11"/>
  <c r="B22" i="11"/>
  <c r="J22" i="11" s="1"/>
  <c r="E21" i="11"/>
  <c r="B21" i="11"/>
  <c r="J21" i="11" s="1"/>
  <c r="E20" i="11"/>
  <c r="B20" i="11"/>
  <c r="J20" i="11" s="1"/>
  <c r="E19" i="11"/>
  <c r="B19" i="11"/>
  <c r="J19" i="11" s="1"/>
  <c r="E18" i="11"/>
  <c r="B18" i="11"/>
  <c r="J18" i="11" s="1"/>
  <c r="E17" i="11"/>
  <c r="B17" i="11"/>
  <c r="J17" i="11" s="1"/>
  <c r="E16" i="11"/>
  <c r="B16" i="11"/>
  <c r="J16" i="11" s="1"/>
  <c r="E15" i="11"/>
  <c r="B15" i="11"/>
  <c r="J15" i="11" s="1"/>
  <c r="E14" i="11"/>
  <c r="B14" i="11"/>
  <c r="J14" i="11" s="1"/>
  <c r="E13" i="11"/>
  <c r="B13" i="11"/>
  <c r="J13" i="11" s="1"/>
  <c r="E12" i="11"/>
  <c r="B12" i="11"/>
  <c r="J12" i="11" s="1"/>
  <c r="E11" i="11"/>
  <c r="B11" i="11"/>
  <c r="J11" i="11" s="1"/>
  <c r="E10" i="11"/>
  <c r="B10" i="11"/>
  <c r="J10" i="11" s="1"/>
  <c r="E9" i="11"/>
  <c r="B9" i="11"/>
  <c r="J9" i="11" s="1"/>
  <c r="E8" i="11"/>
  <c r="B8" i="11"/>
  <c r="J8" i="11" s="1"/>
  <c r="E7" i="11"/>
  <c r="B7" i="11"/>
  <c r="J7" i="11" s="1"/>
  <c r="E6" i="11"/>
  <c r="B6" i="11"/>
  <c r="J6" i="11" s="1"/>
  <c r="E5" i="11"/>
  <c r="B5" i="11"/>
  <c r="J5" i="11" s="1"/>
  <c r="E4" i="11"/>
  <c r="B4" i="11"/>
  <c r="J4" i="11" s="1"/>
  <c r="E3" i="11"/>
  <c r="C3" i="11"/>
  <c r="B3" i="11"/>
  <c r="J3" i="11" s="1"/>
  <c r="E17" i="10"/>
  <c r="T63" i="6" l="1"/>
  <c r="U63" i="6" s="1"/>
  <c r="S63" i="6"/>
  <c r="E6" i="14"/>
  <c r="N6" i="14"/>
  <c r="Q6" i="14"/>
  <c r="Q18" i="14" s="1"/>
  <c r="K6" i="14"/>
  <c r="U73" i="6"/>
  <c r="T110" i="6"/>
  <c r="U110" i="6" s="1"/>
  <c r="U7" i="14"/>
  <c r="K29" i="14" s="1"/>
  <c r="U107" i="6"/>
  <c r="T111" i="6"/>
  <c r="T103" i="6"/>
  <c r="Q7" i="14" s="1"/>
  <c r="K12" i="14"/>
  <c r="H12" i="14"/>
  <c r="T30" i="6"/>
  <c r="N7" i="14" s="1"/>
  <c r="H6" i="14"/>
  <c r="T40" i="6"/>
  <c r="T55" i="6" s="1"/>
  <c r="H7" i="14" s="1"/>
  <c r="K68" i="6"/>
  <c r="K71" i="6"/>
  <c r="K34" i="11"/>
  <c r="G6" i="11" s="1"/>
  <c r="T6" i="14" l="1"/>
  <c r="I29" i="14" s="1"/>
  <c r="T121" i="6"/>
  <c r="K7" i="14" s="1"/>
  <c r="T7" i="14" s="1"/>
  <c r="T91" i="6"/>
  <c r="N9" i="14"/>
  <c r="N10" i="14" s="1"/>
  <c r="E18" i="14"/>
  <c r="O8" i="14"/>
  <c r="N18" i="14"/>
  <c r="T12" i="14"/>
  <c r="N29" i="14" s="1"/>
  <c r="R8" i="14"/>
  <c r="Q9" i="14"/>
  <c r="Q10" i="14" s="1"/>
  <c r="Q8" i="14"/>
  <c r="N8" i="14"/>
  <c r="H18" i="14"/>
  <c r="K18" i="14"/>
  <c r="I8" i="14"/>
  <c r="H8" i="14"/>
  <c r="H9" i="14"/>
  <c r="H10" i="14" s="1"/>
  <c r="F8" i="14"/>
  <c r="E8" i="14"/>
  <c r="E9" i="14"/>
  <c r="E10" i="14" s="1"/>
  <c r="G30" i="11"/>
  <c r="G28" i="11"/>
  <c r="G5" i="11"/>
  <c r="G27" i="11"/>
  <c r="G11" i="11"/>
  <c r="G32" i="11"/>
  <c r="G24" i="11"/>
  <c r="G20" i="11"/>
  <c r="G3" i="11"/>
  <c r="H3" i="11" s="1"/>
  <c r="G25" i="11"/>
  <c r="G14" i="11"/>
  <c r="G33" i="11"/>
  <c r="G18" i="11"/>
  <c r="G17" i="11"/>
  <c r="G13" i="11"/>
  <c r="G8" i="11"/>
  <c r="G29" i="11"/>
  <c r="G15" i="11"/>
  <c r="G10" i="11"/>
  <c r="G26" i="11"/>
  <c r="G23" i="11"/>
  <c r="G19" i="11"/>
  <c r="G21" i="11"/>
  <c r="G4" i="11"/>
  <c r="H4" i="11" s="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G7" i="11"/>
  <c r="G31" i="11"/>
  <c r="G12" i="11"/>
  <c r="G16" i="11"/>
  <c r="G9" i="11"/>
  <c r="G22" i="11"/>
  <c r="T9" i="14" l="1"/>
  <c r="J29" i="14"/>
  <c r="K8" i="14"/>
  <c r="K9" i="14"/>
  <c r="K10" i="14" s="1"/>
  <c r="L8" i="14"/>
  <c r="T18" i="14"/>
  <c r="U8" i="14"/>
  <c r="T10" i="14"/>
  <c r="T8" i="14"/>
  <c r="K13" i="7"/>
  <c r="H6" i="7" s="1"/>
  <c r="K14" i="7"/>
  <c r="H5" i="7" s="1"/>
  <c r="K15" i="7"/>
  <c r="H7" i="7" s="1"/>
  <c r="K16" i="7"/>
  <c r="K17" i="7"/>
  <c r="K18" i="7"/>
  <c r="H3" i="7" s="1"/>
  <c r="K19" i="7"/>
  <c r="I3" i="7" s="1"/>
  <c r="K20" i="7"/>
  <c r="K21" i="7"/>
  <c r="K12" i="7"/>
  <c r="B30" i="8"/>
  <c r="D20" i="8"/>
  <c r="D14" i="8"/>
  <c r="C14" i="8"/>
  <c r="C20" i="8"/>
  <c r="D27" i="8"/>
  <c r="B27" i="8"/>
  <c r="C19" i="8"/>
  <c r="D19" i="8" s="1"/>
  <c r="B10" i="8"/>
  <c r="B11" i="8"/>
  <c r="C11" i="8" s="1"/>
  <c r="B12" i="8"/>
  <c r="C12" i="8" s="1"/>
  <c r="B13" i="8"/>
  <c r="C13" i="8" s="1"/>
  <c r="B14" i="8"/>
  <c r="B9" i="8"/>
  <c r="M29" i="14" l="1"/>
  <c r="L29" i="14"/>
  <c r="H4" i="7"/>
  <c r="C10" i="8"/>
  <c r="D13" i="8"/>
  <c r="D12" i="8"/>
  <c r="D11" i="8"/>
  <c r="D37" i="8" l="1"/>
  <c r="D4" i="7"/>
  <c r="D5" i="7"/>
  <c r="D6" i="7"/>
  <c r="D7" i="7"/>
  <c r="D3" i="7"/>
  <c r="L6" i="7"/>
  <c r="L3" i="7"/>
  <c r="I4" i="7"/>
  <c r="L7" i="7"/>
  <c r="L5" i="7"/>
  <c r="L4" i="7"/>
  <c r="M4" i="7" l="1"/>
  <c r="H13" i="14" s="1"/>
  <c r="L8" i="7"/>
  <c r="L9" i="7" s="1"/>
  <c r="D36" i="8"/>
  <c r="M3" i="7"/>
  <c r="N13" i="14" s="1"/>
  <c r="I5" i="7"/>
  <c r="M5" i="7" s="1"/>
  <c r="H15" i="14" l="1"/>
  <c r="H16" i="14" s="1"/>
  <c r="H19" i="14"/>
  <c r="H20" i="14" s="1"/>
  <c r="H21" i="14" s="1"/>
  <c r="E13" i="14"/>
  <c r="E15" i="14" s="1"/>
  <c r="E16" i="14" s="1"/>
  <c r="N15" i="14"/>
  <c r="N16" i="14" s="1"/>
  <c r="N19" i="14"/>
  <c r="N20" i="14" s="1"/>
  <c r="N21" i="14" s="1"/>
  <c r="I6" i="7"/>
  <c r="M6" i="7" s="1"/>
  <c r="Q13" i="14" s="1"/>
  <c r="H14" i="14" l="1"/>
  <c r="N14" i="14"/>
  <c r="E19" i="14"/>
  <c r="Q15" i="14"/>
  <c r="Q16" i="14" s="1"/>
  <c r="Q19" i="14"/>
  <c r="Q20" i="14" s="1"/>
  <c r="Q21" i="14" s="1"/>
  <c r="I7" i="7"/>
  <c r="Q14" i="14" l="1"/>
  <c r="E14" i="14"/>
  <c r="E20" i="14"/>
  <c r="E21" i="14" s="1"/>
  <c r="K8" i="7"/>
  <c r="K9" i="7" s="1"/>
  <c r="M7" i="7"/>
  <c r="J124" i="6"/>
  <c r="M8" i="7" l="1"/>
  <c r="M9" i="7" s="1"/>
  <c r="K13" i="14"/>
  <c r="K124" i="6"/>
  <c r="N124" i="6"/>
  <c r="B25" i="8"/>
  <c r="B26" i="8" s="1"/>
  <c r="K15" i="14" l="1"/>
  <c r="K16" i="14" s="1"/>
  <c r="K19" i="14"/>
  <c r="T13" i="14"/>
  <c r="D26" i="8"/>
  <c r="U14" i="14" l="1"/>
  <c r="O29" i="14"/>
  <c r="P29" i="14" s="1"/>
  <c r="T19" i="14"/>
  <c r="T20" i="14" s="1"/>
  <c r="T21" i="14" s="1"/>
  <c r="T15" i="14"/>
  <c r="T16" i="14" s="1"/>
  <c r="K14" i="14"/>
  <c r="K20" i="14"/>
  <c r="K21" i="14" s="1"/>
  <c r="D38" i="8"/>
  <c r="D40" i="8" s="1"/>
  <c r="T1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MENTASTY, ANALIA IVON</author>
    <author>tc={8AB5D43B-01E2-4E56-AC60-275DD63AE0BE}</author>
  </authors>
  <commentList>
    <comment ref="B11" authorId="0" shapeId="0" xr:uid="{E1F6C25D-4F49-44EB-A8C3-127E836D98BE}">
      <text>
        <r>
          <rPr>
            <b/>
            <sz val="9"/>
            <color indexed="81"/>
            <rFont val="Tahoma"/>
            <family val="2"/>
          </rPr>
          <t>Texto breve</t>
        </r>
      </text>
    </comment>
    <comment ref="C11" authorId="0" shapeId="0" xr:uid="{14190733-0561-4718-B557-7076E115D21D}">
      <text>
        <r>
          <rPr>
            <b/>
            <sz val="9"/>
            <color indexed="81"/>
            <rFont val="Tahoma"/>
            <family val="2"/>
          </rPr>
          <t>Texto breve</t>
        </r>
      </text>
    </comment>
    <comment ref="E11" authorId="0" shapeId="0" xr:uid="{5EF9D588-A696-49EC-8351-FC9B235846F1}">
      <text>
        <r>
          <rPr>
            <b/>
            <sz val="9"/>
            <color indexed="81"/>
            <rFont val="Tahoma"/>
            <family val="2"/>
          </rPr>
          <t>Unidad medida base</t>
        </r>
      </text>
    </comment>
    <comment ref="G11" authorId="0" shapeId="0" xr:uid="{1BABB611-39C1-42CD-A988-47DADBBD53A4}">
      <text>
        <r>
          <rPr>
            <b/>
            <sz val="9"/>
            <color indexed="81"/>
            <rFont val="Tahoma"/>
            <family val="2"/>
          </rPr>
          <t>Número de servicio</t>
        </r>
      </text>
    </comment>
    <comment ref="H11" authorId="0" shapeId="0" xr:uid="{78091A45-41C8-40B5-8B6D-C852BE251E22}">
      <text>
        <r>
          <rPr>
            <b/>
            <sz val="9"/>
            <color indexed="81"/>
            <rFont val="Tahoma"/>
            <family val="2"/>
          </rPr>
          <t>Precio bruto</t>
        </r>
      </text>
    </comment>
    <comment ref="E35" authorId="1" shapeId="0" xr:uid="{8AB5D43B-01E2-4E56-AC60-275DD63AE0B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11 personas Champion + 3 de Baker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tc={6D80A471-93E1-4537-8331-667389F2479A}</author>
  </authors>
  <commentList>
    <comment ref="J61" authorId="0" shapeId="0" xr:uid="{6D80A471-93E1-4537-8331-667389F247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 Bactron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1397CB-8C87-41D2-8423-FE463749DF4C}" keepAlive="1" name="Consulta - Page001" description="Conexión a la consulta 'Page001' en el libro." type="5" refreshedVersion="0" background="1" saveData="1">
    <dbPr connection="Provider=Microsoft.Mashup.OleDb.1;Data Source=$Workbook$;Location=Page001;Extended Properties=&quot;&quot;" command="SELECT * FROM [Page001]"/>
  </connection>
  <connection id="2" xr16:uid="{00000000-0015-0000-FFFF-FFFF00000000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1000000}" name="WorksheetConnection_Tabla1" type="102" refreshedVersion="7" minRefreshableVersion="5">
    <extLst>
      <ext xmlns:x15="http://schemas.microsoft.com/office/spreadsheetml/2010/11/main" uri="{DE250136-89BD-433C-8126-D09CA5730AF9}">
        <x15:connection id="Tabla1">
          <x15:rangePr sourceName="_xlcn.WorksheetConnection_Tabla11"/>
        </x15:connection>
      </ext>
    </extLst>
  </connection>
</connections>
</file>

<file path=xl/sharedStrings.xml><?xml version="1.0" encoding="utf-8"?>
<sst xmlns="http://schemas.openxmlformats.org/spreadsheetml/2006/main" count="8281" uniqueCount="1354">
  <si>
    <t>PQ</t>
  </si>
  <si>
    <t>Familia</t>
  </si>
  <si>
    <t>Precio</t>
  </si>
  <si>
    <t>Vigencia</t>
  </si>
  <si>
    <t>Puntos en uso</t>
  </si>
  <si>
    <t>Fuente</t>
  </si>
  <si>
    <t>Puntos en uso [%]</t>
  </si>
  <si>
    <t>Uso acumulado [%]</t>
  </si>
  <si>
    <t>Comentario</t>
  </si>
  <si>
    <t>Familia Cod BND</t>
  </si>
  <si>
    <t>CAPTRON 75/ENCAPTRON 95</t>
  </si>
  <si>
    <t>Inf Nalco</t>
  </si>
  <si>
    <t>Captron 75: 10,58 (2018-Inf Nalco). Para la mezcla C75/E95 se asume un 50% de c/u</t>
  </si>
  <si>
    <t>CLEAR 2335</t>
  </si>
  <si>
    <t>YPF</t>
  </si>
  <si>
    <t>De acuerdo a reporte de consumo Nov-Dic 2019 de YPF</t>
  </si>
  <si>
    <t>SURFATRON DN-155</t>
  </si>
  <si>
    <t>Sinopec</t>
  </si>
  <si>
    <t>De acuerdo a reporte de consumo Nov-Dic 2019 de YPF (4,19)</t>
  </si>
  <si>
    <t>EC6359A</t>
  </si>
  <si>
    <t>GYPTRON TA-416</t>
  </si>
  <si>
    <t>I&amp;VYPF</t>
  </si>
  <si>
    <t>1,91 USD Gytron TA-73 SNPC 2019 -  2,19 Gyptron  T-356 I&amp;VYPF</t>
  </si>
  <si>
    <t>EC3156</t>
  </si>
  <si>
    <t>Estimado JGB</t>
  </si>
  <si>
    <t>EMBR14512A</t>
  </si>
  <si>
    <t>EMBR17949A</t>
  </si>
  <si>
    <t>CAPTRON 75</t>
  </si>
  <si>
    <t>CORTRON RN470</t>
  </si>
  <si>
    <t>I&amp;V - YPF</t>
  </si>
  <si>
    <t>EMBR12601A</t>
  </si>
  <si>
    <t>ENCAPTRON 95</t>
  </si>
  <si>
    <t>EC6539A</t>
  </si>
  <si>
    <t>CGC - RGL</t>
  </si>
  <si>
    <t xml:space="preserve">GT CGC Inh de parafinas EC6545A 5.47 </t>
  </si>
  <si>
    <t>BACTRON L-133</t>
  </si>
  <si>
    <t>I&amp;V CRV</t>
  </si>
  <si>
    <t>3,51 I&amp;V YPF 2017</t>
  </si>
  <si>
    <t>CORTRON 2533</t>
  </si>
  <si>
    <t>GAS TREAT 200</t>
  </si>
  <si>
    <t>DVE4B003</t>
  </si>
  <si>
    <t>TX14120</t>
  </si>
  <si>
    <t>TX14532 3,90 (I&amp;V YPF)</t>
  </si>
  <si>
    <t>EC2434A</t>
  </si>
  <si>
    <t>EC6019A</t>
  </si>
  <si>
    <t>EC6012A</t>
  </si>
  <si>
    <t>EMULSOTRON x-8134</t>
  </si>
  <si>
    <t>Nalco 2016 YPF</t>
  </si>
  <si>
    <t>x-8131</t>
  </si>
  <si>
    <t>03VC057</t>
  </si>
  <si>
    <t>EMULSOTRON x-8131</t>
  </si>
  <si>
    <t>CORTRON RU312</t>
  </si>
  <si>
    <t>EC6036A</t>
  </si>
  <si>
    <t>LA3147A</t>
  </si>
  <si>
    <t xml:space="preserve"> GT CGC Desemulsionante LA3147A 5.07  - LA3113A I&amp;V YPF (sep agua/oil) 5,29 USD -  LA3303A (desemulsionante) 3USD </t>
  </si>
  <si>
    <t>CORE SHELL</t>
  </si>
  <si>
    <t>EMULSOTRON x-8135</t>
  </si>
  <si>
    <t>EC6620</t>
  </si>
  <si>
    <t>CLEAR 2336</t>
  </si>
  <si>
    <t xml:space="preserve">GT CGC Dispersante Parafina Clear 2335 3.74 </t>
  </si>
  <si>
    <t>CAPTRON 75/ENCAPTRON 96</t>
  </si>
  <si>
    <t>TC</t>
  </si>
  <si>
    <t>BNA Cotizacion Divisas Venta 13/03/2024</t>
  </si>
  <si>
    <t>EERR</t>
  </si>
  <si>
    <t>Ítem</t>
  </si>
  <si>
    <t>Malargüe</t>
  </si>
  <si>
    <t>La Ventana</t>
  </si>
  <si>
    <t>Vizcacheras</t>
  </si>
  <si>
    <t>Barrancas</t>
  </si>
  <si>
    <t>Ugarteche</t>
  </si>
  <si>
    <t>GLOBAL MZA</t>
  </si>
  <si>
    <t>PECOM</t>
  </si>
  <si>
    <t>Competencia</t>
  </si>
  <si>
    <t>Productos Químicos</t>
  </si>
  <si>
    <t>Costo</t>
  </si>
  <si>
    <t>Venta</t>
  </si>
  <si>
    <t>k</t>
  </si>
  <si>
    <t>CP USD</t>
  </si>
  <si>
    <t>CP %</t>
  </si>
  <si>
    <t>Servicio</t>
  </si>
  <si>
    <t>Costo estimado</t>
  </si>
  <si>
    <t>Scio/Global %</t>
  </si>
  <si>
    <t>Global</t>
  </si>
  <si>
    <t>Optimización de consumo [%]</t>
  </si>
  <si>
    <t>Dto Scio [%]</t>
  </si>
  <si>
    <t>ventas</t>
  </si>
  <si>
    <t>Area</t>
  </si>
  <si>
    <t>Consumo mensual [lts]</t>
  </si>
  <si>
    <t>Consumo %</t>
  </si>
  <si>
    <t>Puntos en Continua</t>
  </si>
  <si>
    <t>Puntos en Batch</t>
  </si>
  <si>
    <t>Batches-mes</t>
  </si>
  <si>
    <t>Tarifa OYM DOSIF</t>
  </si>
  <si>
    <t>Tarifa SERV. BATCHEO TRAT. QUIM</t>
  </si>
  <si>
    <t>Venta Batch [ARS]</t>
  </si>
  <si>
    <t>Venta Continuo [ARS]</t>
  </si>
  <si>
    <t>Total</t>
  </si>
  <si>
    <t>BARRANCAS</t>
  </si>
  <si>
    <t>LA VENTANA</t>
  </si>
  <si>
    <t>MALARGUE</t>
  </si>
  <si>
    <t>UGARTECHE</t>
  </si>
  <si>
    <t>VIZCACHERAS</t>
  </si>
  <si>
    <t>Total ARS</t>
  </si>
  <si>
    <t>Total USD</t>
  </si>
  <si>
    <t>Texto breve</t>
  </si>
  <si>
    <t>Unidad medida base</t>
  </si>
  <si>
    <t>Número de servicio</t>
  </si>
  <si>
    <t>Precio bruto (último ajuste Septiembre ´23)</t>
  </si>
  <si>
    <t>Precio Renovación</t>
  </si>
  <si>
    <t>Precio Renovación Actualizado a dic-23</t>
  </si>
  <si>
    <t>Estimación de actualización a mar-24</t>
  </si>
  <si>
    <t>TARIFARIO MENDOZA NORTE</t>
  </si>
  <si>
    <t>OYM PTO.DOSIF. TRAT.QUIM. 1A50 P/UNI</t>
  </si>
  <si>
    <t>UNI</t>
  </si>
  <si>
    <t>10000000000003862</t>
  </si>
  <si>
    <t>OYM PTO.DOSIF. TRAT.QUIM. 51A100 P/UNI</t>
  </si>
  <si>
    <t>10000000000003863</t>
  </si>
  <si>
    <t>OYM PTO.DOSIF. TRAT.QUIM. 101A200 P/UNI</t>
  </si>
  <si>
    <t>10000000000003864</t>
  </si>
  <si>
    <t>OYM PTO.DOSIF. TRAT.QUIM. 201A300 P/UNI</t>
  </si>
  <si>
    <t>10000000000003865</t>
  </si>
  <si>
    <t>TTE. P/UNI SKID.DOSIF. TRAT.QUIM.</t>
  </si>
  <si>
    <t>80000000000000620</t>
  </si>
  <si>
    <t>OYM PTO.DOSIF. TRAT.QUIM. 301A400 P/UNI</t>
  </si>
  <si>
    <t>10000000000003866</t>
  </si>
  <si>
    <t>OYM PTO.DOSIF. TRAT.QUIM. &gt;400 P/UNI</t>
  </si>
  <si>
    <t>10000000000003867</t>
  </si>
  <si>
    <t>SERV. BATCHEO TRAT.QUIM. BP≤20KG P/UNI</t>
  </si>
  <si>
    <t>10000000000003860</t>
  </si>
  <si>
    <t>SERV. BATCHEO TRAT.QUIM. AP&gt;70KG P/UNI</t>
  </si>
  <si>
    <t>10000000000003861</t>
  </si>
  <si>
    <t>MONT. SKID.DOSIF. TRAT.QUIM. _ P/UNI</t>
  </si>
  <si>
    <t>10000000000003868</t>
  </si>
  <si>
    <t>Costos</t>
  </si>
  <si>
    <t>Mgue - Estimación</t>
  </si>
  <si>
    <t>UM</t>
  </si>
  <si>
    <t>Camiones</t>
  </si>
  <si>
    <t>Camionetas</t>
  </si>
  <si>
    <t>Personas</t>
  </si>
  <si>
    <t>Cantidad</t>
  </si>
  <si>
    <t>Costo [USD/UM]</t>
  </si>
  <si>
    <t>Costo [USD]</t>
  </si>
  <si>
    <t>Otros costos (base, guardía, etc)</t>
  </si>
  <si>
    <t>Indirectos</t>
  </si>
  <si>
    <t>La Ventana + Vizcacheras - Estimación</t>
  </si>
  <si>
    <t>Barrancas + Ugarteche - Estimación</t>
  </si>
  <si>
    <t>Total Camiones</t>
  </si>
  <si>
    <t>Total camionetas</t>
  </si>
  <si>
    <t>Total Personas</t>
  </si>
  <si>
    <t>Actualmente en Uso (Champion X, Veolia, Baker)</t>
  </si>
  <si>
    <t>Etiquetas de fila</t>
  </si>
  <si>
    <t>Consumo optimizado [l/mes]</t>
  </si>
  <si>
    <t>Consumo presentado [L/mes]</t>
  </si>
  <si>
    <t xml:space="preserve">Suma de Bacheo B/P </t>
  </si>
  <si>
    <t>Suma de Continua</t>
  </si>
  <si>
    <t>PQB Antiguo Producto</t>
  </si>
  <si>
    <t>Denominación comercial</t>
  </si>
  <si>
    <t>Compañía</t>
  </si>
  <si>
    <t>SAP</t>
  </si>
  <si>
    <t>USD/L</t>
  </si>
  <si>
    <t>Total (USD/mes)</t>
  </si>
  <si>
    <t>PQ PECOM</t>
  </si>
  <si>
    <t>Precio [USD/L]</t>
  </si>
  <si>
    <t>CR</t>
  </si>
  <si>
    <t>% DIFF</t>
  </si>
  <si>
    <t xml:space="preserve"> </t>
  </si>
  <si>
    <t>Biocida</t>
  </si>
  <si>
    <t>Bactron L-133</t>
  </si>
  <si>
    <t>CHAMPIONX</t>
  </si>
  <si>
    <t>BX707</t>
  </si>
  <si>
    <t>BX844</t>
  </si>
  <si>
    <t xml:space="preserve">Biomate San 9485 </t>
  </si>
  <si>
    <t>Veolia</t>
  </si>
  <si>
    <t>CLARIFICANTE</t>
  </si>
  <si>
    <t>FBS1747</t>
  </si>
  <si>
    <t xml:space="preserve">Desemulsionante  </t>
  </si>
  <si>
    <t>Prosolv EB 8283 Ruptor</t>
  </si>
  <si>
    <t>DBM4022CT</t>
  </si>
  <si>
    <t>Desemulsionante inverso</t>
  </si>
  <si>
    <t>FBS2008</t>
  </si>
  <si>
    <t>Deshidratación y Calidad de entrega</t>
  </si>
  <si>
    <t xml:space="preserve">Prosolv EB 3417 </t>
  </si>
  <si>
    <t>DBC4893</t>
  </si>
  <si>
    <t>DBM2840</t>
  </si>
  <si>
    <t>DBM4022</t>
  </si>
  <si>
    <t>Deshidratador de gas</t>
  </si>
  <si>
    <t>EMB14512A</t>
  </si>
  <si>
    <t>DESINCRUSTANTE</t>
  </si>
  <si>
    <t>DS592</t>
  </si>
  <si>
    <t>CR estimado</t>
  </si>
  <si>
    <t>Detergente</t>
  </si>
  <si>
    <t>DPB350</t>
  </si>
  <si>
    <t>EC9297</t>
  </si>
  <si>
    <t>Dispersante</t>
  </si>
  <si>
    <t>DPB52</t>
  </si>
  <si>
    <t>Dispersante de parafinas y/o asfaltenos</t>
  </si>
  <si>
    <t xml:space="preserve">CDC 9630 </t>
  </si>
  <si>
    <t>IPB650A</t>
  </si>
  <si>
    <t>Humectante de Solido</t>
  </si>
  <si>
    <t>DBM4002</t>
  </si>
  <si>
    <t>Inh. De Incrustaciones</t>
  </si>
  <si>
    <t>IC898</t>
  </si>
  <si>
    <t>INHIBIDOR DE CORROSIÓN</t>
  </si>
  <si>
    <t xml:space="preserve">Endcor occ 9783 </t>
  </si>
  <si>
    <t>CY20W</t>
  </si>
  <si>
    <t>INHIBIDOR DE INCRUSTACIONES</t>
  </si>
  <si>
    <t>IC5087 IC5091</t>
  </si>
  <si>
    <t xml:space="preserve">Prosolv si8022 </t>
  </si>
  <si>
    <t>IC5091</t>
  </si>
  <si>
    <t>Limpieza de Punzados</t>
  </si>
  <si>
    <t>Mejorador de Fluidez</t>
  </si>
  <si>
    <t xml:space="preserve">Kleen sc 9567 </t>
  </si>
  <si>
    <t>RFB200</t>
  </si>
  <si>
    <t>Mejorador de flujo y de Parafinas</t>
  </si>
  <si>
    <t>IPB650</t>
  </si>
  <si>
    <t>OXIDANTE</t>
  </si>
  <si>
    <t>BX256</t>
  </si>
  <si>
    <t>Reductor de Viscocidad</t>
  </si>
  <si>
    <t>IPB935CT</t>
  </si>
  <si>
    <t>Regulador de pH</t>
  </si>
  <si>
    <t>PHB300</t>
  </si>
  <si>
    <t xml:space="preserve">Sal </t>
  </si>
  <si>
    <t>Cloruro de Sodio</t>
  </si>
  <si>
    <t>QI505</t>
  </si>
  <si>
    <t>Secuestrante de oxígeno</t>
  </si>
  <si>
    <t>SO4345</t>
  </si>
  <si>
    <t>SO4353CT</t>
  </si>
  <si>
    <t>SECUESTRANTE DE SULFHÍDRICO</t>
  </si>
  <si>
    <t>BSH8080</t>
  </si>
  <si>
    <t>Gas Treat 200</t>
  </si>
  <si>
    <t>BSH8050CT</t>
  </si>
  <si>
    <t>ANTIESPUMANTE</t>
  </si>
  <si>
    <t xml:space="preserve">PAF 9497 </t>
  </si>
  <si>
    <t>ABC11</t>
  </si>
  <si>
    <t>TOTAL (USD)</t>
  </si>
  <si>
    <t>La Vent</t>
  </si>
  <si>
    <t xml:space="preserve">Biomate San 9494 </t>
  </si>
  <si>
    <t>BX960</t>
  </si>
  <si>
    <t>FBS9558</t>
  </si>
  <si>
    <t>DESEMULSIONANTE</t>
  </si>
  <si>
    <t>Prosolv EB 8290</t>
  </si>
  <si>
    <t>DBC4039</t>
  </si>
  <si>
    <t>DBM3075</t>
  </si>
  <si>
    <t>DPB52CT</t>
  </si>
  <si>
    <t>Dispersnate de Parafina/Asfaltenos</t>
  </si>
  <si>
    <t>IPB535</t>
  </si>
  <si>
    <t>IPB530</t>
  </si>
  <si>
    <t>Humectante/Secante</t>
  </si>
  <si>
    <t>INHIBIDOR DE HIDRATOS</t>
  </si>
  <si>
    <t>SB14CT</t>
  </si>
  <si>
    <t xml:space="preserve">Experimental 3223 </t>
  </si>
  <si>
    <t xml:space="preserve">Oxidante de solidos </t>
  </si>
  <si>
    <t>MALARGÜE</t>
  </si>
  <si>
    <t>Mgue</t>
  </si>
  <si>
    <t>ABC15</t>
  </si>
  <si>
    <t>Defoamer AF-177</t>
  </si>
  <si>
    <t>BACTERICIDA</t>
  </si>
  <si>
    <t>DVE48008</t>
  </si>
  <si>
    <t>BX910CT</t>
  </si>
  <si>
    <t>EMBpromedio</t>
  </si>
  <si>
    <t>DBC3158</t>
  </si>
  <si>
    <t>DBM4080A</t>
  </si>
  <si>
    <t>DBC4879CT</t>
  </si>
  <si>
    <t>DS592CT</t>
  </si>
  <si>
    <t>DISOLVENTE DE PARAFINAS Y ASFALTENOS</t>
  </si>
  <si>
    <t>SPBC38</t>
  </si>
  <si>
    <t>SB28</t>
  </si>
  <si>
    <t>Dispersante de Asfaltenos</t>
  </si>
  <si>
    <t>DISPERSANTE DE PARAFINAS Y ASFALTENOS</t>
  </si>
  <si>
    <t>SB26</t>
  </si>
  <si>
    <t>Dispersante de sólidos orgánicos e inorgánicos</t>
  </si>
  <si>
    <t>DCB509</t>
  </si>
  <si>
    <t>Estabilizador de Arcillas</t>
  </si>
  <si>
    <t>EC6129A</t>
  </si>
  <si>
    <t>FLOCULANTE</t>
  </si>
  <si>
    <t>FBS1409</t>
  </si>
  <si>
    <t>EC6086A</t>
  </si>
  <si>
    <t>HUMECTANTE DE SOLIDOS</t>
  </si>
  <si>
    <t>BX844CT</t>
  </si>
  <si>
    <t>RT160/DBM4002</t>
  </si>
  <si>
    <t>Inh Incrustaciones</t>
  </si>
  <si>
    <t>EC6395A</t>
  </si>
  <si>
    <t>IC5087A</t>
  </si>
  <si>
    <t>CY802CT</t>
  </si>
  <si>
    <t>GyptronTA-416</t>
  </si>
  <si>
    <t>INHIBIDOR DE PARAFINAS</t>
  </si>
  <si>
    <t>INHIBIDOR DE PARAFINAS Y ASFALTENOS</t>
  </si>
  <si>
    <t>IPB658</t>
  </si>
  <si>
    <t>Odorizante</t>
  </si>
  <si>
    <t>REDUCTOR DE FRICCIÓN</t>
  </si>
  <si>
    <t>SurfatronDN155</t>
  </si>
  <si>
    <t>REDUCTOR DE VISCOSIDAD</t>
  </si>
  <si>
    <t>EC6620A</t>
  </si>
  <si>
    <t>Removedor Incrustaciones</t>
  </si>
  <si>
    <t>GYPSTRONTA70</t>
  </si>
  <si>
    <t>Ruptor total</t>
  </si>
  <si>
    <t>RT20</t>
  </si>
  <si>
    <t>Sec Sulfhídrico</t>
  </si>
  <si>
    <t>BSH8050</t>
  </si>
  <si>
    <t>Sec. Oxígeno</t>
  </si>
  <si>
    <t>SECUESTRANTE DE OXIGENO</t>
  </si>
  <si>
    <t>BXC3209</t>
  </si>
  <si>
    <t>Viz</t>
  </si>
  <si>
    <t>DBC4928</t>
  </si>
  <si>
    <t>Qi505</t>
  </si>
  <si>
    <t>Total general</t>
  </si>
  <si>
    <t>Representa</t>
  </si>
  <si>
    <t> </t>
  </si>
  <si>
    <t>$ 88.880</t>
  </si>
  <si>
    <t>$ 80.240</t>
  </si>
  <si>
    <t>$ 56.820</t>
  </si>
  <si>
    <t xml:space="preserve"> $ -   </t>
  </si>
  <si>
    <t>$ 15.569</t>
  </si>
  <si>
    <t>$ 7.038</t>
  </si>
  <si>
    <t>$ 495</t>
  </si>
  <si>
    <t>$ 358</t>
  </si>
  <si>
    <t>$ 15.770</t>
  </si>
  <si>
    <t>$ 8.439</t>
  </si>
  <si>
    <t>$ 76.707</t>
  </si>
  <si>
    <t>$ 116.254</t>
  </si>
  <si>
    <t>$ 0</t>
  </si>
  <si>
    <t>$ 2.130</t>
  </si>
  <si>
    <t>$ 3.117</t>
  </si>
  <si>
    <t>$ 1.350</t>
  </si>
  <si>
    <t>$ 2.282</t>
  </si>
  <si>
    <t>$ 20.079</t>
  </si>
  <si>
    <t>$ 32.662</t>
  </si>
  <si>
    <t>$ 1.090</t>
  </si>
  <si>
    <t>$ 484</t>
  </si>
  <si>
    <t>$ 44.987</t>
  </si>
  <si>
    <t>$ 63.617</t>
  </si>
  <si>
    <t>$ 35.375</t>
  </si>
  <si>
    <t>$ 26.781</t>
  </si>
  <si>
    <t>$ 1.617</t>
  </si>
  <si>
    <t>$ 1.860</t>
  </si>
  <si>
    <t>$ 24.588</t>
  </si>
  <si>
    <t>$ 22.831</t>
  </si>
  <si>
    <t>$ 21.519</t>
  </si>
  <si>
    <t>$ 37.682</t>
  </si>
  <si>
    <t>$ 3.841</t>
  </si>
  <si>
    <t>$ 5.013</t>
  </si>
  <si>
    <t>$ 2.086</t>
  </si>
  <si>
    <t>$ 3.247</t>
  </si>
  <si>
    <t xml:space="preserve">$ -   </t>
  </si>
  <si>
    <t>$ 412.902</t>
  </si>
  <si>
    <t>$ 411.903</t>
  </si>
  <si>
    <t>$ 17.145</t>
  </si>
  <si>
    <t>$ 16.046</t>
  </si>
  <si>
    <t>$ 133.453</t>
  </si>
  <si>
    <t>$ 68.243</t>
  </si>
  <si>
    <t>$ 18.640</t>
  </si>
  <si>
    <t>$ 8.434</t>
  </si>
  <si>
    <t>$ 145.669</t>
  </si>
  <si>
    <t>$ 79.932</t>
  </si>
  <si>
    <t>$ 13.962</t>
  </si>
  <si>
    <t>$ 41.971</t>
  </si>
  <si>
    <t>$ 1.800</t>
  </si>
  <si>
    <t>$ 1.812</t>
  </si>
  <si>
    <t>$ 71.550</t>
  </si>
  <si>
    <t>$ 55.310</t>
  </si>
  <si>
    <t>$ 4.335</t>
  </si>
  <si>
    <t>$ 3.041</t>
  </si>
  <si>
    <t>$ 92</t>
  </si>
  <si>
    <t>$ 71</t>
  </si>
  <si>
    <t>$ 35.691</t>
  </si>
  <si>
    <t>FBS5609</t>
  </si>
  <si>
    <t>$ 32.405</t>
  </si>
  <si>
    <t>$ 25.312</t>
  </si>
  <si>
    <t>$ 15.881</t>
  </si>
  <si>
    <t>$ 9.393</t>
  </si>
  <si>
    <t>$ 8.423</t>
  </si>
  <si>
    <t>$ 24.845</t>
  </si>
  <si>
    <t>$ 35.982</t>
  </si>
  <si>
    <t>$ 34.982</t>
  </si>
  <si>
    <t>$ 39.270</t>
  </si>
  <si>
    <t>$ 14.228</t>
  </si>
  <si>
    <t>$ 13.133</t>
  </si>
  <si>
    <t>$ 19.599</t>
  </si>
  <si>
    <t>$ 10.982</t>
  </si>
  <si>
    <t>$ 5.767</t>
  </si>
  <si>
    <t>$ 3.398</t>
  </si>
  <si>
    <t>$ 18.761</t>
  </si>
  <si>
    <t>$ 20.670</t>
  </si>
  <si>
    <t>$ 1.531</t>
  </si>
  <si>
    <t>$ 2.421</t>
  </si>
  <si>
    <t>$ 158</t>
  </si>
  <si>
    <t>$ 206</t>
  </si>
  <si>
    <t>$ 304</t>
  </si>
  <si>
    <t>$ 391</t>
  </si>
  <si>
    <t>$ 13.289</t>
  </si>
  <si>
    <t>$ 20.688</t>
  </si>
  <si>
    <t>$ 596.542</t>
  </si>
  <si>
    <t>$ 492.671</t>
  </si>
  <si>
    <t>$ 40.400</t>
  </si>
  <si>
    <t>$ 28.410</t>
  </si>
  <si>
    <t>$ 36.000</t>
  </si>
  <si>
    <t>$ 13.244</t>
  </si>
  <si>
    <t>$ 12.118</t>
  </si>
  <si>
    <t>$ 7.920</t>
  </si>
  <si>
    <t>$ 3.985</t>
  </si>
  <si>
    <t>$ 320</t>
  </si>
  <si>
    <t>$ 529</t>
  </si>
  <si>
    <t>$ 14.974</t>
  </si>
  <si>
    <t>$ 15.322</t>
  </si>
  <si>
    <t>$ 1.200</t>
  </si>
  <si>
    <t>$ 1.208</t>
  </si>
  <si>
    <t>$ 945</t>
  </si>
  <si>
    <t>$ 1.383</t>
  </si>
  <si>
    <t>$ 2.736</t>
  </si>
  <si>
    <t>$ 4.624</t>
  </si>
  <si>
    <t>$ 9.081</t>
  </si>
  <si>
    <t>$ 13.339</t>
  </si>
  <si>
    <t>$ 23.307</t>
  </si>
  <si>
    <t>$ 30.221</t>
  </si>
  <si>
    <t>$ 13.721</t>
  </si>
  <si>
    <t>$ 10.388</t>
  </si>
  <si>
    <t>$ 54.078</t>
  </si>
  <si>
    <t>$ 76.474</t>
  </si>
  <si>
    <t>$ 29.853</t>
  </si>
  <si>
    <t>$ 21.507</t>
  </si>
  <si>
    <t>$ 2.000</t>
  </si>
  <si>
    <t>$ 3.016</t>
  </si>
  <si>
    <t>$ 8.425</t>
  </si>
  <si>
    <t>$ 10.996</t>
  </si>
  <si>
    <t>$ 1.795</t>
  </si>
  <si>
    <t>$ 2.795</t>
  </si>
  <si>
    <t>$ 268.179</t>
  </si>
  <si>
    <t>$ 252.342</t>
  </si>
  <si>
    <t>$ 20.692</t>
  </si>
  <si>
    <t>$ 6.205</t>
  </si>
  <si>
    <t>$ 614</t>
  </si>
  <si>
    <t>$ 329</t>
  </si>
  <si>
    <t>$ 32.151</t>
  </si>
  <si>
    <t>$ 33.943</t>
  </si>
  <si>
    <t>$ 5.292</t>
  </si>
  <si>
    <t>$ 8.467</t>
  </si>
  <si>
    <t>$ 3.555</t>
  </si>
  <si>
    <t>$ 5.027</t>
  </si>
  <si>
    <t>$ 2.830</t>
  </si>
  <si>
    <t>$ 2.143</t>
  </si>
  <si>
    <t>$ 65.135</t>
  </si>
  <si>
    <t>$ 56.115</t>
  </si>
  <si>
    <t>$ 80.800</t>
  </si>
  <si>
    <t>$ 49.121</t>
  </si>
  <si>
    <t>$ 43.131</t>
  </si>
  <si>
    <t>$ 388</t>
  </si>
  <si>
    <t>$ 397</t>
  </si>
  <si>
    <t>$ 9.626</t>
  </si>
  <si>
    <t>$ 5.151</t>
  </si>
  <si>
    <t>$ 67.649</t>
  </si>
  <si>
    <t>$ 69.325</t>
  </si>
  <si>
    <t>$ 990</t>
  </si>
  <si>
    <t>$ 498</t>
  </si>
  <si>
    <t>$ 2.952</t>
  </si>
  <si>
    <t>$ 4.336</t>
  </si>
  <si>
    <t>$ 6.807</t>
  </si>
  <si>
    <t>$ 5.897</t>
  </si>
  <si>
    <t>$ 98.521</t>
  </si>
  <si>
    <t>$ 139.322</t>
  </si>
  <si>
    <t>$ 64.036</t>
  </si>
  <si>
    <t>$ 46.134</t>
  </si>
  <si>
    <t>$ 6.496</t>
  </si>
  <si>
    <t>$ 8.478</t>
  </si>
  <si>
    <t>$ 1.320</t>
  </si>
  <si>
    <t>$ 2.055</t>
  </si>
  <si>
    <t>$ 388.705</t>
  </si>
  <si>
    <t>$ 324.724</t>
  </si>
  <si>
    <t>Para busqueda de CR</t>
  </si>
  <si>
    <t>CR flete</t>
  </si>
  <si>
    <t>FBS2000</t>
  </si>
  <si>
    <t>FBS5601</t>
  </si>
  <si>
    <t/>
  </si>
  <si>
    <t>IPB935</t>
  </si>
  <si>
    <t>RT160</t>
  </si>
  <si>
    <t>SB14</t>
  </si>
  <si>
    <t>Nro</t>
  </si>
  <si>
    <t>Zona</t>
  </si>
  <si>
    <t>Empresa</t>
  </si>
  <si>
    <t>Denominación</t>
  </si>
  <si>
    <t>Dosis lpd</t>
  </si>
  <si>
    <t>Mendoza Norte</t>
  </si>
  <si>
    <t>Champion</t>
  </si>
  <si>
    <t>Bioc 16734A</t>
  </si>
  <si>
    <t>Bioc 16952A</t>
  </si>
  <si>
    <t>Breaxit LA3147A</t>
  </si>
  <si>
    <t>Ruptor</t>
  </si>
  <si>
    <t>Captron 105</t>
  </si>
  <si>
    <t>Prod combinado</t>
  </si>
  <si>
    <t>CLAR 16021A</t>
  </si>
  <si>
    <t>Clarificante</t>
  </si>
  <si>
    <t>CLAR 16036AA</t>
  </si>
  <si>
    <t>CLAR16019a</t>
  </si>
  <si>
    <t>Control de parafinas</t>
  </si>
  <si>
    <t>Cortron RN470</t>
  </si>
  <si>
    <t>Inhibidor de corrosión</t>
  </si>
  <si>
    <t>Cortron RU341</t>
  </si>
  <si>
    <t>Sec de O2</t>
  </si>
  <si>
    <t>EC 6574A</t>
  </si>
  <si>
    <t>Inhibidor de Incrustaciones</t>
  </si>
  <si>
    <t>EC 9297A</t>
  </si>
  <si>
    <t>EC1304A</t>
  </si>
  <si>
    <t>Encaptron 95</t>
  </si>
  <si>
    <t>Sec de H2S</t>
  </si>
  <si>
    <t>Nalco 47162</t>
  </si>
  <si>
    <t>Biocida circuito de enfriamiento</t>
  </si>
  <si>
    <t>R3988 ALPHA 3456</t>
  </si>
  <si>
    <t>STEH 47010A</t>
  </si>
  <si>
    <t>Agua caldera</t>
  </si>
  <si>
    <t>Bactericida</t>
  </si>
  <si>
    <t>Dispersante de parafinas y asflatenos</t>
  </si>
  <si>
    <t>Antiespumante</t>
  </si>
  <si>
    <t>EC1093</t>
  </si>
  <si>
    <t>EC2434</t>
  </si>
  <si>
    <t>Floculante</t>
  </si>
  <si>
    <t>EC6359</t>
  </si>
  <si>
    <t>Inhibidor de parafinas y asfaltenos</t>
  </si>
  <si>
    <t>Redictor de viscosidad</t>
  </si>
  <si>
    <t>EMB12601</t>
  </si>
  <si>
    <t>Desemulsionante</t>
  </si>
  <si>
    <t>EMB14512</t>
  </si>
  <si>
    <t>EMb17949A</t>
  </si>
  <si>
    <t>EMBR10203</t>
  </si>
  <si>
    <t>EMBR12601</t>
  </si>
  <si>
    <t>EMBR12601a</t>
  </si>
  <si>
    <t>EMBR17949</t>
  </si>
  <si>
    <t>EMBR17949a</t>
  </si>
  <si>
    <t>Gas treat</t>
  </si>
  <si>
    <t>Gas treat 200</t>
  </si>
  <si>
    <t>Reductor de fricción</t>
  </si>
  <si>
    <t>X-8134</t>
  </si>
  <si>
    <t>Suma de Dosis</t>
  </si>
  <si>
    <t>(en blanco)</t>
  </si>
  <si>
    <t>Cïa</t>
  </si>
  <si>
    <t>Dosis</t>
  </si>
  <si>
    <t>Numero</t>
  </si>
  <si>
    <t>Nombre comercial</t>
  </si>
  <si>
    <t>clarifante</t>
  </si>
  <si>
    <t>Cortron RN-470</t>
  </si>
  <si>
    <t>Cortron R-2533</t>
  </si>
  <si>
    <t>Biomate San 94945</t>
  </si>
  <si>
    <t>BREAXIT LA3147A</t>
  </si>
  <si>
    <t>Desmulsionante</t>
  </si>
  <si>
    <t>Emulsotron X-8131</t>
  </si>
  <si>
    <t>Emulsotron X-8134</t>
  </si>
  <si>
    <t>Captron 75</t>
  </si>
  <si>
    <t>Gyptron TA-70</t>
  </si>
  <si>
    <t>CORTRON R2533</t>
  </si>
  <si>
    <t>BREAXIT EC6129A</t>
  </si>
  <si>
    <t>DVE4O008</t>
  </si>
  <si>
    <t>antiespumante</t>
  </si>
  <si>
    <t>Gyptron T-416</t>
  </si>
  <si>
    <t>Inhibidor de Parafinas y Asffaltenos</t>
  </si>
  <si>
    <t>Surfatron DN-155</t>
  </si>
  <si>
    <t>BREAXIT EC2434A</t>
  </si>
  <si>
    <t>Cortron RU-312</t>
  </si>
  <si>
    <t>BIOMATE SAN9494</t>
  </si>
  <si>
    <t>ENDCOR OCC9783</t>
  </si>
  <si>
    <t>Ruptor emulsiones</t>
  </si>
  <si>
    <t>KLEEN SC9562</t>
  </si>
  <si>
    <t>EC3156A</t>
  </si>
  <si>
    <t>Reductor de viscosidad</t>
  </si>
  <si>
    <t>BIOMATE SAN9495</t>
  </si>
  <si>
    <t>EMBR 12601A</t>
  </si>
  <si>
    <t>EMBR 145112A</t>
  </si>
  <si>
    <t>EMULSOTRON X8131</t>
  </si>
  <si>
    <t>EMULSOTRON X8134</t>
  </si>
  <si>
    <t>EXP3417</t>
  </si>
  <si>
    <t>Kleen sc 9562</t>
  </si>
  <si>
    <t>Mejorador de flujo</t>
  </si>
  <si>
    <t>Biocida circuito enfriamiento</t>
  </si>
  <si>
    <t>Prosolv 8283</t>
  </si>
  <si>
    <t>agua caldera</t>
  </si>
  <si>
    <t>Clase de Condición</t>
  </si>
  <si>
    <t>Tabla</t>
  </si>
  <si>
    <t>Organización de Ventas</t>
  </si>
  <si>
    <t>Canal</t>
  </si>
  <si>
    <t>Sector</t>
  </si>
  <si>
    <t>Moneda del Documento</t>
  </si>
  <si>
    <t>Nro. de Contrato</t>
  </si>
  <si>
    <t>Material</t>
  </si>
  <si>
    <t>Moneda Condición</t>
  </si>
  <si>
    <t>Unidad Medida</t>
  </si>
  <si>
    <t>Inicio Validez</t>
  </si>
  <si>
    <t>Fin Validez</t>
  </si>
  <si>
    <t>USD/litro</t>
  </si>
  <si>
    <t>PR00</t>
  </si>
  <si>
    <t>AR20</t>
  </si>
  <si>
    <t>USD</t>
  </si>
  <si>
    <t>tam</t>
  </si>
  <si>
    <t>01.01.2023</t>
  </si>
  <si>
    <t>31.12.2023</t>
  </si>
  <si>
    <t>ABC11CT</t>
  </si>
  <si>
    <t>lt</t>
  </si>
  <si>
    <t>ABC19</t>
  </si>
  <si>
    <t>ABC19CT</t>
  </si>
  <si>
    <t>ABC33</t>
  </si>
  <si>
    <t>ABC33CT</t>
  </si>
  <si>
    <t>ABC42</t>
  </si>
  <si>
    <t>ABC42CT</t>
  </si>
  <si>
    <t>BHI50</t>
  </si>
  <si>
    <t>BHI50CT</t>
  </si>
  <si>
    <t>BHI58</t>
  </si>
  <si>
    <t>BHI58CT</t>
  </si>
  <si>
    <t>BHI7030</t>
  </si>
  <si>
    <t>BHI7030CT</t>
  </si>
  <si>
    <t>BHI7038</t>
  </si>
  <si>
    <t>BHI7038CT</t>
  </si>
  <si>
    <t>BSH300</t>
  </si>
  <si>
    <t>BSH300CT</t>
  </si>
  <si>
    <t>BSH506</t>
  </si>
  <si>
    <t>BSH506CT</t>
  </si>
  <si>
    <t>BX158</t>
  </si>
  <si>
    <t>BX158CT</t>
  </si>
  <si>
    <t>BX237</t>
  </si>
  <si>
    <t>BX237CT</t>
  </si>
  <si>
    <t>BX256CT</t>
  </si>
  <si>
    <t>BX264</t>
  </si>
  <si>
    <t>BX264CT</t>
  </si>
  <si>
    <t>BX707CT</t>
  </si>
  <si>
    <t>BX715</t>
  </si>
  <si>
    <t>BX715CT</t>
  </si>
  <si>
    <t>BX910</t>
  </si>
  <si>
    <t>BX927</t>
  </si>
  <si>
    <t>BX927CT</t>
  </si>
  <si>
    <t>BX950</t>
  </si>
  <si>
    <t>BX950CT</t>
  </si>
  <si>
    <t>BX958</t>
  </si>
  <si>
    <t>BX958CT</t>
  </si>
  <si>
    <t>BX960CT</t>
  </si>
  <si>
    <t>BX968</t>
  </si>
  <si>
    <t>BX968CT</t>
  </si>
  <si>
    <t>BXC3209CT</t>
  </si>
  <si>
    <t>BXC3270</t>
  </si>
  <si>
    <t>BXC3270CT</t>
  </si>
  <si>
    <t>BXC3278</t>
  </si>
  <si>
    <t>BXC3278CT</t>
  </si>
  <si>
    <t>CY20WCT</t>
  </si>
  <si>
    <t>CY28W</t>
  </si>
  <si>
    <t>CY28WCT</t>
  </si>
  <si>
    <t>CY51W</t>
  </si>
  <si>
    <t>CY51WCT</t>
  </si>
  <si>
    <t>CY59W</t>
  </si>
  <si>
    <t>CY59WCT</t>
  </si>
  <si>
    <t>CY802</t>
  </si>
  <si>
    <t>CYB589</t>
  </si>
  <si>
    <t>CYB589CT</t>
  </si>
  <si>
    <t>CYB598</t>
  </si>
  <si>
    <t>CYB598CT</t>
  </si>
  <si>
    <t>CYB816</t>
  </si>
  <si>
    <t>CYB816CT</t>
  </si>
  <si>
    <t>DBC3158CT</t>
  </si>
  <si>
    <t>DBC3513</t>
  </si>
  <si>
    <t>DBC3513CT</t>
  </si>
  <si>
    <t>DBC4039CT</t>
  </si>
  <si>
    <t>DBC4077</t>
  </si>
  <si>
    <t>DBC4077CT</t>
  </si>
  <si>
    <t>DBC4352SP</t>
  </si>
  <si>
    <t>DBC4352SPCT</t>
  </si>
  <si>
    <t>DBC4614</t>
  </si>
  <si>
    <t>DBC4614CT</t>
  </si>
  <si>
    <t>DBC4641</t>
  </si>
  <si>
    <t>DBC4641CT</t>
  </si>
  <si>
    <t>DBC4651</t>
  </si>
  <si>
    <t>DBC4651CT</t>
  </si>
  <si>
    <t>DBC4655</t>
  </si>
  <si>
    <t>DBC4655CT</t>
  </si>
  <si>
    <t>DBC4879</t>
  </si>
  <si>
    <t>DBC4886</t>
  </si>
  <si>
    <t>DBC4886CT</t>
  </si>
  <si>
    <t>DBC4893CT</t>
  </si>
  <si>
    <t>DBC4896</t>
  </si>
  <si>
    <t>DBC4896CT</t>
  </si>
  <si>
    <t>DBC4928CT</t>
  </si>
  <si>
    <t>DBC4960</t>
  </si>
  <si>
    <t>DBC4960CT</t>
  </si>
  <si>
    <t>DBC5039</t>
  </si>
  <si>
    <t>DBC5039CT</t>
  </si>
  <si>
    <t>DPB350CT</t>
  </si>
  <si>
    <t>DPB358</t>
  </si>
  <si>
    <t>DPB358CT</t>
  </si>
  <si>
    <t>DPB55</t>
  </si>
  <si>
    <t>DPB55CT</t>
  </si>
  <si>
    <t>DPB58</t>
  </si>
  <si>
    <t>DPB58CT</t>
  </si>
  <si>
    <t>DPB60</t>
  </si>
  <si>
    <t>DPB60CT</t>
  </si>
  <si>
    <t>DPB63</t>
  </si>
  <si>
    <t>DPB63CT</t>
  </si>
  <si>
    <t>DPB66</t>
  </si>
  <si>
    <t>DPB66CT</t>
  </si>
  <si>
    <t>DS100</t>
  </si>
  <si>
    <t>DS100CT</t>
  </si>
  <si>
    <t>DS92</t>
  </si>
  <si>
    <t>DS92CT</t>
  </si>
  <si>
    <t>ESB310</t>
  </si>
  <si>
    <t>ESB608</t>
  </si>
  <si>
    <t>ESB9862</t>
  </si>
  <si>
    <t>ESB9862CT</t>
  </si>
  <si>
    <t>FBS1409CT</t>
  </si>
  <si>
    <t>FBS1747CT</t>
  </si>
  <si>
    <t>FBS2008CT</t>
  </si>
  <si>
    <t>FBS2021</t>
  </si>
  <si>
    <t>FBS2021CT</t>
  </si>
  <si>
    <t>FBS2844</t>
  </si>
  <si>
    <t>FBS2844CT</t>
  </si>
  <si>
    <t>FBS2990</t>
  </si>
  <si>
    <t>FBS2990CT</t>
  </si>
  <si>
    <t>FBS3511</t>
  </si>
  <si>
    <t>FBS3511CT</t>
  </si>
  <si>
    <t>FBS4500</t>
  </si>
  <si>
    <t>FBS4500CT</t>
  </si>
  <si>
    <t>FBS4517</t>
  </si>
  <si>
    <t>FBS4517CT</t>
  </si>
  <si>
    <t>FBS4711</t>
  </si>
  <si>
    <t>FBS4711CT</t>
  </si>
  <si>
    <t>FBS5609CT</t>
  </si>
  <si>
    <t>FBS7614</t>
  </si>
  <si>
    <t>FBS7614CT</t>
  </si>
  <si>
    <t>FBS9558CT</t>
  </si>
  <si>
    <t>IC5087ACT</t>
  </si>
  <si>
    <t>IC5091CT</t>
  </si>
  <si>
    <t>IC5098</t>
  </si>
  <si>
    <t>IC5098CT</t>
  </si>
  <si>
    <t>IC5099</t>
  </si>
  <si>
    <t>IC5099CT</t>
  </si>
  <si>
    <t>IC5400</t>
  </si>
  <si>
    <t>IC5400CT</t>
  </si>
  <si>
    <t>IC5408</t>
  </si>
  <si>
    <t>IC5408CT</t>
  </si>
  <si>
    <t>IC7001</t>
  </si>
  <si>
    <t>IC7001CT</t>
  </si>
  <si>
    <t>IC896</t>
  </si>
  <si>
    <t>IC896CT</t>
  </si>
  <si>
    <t>IC898CT</t>
  </si>
  <si>
    <t>IC904</t>
  </si>
  <si>
    <t>IC904CT</t>
  </si>
  <si>
    <t>IC906</t>
  </si>
  <si>
    <t>IC906CT</t>
  </si>
  <si>
    <t>IC962</t>
  </si>
  <si>
    <t>IC962CT</t>
  </si>
  <si>
    <t>ICS400</t>
  </si>
  <si>
    <t>ICS400CT</t>
  </si>
  <si>
    <t>ICS408</t>
  </si>
  <si>
    <t>ICS408CT</t>
  </si>
  <si>
    <t>IPB279</t>
  </si>
  <si>
    <t>IPB279CT</t>
  </si>
  <si>
    <t>IPB530CT</t>
  </si>
  <si>
    <t>IPB60</t>
  </si>
  <si>
    <t>IPB60CT</t>
  </si>
  <si>
    <t>IPB6256</t>
  </si>
  <si>
    <t>IPB6256CT</t>
  </si>
  <si>
    <t>IPB6264</t>
  </si>
  <si>
    <t>IPB6264CT</t>
  </si>
  <si>
    <t>IPB651</t>
  </si>
  <si>
    <t>IPB650CT</t>
  </si>
  <si>
    <t>IPB651CT</t>
  </si>
  <si>
    <t>IPB68</t>
  </si>
  <si>
    <t>IPB658CT</t>
  </si>
  <si>
    <t>IPB71</t>
  </si>
  <si>
    <t>IPB68CT</t>
  </si>
  <si>
    <t>IPB79</t>
  </si>
  <si>
    <t>IPB71CT</t>
  </si>
  <si>
    <t>IPB895</t>
  </si>
  <si>
    <t>IPB79CT</t>
  </si>
  <si>
    <t>IPB895CT</t>
  </si>
  <si>
    <t>KPF15</t>
  </si>
  <si>
    <t>KPF15CT</t>
  </si>
  <si>
    <t>NOVOC DS3500</t>
  </si>
  <si>
    <t>NOVOC DS3500CT</t>
  </si>
  <si>
    <t>NOVOC DS3508</t>
  </si>
  <si>
    <t>NOVOC DS3508CT</t>
  </si>
  <si>
    <t>NX Duracaps CI</t>
  </si>
  <si>
    <t>NX Duracaps SI</t>
  </si>
  <si>
    <t>RFB1200</t>
  </si>
  <si>
    <t>RFB1200CT</t>
  </si>
  <si>
    <t>RFB1268</t>
  </si>
  <si>
    <t>RFB1268CT</t>
  </si>
  <si>
    <t>RFB1400</t>
  </si>
  <si>
    <t>RFB1400CT</t>
  </si>
  <si>
    <t>RFB1408</t>
  </si>
  <si>
    <t>RFB1408CT</t>
  </si>
  <si>
    <t>RFB200CT</t>
  </si>
  <si>
    <t>RFB208</t>
  </si>
  <si>
    <t>RFB208CT</t>
  </si>
  <si>
    <t>RFB650</t>
  </si>
  <si>
    <t>RFB650CT</t>
  </si>
  <si>
    <t>RFB659</t>
  </si>
  <si>
    <t>RFB659CT</t>
  </si>
  <si>
    <t>RFB671</t>
  </si>
  <si>
    <t>RFB671CT</t>
  </si>
  <si>
    <t>RFB679</t>
  </si>
  <si>
    <t>RFB679CT</t>
  </si>
  <si>
    <t>RFB700</t>
  </si>
  <si>
    <t>RFB700CT</t>
  </si>
  <si>
    <t>RFB702</t>
  </si>
  <si>
    <t>RFB702CT</t>
  </si>
  <si>
    <t>RFB708</t>
  </si>
  <si>
    <t>RFB708CT</t>
  </si>
  <si>
    <t>RFB790</t>
  </si>
  <si>
    <t>RFB790CT</t>
  </si>
  <si>
    <t>RFB791</t>
  </si>
  <si>
    <t>RFB791CT</t>
  </si>
  <si>
    <t>RFB801</t>
  </si>
  <si>
    <t>RFB801CT</t>
  </si>
  <si>
    <t>RT102</t>
  </si>
  <si>
    <t>RT102CT</t>
  </si>
  <si>
    <t>RT15</t>
  </si>
  <si>
    <t>RT150</t>
  </si>
  <si>
    <t>RT150CT</t>
  </si>
  <si>
    <t>RT155</t>
  </si>
  <si>
    <t>RT155CT</t>
  </si>
  <si>
    <t>RT15CT</t>
  </si>
  <si>
    <t>RT20CT</t>
  </si>
  <si>
    <t>RT34</t>
  </si>
  <si>
    <t>RT34CT</t>
  </si>
  <si>
    <t>RT518</t>
  </si>
  <si>
    <t>RT518CT</t>
  </si>
  <si>
    <t>RT566</t>
  </si>
  <si>
    <t>RT566CT</t>
  </si>
  <si>
    <t>RT638</t>
  </si>
  <si>
    <t>RT638CT</t>
  </si>
  <si>
    <t>RT729</t>
  </si>
  <si>
    <t>RT729CT</t>
  </si>
  <si>
    <t>RT760</t>
  </si>
  <si>
    <t>RT760CT</t>
  </si>
  <si>
    <t>RT903SP</t>
  </si>
  <si>
    <t>RT903SPCT</t>
  </si>
  <si>
    <t>SB21</t>
  </si>
  <si>
    <t>SB21CT</t>
  </si>
  <si>
    <t>SO4353</t>
  </si>
  <si>
    <t>SPBC38CT</t>
  </si>
  <si>
    <t>Yacimiento</t>
  </si>
  <si>
    <r>
      <t xml:space="preserve">Personal </t>
    </r>
    <r>
      <rPr>
        <b/>
        <sz val="11"/>
        <color rgb="FFFF0000"/>
        <rFont val="Calibri"/>
        <family val="2"/>
        <scheme val="minor"/>
      </rPr>
      <t>(sin considerar un RT)</t>
    </r>
  </si>
  <si>
    <r>
      <t xml:space="preserve">Camiones </t>
    </r>
    <r>
      <rPr>
        <b/>
        <sz val="11"/>
        <color rgb="FFFF0000"/>
        <rFont val="Calibri"/>
        <family val="2"/>
        <scheme val="minor"/>
      </rPr>
      <t>(dotación mínima)</t>
    </r>
  </si>
  <si>
    <r>
      <t>Personal</t>
    </r>
    <r>
      <rPr>
        <b/>
        <sz val="11"/>
        <color rgb="FFFF0000"/>
        <rFont val="Calibri"/>
        <family val="2"/>
        <scheme val="minor"/>
      </rPr>
      <t xml:space="preserve"> (sin considerar un RT)</t>
    </r>
  </si>
  <si>
    <t>Agua</t>
  </si>
  <si>
    <t>Petróleo</t>
  </si>
  <si>
    <t>Agua + Petróleo</t>
  </si>
  <si>
    <t xml:space="preserve">Barrancas </t>
  </si>
  <si>
    <t xml:space="preserve">Nota: considerar en todos los casos un porcentaje de afectación del personal de seguridad. </t>
  </si>
  <si>
    <t>Total personal afectado a Mendoza (Dato de YPF)</t>
  </si>
  <si>
    <t>Personas en campo</t>
  </si>
  <si>
    <t>Afectación</t>
  </si>
  <si>
    <t>Pecom</t>
  </si>
  <si>
    <t>Champion Mza Norte</t>
  </si>
  <si>
    <t>Champion Malargüe</t>
  </si>
  <si>
    <t>Baker</t>
  </si>
  <si>
    <t>Básico agua</t>
  </si>
  <si>
    <t>chofer</t>
  </si>
  <si>
    <t>recorredor</t>
  </si>
  <si>
    <t>laboratorista</t>
  </si>
  <si>
    <t>Básico petróleo</t>
  </si>
  <si>
    <t xml:space="preserve">Laboratorio - seguimiento pulling </t>
  </si>
  <si>
    <t>Flete</t>
  </si>
  <si>
    <t>Desemul</t>
  </si>
  <si>
    <t>Precio por litro</t>
  </si>
  <si>
    <t>DBM</t>
  </si>
  <si>
    <t>Precio mínimo</t>
  </si>
  <si>
    <t>Ocpiones para DBM4080A</t>
  </si>
  <si>
    <t>RT160(DBM4002</t>
  </si>
  <si>
    <t>Opciones para DBM3075 y 2840</t>
  </si>
  <si>
    <t>Rubro</t>
  </si>
  <si>
    <t xml:space="preserve">Indicador </t>
  </si>
  <si>
    <t>Incidencia</t>
  </si>
  <si>
    <t>MO</t>
  </si>
  <si>
    <t>Paritaria homologada o CVS</t>
  </si>
  <si>
    <t>Fecha</t>
  </si>
  <si>
    <t>MO Lujan</t>
  </si>
  <si>
    <t>Combustibles y Lubricantes</t>
  </si>
  <si>
    <t>GO2 Sec. Energía</t>
  </si>
  <si>
    <t>Misceláneos</t>
  </si>
  <si>
    <t>IPIM NG</t>
  </si>
  <si>
    <t>Ajuste MENSUAL automático, sin gatillo.</t>
  </si>
  <si>
    <t>Valor</t>
  </si>
  <si>
    <t>% cambio</t>
  </si>
  <si>
    <t>Cambio Total</t>
  </si>
  <si>
    <t>GO gr2 al público Mza</t>
  </si>
  <si>
    <t>Valor (n-2)</t>
  </si>
  <si>
    <t>IPIM (n-2)</t>
  </si>
  <si>
    <t>Aumento Completo</t>
  </si>
  <si>
    <t>FA vieja</t>
  </si>
  <si>
    <t>FIJO</t>
  </si>
  <si>
    <t>Impacta al resto</t>
  </si>
  <si>
    <t>MO*</t>
  </si>
  <si>
    <t>COMB Y LUB</t>
  </si>
  <si>
    <t>INSUMOS</t>
  </si>
  <si>
    <t>Aumento completo</t>
  </si>
  <si>
    <t>Total Otros costos</t>
  </si>
  <si>
    <t>Total Indirectos</t>
  </si>
  <si>
    <t>Optimización Batch</t>
  </si>
  <si>
    <t>Punto con Batch</t>
  </si>
  <si>
    <t>Puntos con doble tratamiento</t>
  </si>
  <si>
    <t>Propuesta PECOM</t>
  </si>
  <si>
    <t>BATCFT02</t>
  </si>
  <si>
    <t>BATERIA</t>
  </si>
  <si>
    <t>EMPALME LCA1</t>
  </si>
  <si>
    <t>EMPALME MDM</t>
  </si>
  <si>
    <t>ALAT 4</t>
  </si>
  <si>
    <t>ALAT-3(D)</t>
  </si>
  <si>
    <t>CF-264(d)[00]a</t>
  </si>
  <si>
    <t>NCF-0030</t>
  </si>
  <si>
    <t>NCF-0032</t>
  </si>
  <si>
    <t>NCF-0052</t>
  </si>
  <si>
    <t>NCF-0076</t>
  </si>
  <si>
    <t>NCF-0089</t>
  </si>
  <si>
    <t>NCF-0112</t>
  </si>
  <si>
    <t>NCF-0134</t>
  </si>
  <si>
    <t>NCF-0142</t>
  </si>
  <si>
    <t>NCF-0162</t>
  </si>
  <si>
    <t>NCF-0169</t>
  </si>
  <si>
    <t>NCF-0172</t>
  </si>
  <si>
    <t>NCF-0177</t>
  </si>
  <si>
    <t>NCF-0182</t>
  </si>
  <si>
    <t>NCF-0190</t>
  </si>
  <si>
    <t>NCF-0194</t>
  </si>
  <si>
    <t>NCF-0256</t>
  </si>
  <si>
    <t>PILETA API</t>
  </si>
  <si>
    <t>TK C001</t>
  </si>
  <si>
    <t>NCF-0196</t>
  </si>
  <si>
    <t>NLA.a-0015</t>
  </si>
  <si>
    <t>NCF.a-0047</t>
  </si>
  <si>
    <t>NCF-0119</t>
  </si>
  <si>
    <t>NCF-0121(I)</t>
  </si>
  <si>
    <t>NCF-0136</t>
  </si>
  <si>
    <t>NCF-0174</t>
  </si>
  <si>
    <t>NCF-0175</t>
  </si>
  <si>
    <t>NCF-0201</t>
  </si>
  <si>
    <t>NCF-0202</t>
  </si>
  <si>
    <t>NCF-0204</t>
  </si>
  <si>
    <t>NCF-0207</t>
  </si>
  <si>
    <t>NCF-0213</t>
  </si>
  <si>
    <t>NCF-0215</t>
  </si>
  <si>
    <t>NCF-0216</t>
  </si>
  <si>
    <t>NCF-0224</t>
  </si>
  <si>
    <t>NCF-0228</t>
  </si>
  <si>
    <t>NLL-2018</t>
  </si>
  <si>
    <t>NPP-0006</t>
  </si>
  <si>
    <t>NPP-0026</t>
  </si>
  <si>
    <t>NPP-0033</t>
  </si>
  <si>
    <t>NCD-0016</t>
  </si>
  <si>
    <t>NCF-0137</t>
  </si>
  <si>
    <t>NPP-0053</t>
  </si>
  <si>
    <t>Reducción estimada en servicio de batch</t>
  </si>
  <si>
    <t>Activo</t>
  </si>
  <si>
    <t>Tratamiento</t>
  </si>
  <si>
    <t xml:space="preserve">Punto dosificación </t>
  </si>
  <si>
    <t>Suma de TIPO TRATAMIENTO BACHEO</t>
  </si>
  <si>
    <t xml:space="preserve">Suma de Consumo REAL (l/mes) </t>
  </si>
  <si>
    <t>PQ INHIB.CORR._  </t>
  </si>
  <si>
    <t>B- 78</t>
  </si>
  <si>
    <t>PQ INHIB.CORR._ </t>
  </si>
  <si>
    <t>CD.a-024</t>
  </si>
  <si>
    <t>BIOCIDA</t>
  </si>
  <si>
    <t>B.a-0229</t>
  </si>
  <si>
    <t>CD-022</t>
  </si>
  <si>
    <t>CD-027</t>
  </si>
  <si>
    <t>B-0010</t>
  </si>
  <si>
    <t>CD-035</t>
  </si>
  <si>
    <t>CD-072</t>
  </si>
  <si>
    <t>B-0013</t>
  </si>
  <si>
    <t>CD-085</t>
  </si>
  <si>
    <t>CD-090</t>
  </si>
  <si>
    <t>B-0019</t>
  </si>
  <si>
    <t>CD-71</t>
  </si>
  <si>
    <t>PQ RUPT.EMULS._ </t>
  </si>
  <si>
    <t>PQ DISPER.PARAF.ASFALT._  </t>
  </si>
  <si>
    <t>Ce.a-0007</t>
  </si>
  <si>
    <t>B-0027</t>
  </si>
  <si>
    <t>Ce-0010</t>
  </si>
  <si>
    <t>B-0033(i)</t>
  </si>
  <si>
    <t>Ce-0011</t>
  </si>
  <si>
    <t>B-0097</t>
  </si>
  <si>
    <t>Ce-002</t>
  </si>
  <si>
    <t>B-0128</t>
  </si>
  <si>
    <t>Gbb-011</t>
  </si>
  <si>
    <t>PQ BIOC._ </t>
  </si>
  <si>
    <t>Gbb-020</t>
  </si>
  <si>
    <t>B-0129</t>
  </si>
  <si>
    <t>LJ-014</t>
  </si>
  <si>
    <t>LJX-1</t>
  </si>
  <si>
    <t>B-0131</t>
  </si>
  <si>
    <t>LV-011</t>
  </si>
  <si>
    <t>B-0144(i)</t>
  </si>
  <si>
    <t>PQ DISPER.PARAF.ASFALT</t>
  </si>
  <si>
    <t>LV-013</t>
  </si>
  <si>
    <t>PQ SURF._</t>
  </si>
  <si>
    <t>LV-018</t>
  </si>
  <si>
    <t>B-0175</t>
  </si>
  <si>
    <t>LV-019</t>
  </si>
  <si>
    <t>B-0197</t>
  </si>
  <si>
    <t>LV-021</t>
  </si>
  <si>
    <t>Lv-026</t>
  </si>
  <si>
    <t>B-0216(i)</t>
  </si>
  <si>
    <t>LV-060</t>
  </si>
  <si>
    <t>B-0219</t>
  </si>
  <si>
    <t>LV-071</t>
  </si>
  <si>
    <t>B-0245</t>
  </si>
  <si>
    <t>B-0294</t>
  </si>
  <si>
    <t>Lv-096</t>
  </si>
  <si>
    <t>B-0296</t>
  </si>
  <si>
    <t>LV-097</t>
  </si>
  <si>
    <t>B-0301</t>
  </si>
  <si>
    <t>LVN-003</t>
  </si>
  <si>
    <t>B-031</t>
  </si>
  <si>
    <t>PQ SURF._ </t>
  </si>
  <si>
    <t>PB-006</t>
  </si>
  <si>
    <t>PB-022</t>
  </si>
  <si>
    <t>B-0318</t>
  </si>
  <si>
    <t>PQ DISPER.PARAF.</t>
  </si>
  <si>
    <t>PB-108(I)</t>
  </si>
  <si>
    <t>B-0324</t>
  </si>
  <si>
    <t>PB-116</t>
  </si>
  <si>
    <t>B-0336</t>
  </si>
  <si>
    <t>PQ INHIB.INCRUST.</t>
  </si>
  <si>
    <t>PB-129</t>
  </si>
  <si>
    <t>B-0337</t>
  </si>
  <si>
    <t>B-0367</t>
  </si>
  <si>
    <t>PB-162</t>
  </si>
  <si>
    <t>PB-190</t>
  </si>
  <si>
    <t>B-0371</t>
  </si>
  <si>
    <t>PB-194</t>
  </si>
  <si>
    <t>B-0378</t>
  </si>
  <si>
    <t>PB-199</t>
  </si>
  <si>
    <t>B-0393</t>
  </si>
  <si>
    <t>PB-208</t>
  </si>
  <si>
    <t>PB-215</t>
  </si>
  <si>
    <t>B-0406</t>
  </si>
  <si>
    <t>PB-220</t>
  </si>
  <si>
    <t>PB-221</t>
  </si>
  <si>
    <t>B-0407</t>
  </si>
  <si>
    <t>PB-33</t>
  </si>
  <si>
    <t>B-0442</t>
  </si>
  <si>
    <t>RT-013</t>
  </si>
  <si>
    <t>B-0443</t>
  </si>
  <si>
    <t>RV-007</t>
  </si>
  <si>
    <t>Rv-031</t>
  </si>
  <si>
    <t>B-0449</t>
  </si>
  <si>
    <t>RV-034</t>
  </si>
  <si>
    <t>B-0453</t>
  </si>
  <si>
    <t>Vi.a-1059</t>
  </si>
  <si>
    <t>VI-006</t>
  </si>
  <si>
    <t>B-0454</t>
  </si>
  <si>
    <t>VI-0099</t>
  </si>
  <si>
    <t>VI-011</t>
  </si>
  <si>
    <t>Vi-013</t>
  </si>
  <si>
    <t>B-0459</t>
  </si>
  <si>
    <t>Vi-023</t>
  </si>
  <si>
    <t>Vi-026</t>
  </si>
  <si>
    <t>B-0460</t>
  </si>
  <si>
    <t>VI-034</t>
  </si>
  <si>
    <t>B-0462</t>
  </si>
  <si>
    <t>VI-039</t>
  </si>
  <si>
    <t>B-0464</t>
  </si>
  <si>
    <t>PQ BIOC._  </t>
  </si>
  <si>
    <t>VI-041</t>
  </si>
  <si>
    <t>B-0470</t>
  </si>
  <si>
    <t>B-0471</t>
  </si>
  <si>
    <t>VI-044</t>
  </si>
  <si>
    <t>VI-049</t>
  </si>
  <si>
    <t>B-0476</t>
  </si>
  <si>
    <t>Vi-050</t>
  </si>
  <si>
    <t>VI-051</t>
  </si>
  <si>
    <t>B-0485</t>
  </si>
  <si>
    <t>Vi-052</t>
  </si>
  <si>
    <t>Vi-057</t>
  </si>
  <si>
    <t>Vi-058</t>
  </si>
  <si>
    <t>Vi-063</t>
  </si>
  <si>
    <t>B-0491</t>
  </si>
  <si>
    <t>Vi-072</t>
  </si>
  <si>
    <t>PQ RUPT.EMULS._</t>
  </si>
  <si>
    <t>Vi-078</t>
  </si>
  <si>
    <t>B-0493</t>
  </si>
  <si>
    <t>Vi-10(I)[00]a</t>
  </si>
  <si>
    <t>VI-100</t>
  </si>
  <si>
    <t>B-0518</t>
  </si>
  <si>
    <t>VI-1007</t>
  </si>
  <si>
    <t>VI-1009</t>
  </si>
  <si>
    <t>B-0520</t>
  </si>
  <si>
    <t>VI-101</t>
  </si>
  <si>
    <t>VI-1013</t>
  </si>
  <si>
    <t>B-098</t>
  </si>
  <si>
    <t>VI-1016</t>
  </si>
  <si>
    <t>B-208(i)</t>
  </si>
  <si>
    <t>VI-1021</t>
  </si>
  <si>
    <t>VI-1022</t>
  </si>
  <si>
    <t>B-359</t>
  </si>
  <si>
    <t>VI-1027</t>
  </si>
  <si>
    <t>B-368</t>
  </si>
  <si>
    <t>Vi-1031</t>
  </si>
  <si>
    <t>B-384</t>
  </si>
  <si>
    <t>VI-1033</t>
  </si>
  <si>
    <t>VI-1039</t>
  </si>
  <si>
    <t>B-386</t>
  </si>
  <si>
    <t>Vi-1043</t>
  </si>
  <si>
    <t>B-392</t>
  </si>
  <si>
    <t>Vi-1044</t>
  </si>
  <si>
    <t>Vi-1046</t>
  </si>
  <si>
    <t>B-465</t>
  </si>
  <si>
    <t>Vi-1049</t>
  </si>
  <si>
    <t>B-490</t>
  </si>
  <si>
    <t>Vi-1050</t>
  </si>
  <si>
    <t>B-495</t>
  </si>
  <si>
    <t>Vi-1057</t>
  </si>
  <si>
    <t>B-501</t>
  </si>
  <si>
    <t>VI-1058</t>
  </si>
  <si>
    <t>VI-106</t>
  </si>
  <si>
    <t>Vi-1060</t>
  </si>
  <si>
    <t>B-512</t>
  </si>
  <si>
    <t>VI-1061</t>
  </si>
  <si>
    <t>Vi-1065</t>
  </si>
  <si>
    <t>B-516</t>
  </si>
  <si>
    <t>Vi-1066</t>
  </si>
  <si>
    <t>Vi-1067</t>
  </si>
  <si>
    <t>Vi-107(I)</t>
  </si>
  <si>
    <t>B-517</t>
  </si>
  <si>
    <t>VI-1076</t>
  </si>
  <si>
    <t>VI-1078</t>
  </si>
  <si>
    <t>B-523</t>
  </si>
  <si>
    <t>VI-1079</t>
  </si>
  <si>
    <t>VI-1082</t>
  </si>
  <si>
    <t>B-527</t>
  </si>
  <si>
    <t>Vi-1084</t>
  </si>
  <si>
    <t>VI-1086</t>
  </si>
  <si>
    <t>Vi-1099</t>
  </si>
  <si>
    <t>B-528</t>
  </si>
  <si>
    <t>VI-110</t>
  </si>
  <si>
    <t>B-541</t>
  </si>
  <si>
    <t>VI-1131</t>
  </si>
  <si>
    <t>VI-1133</t>
  </si>
  <si>
    <t>Vi-1135</t>
  </si>
  <si>
    <t>B-542</t>
  </si>
  <si>
    <t>VI-114</t>
  </si>
  <si>
    <t>Vi-1147(d)</t>
  </si>
  <si>
    <t>VI-1148(d)</t>
  </si>
  <si>
    <t>VI-118</t>
  </si>
  <si>
    <t>B-550</t>
  </si>
  <si>
    <t>VI-120</t>
  </si>
  <si>
    <t>VI-121</t>
  </si>
  <si>
    <t>VI-122</t>
  </si>
  <si>
    <t>B-551</t>
  </si>
  <si>
    <t>VI-124</t>
  </si>
  <si>
    <t>VI-135</t>
  </si>
  <si>
    <t>B-553</t>
  </si>
  <si>
    <t>VI-136</t>
  </si>
  <si>
    <t>B-584</t>
  </si>
  <si>
    <t>Vi-137</t>
  </si>
  <si>
    <t>B-589</t>
  </si>
  <si>
    <t>VI-150</t>
  </si>
  <si>
    <t>BS.x-0001</t>
  </si>
  <si>
    <t>VI-158</t>
  </si>
  <si>
    <t>Vi-159</t>
  </si>
  <si>
    <t>Bs-005</t>
  </si>
  <si>
    <t>VI-161</t>
  </si>
  <si>
    <t>Vi-166</t>
  </si>
  <si>
    <t>ECP.a-0007</t>
  </si>
  <si>
    <t>ECP-0020</t>
  </si>
  <si>
    <t>VI-167</t>
  </si>
  <si>
    <t>ECP-0023</t>
  </si>
  <si>
    <t>VI-172</t>
  </si>
  <si>
    <t>VI-181</t>
  </si>
  <si>
    <t>VI-185</t>
  </si>
  <si>
    <t>ECP-0026</t>
  </si>
  <si>
    <t>VI-189</t>
  </si>
  <si>
    <t>VI-190</t>
  </si>
  <si>
    <t>ECP-0039</t>
  </si>
  <si>
    <t>Vi-200</t>
  </si>
  <si>
    <t>VI-205</t>
  </si>
  <si>
    <t>VI-214</t>
  </si>
  <si>
    <t>VI-217</t>
  </si>
  <si>
    <t>ECP-0046</t>
  </si>
  <si>
    <t>VI-221</t>
  </si>
  <si>
    <t>ECP-0052(i)</t>
  </si>
  <si>
    <t>Vi-223</t>
  </si>
  <si>
    <t>Vi-224</t>
  </si>
  <si>
    <t>VI-225</t>
  </si>
  <si>
    <t>ECP-0053</t>
  </si>
  <si>
    <t>VI-228</t>
  </si>
  <si>
    <t>VI-230</t>
  </si>
  <si>
    <t>ECP-0054</t>
  </si>
  <si>
    <t>VI-231</t>
  </si>
  <si>
    <t>VI-232</t>
  </si>
  <si>
    <t>ECP-0058</t>
  </si>
  <si>
    <t>Vi-236</t>
  </si>
  <si>
    <t>VI-237</t>
  </si>
  <si>
    <t>ECP-0063</t>
  </si>
  <si>
    <t>VI-239</t>
  </si>
  <si>
    <t>ECP-0066</t>
  </si>
  <si>
    <t>VI-240</t>
  </si>
  <si>
    <t>VI-241</t>
  </si>
  <si>
    <t>ECP-0071</t>
  </si>
  <si>
    <t>VI-242</t>
  </si>
  <si>
    <t>VI-243</t>
  </si>
  <si>
    <t>ECP-0073</t>
  </si>
  <si>
    <t>VI-245</t>
  </si>
  <si>
    <t>VI-246</t>
  </si>
  <si>
    <t>ECP-0076</t>
  </si>
  <si>
    <t>Vi-247</t>
  </si>
  <si>
    <t>VI-250</t>
  </si>
  <si>
    <t>VI-251</t>
  </si>
  <si>
    <t>ECP-0077</t>
  </si>
  <si>
    <t>VI-252</t>
  </si>
  <si>
    <t>ECP-0078r</t>
  </si>
  <si>
    <t>Vi-255</t>
  </si>
  <si>
    <t>VI-256</t>
  </si>
  <si>
    <t>Vi-260</t>
  </si>
  <si>
    <t>ECP-0081</t>
  </si>
  <si>
    <t>VI-261</t>
  </si>
  <si>
    <t>VI-270</t>
  </si>
  <si>
    <t>ECP-0084</t>
  </si>
  <si>
    <t>VI-271</t>
  </si>
  <si>
    <t>VI-272</t>
  </si>
  <si>
    <t>ECP-0085</t>
  </si>
  <si>
    <t>VI-275</t>
  </si>
  <si>
    <t>VI-277</t>
  </si>
  <si>
    <t>VI-278</t>
  </si>
  <si>
    <t>ECP-0087(i)</t>
  </si>
  <si>
    <t>VI-282</t>
  </si>
  <si>
    <t>ECP-0088</t>
  </si>
  <si>
    <t>Vi-283</t>
  </si>
  <si>
    <t>Vi-284</t>
  </si>
  <si>
    <t>ECP-0097</t>
  </si>
  <si>
    <t>Vi-287</t>
  </si>
  <si>
    <t>Vi-288</t>
  </si>
  <si>
    <t>ECP-024</t>
  </si>
  <si>
    <t>VIO.x-0002</t>
  </si>
  <si>
    <t>VIO-0011</t>
  </si>
  <si>
    <t>ECP-064</t>
  </si>
  <si>
    <t>ViO-012</t>
  </si>
  <si>
    <t>ECP-127</t>
  </si>
  <si>
    <t>VIO-20</t>
  </si>
  <si>
    <t>Eda TKC111</t>
  </si>
  <si>
    <t>VIO-6</t>
  </si>
  <si>
    <t>Eda TKD 118</t>
  </si>
  <si>
    <t>Vix- 3</t>
  </si>
  <si>
    <t>L-0028</t>
  </si>
  <si>
    <t>VM-035</t>
  </si>
  <si>
    <t>Vm-073</t>
  </si>
  <si>
    <t>L-0031</t>
  </si>
  <si>
    <t>VM-096</t>
  </si>
  <si>
    <t>L-0040</t>
  </si>
  <si>
    <t>VM-102</t>
  </si>
  <si>
    <t>Vm-110</t>
  </si>
  <si>
    <t>L-0041</t>
  </si>
  <si>
    <t>VM-145</t>
  </si>
  <si>
    <t>L-0042H</t>
  </si>
  <si>
    <t>VM-157</t>
  </si>
  <si>
    <t>L-35</t>
  </si>
  <si>
    <t>VM-169</t>
  </si>
  <si>
    <t>LC-0008</t>
  </si>
  <si>
    <t>VM-175</t>
  </si>
  <si>
    <t>LC-0013</t>
  </si>
  <si>
    <t>LC-0014</t>
  </si>
  <si>
    <t>VM-177</t>
  </si>
  <si>
    <t>Lc-0020</t>
  </si>
  <si>
    <t>Vm-196</t>
  </si>
  <si>
    <t>LC-0030</t>
  </si>
  <si>
    <t>VM-211</t>
  </si>
  <si>
    <t>VM-217</t>
  </si>
  <si>
    <t>VM-218</t>
  </si>
  <si>
    <t>VM-227</t>
  </si>
  <si>
    <t>LC-0032</t>
  </si>
  <si>
    <t>VM-232</t>
  </si>
  <si>
    <t>LC-0036</t>
  </si>
  <si>
    <t>LC-0037</t>
  </si>
  <si>
    <t>VM-235</t>
  </si>
  <si>
    <t>LC-0042</t>
  </si>
  <si>
    <t>VM-238</t>
  </si>
  <si>
    <t>LC-0049</t>
  </si>
  <si>
    <t>VM-253</t>
  </si>
  <si>
    <t>VM-256</t>
  </si>
  <si>
    <t>LC-0051</t>
  </si>
  <si>
    <t>VM-265</t>
  </si>
  <si>
    <t>VM-99</t>
  </si>
  <si>
    <t>LC-0081</t>
  </si>
  <si>
    <t>YPF.Md.CD.a-0094[00]a</t>
  </si>
  <si>
    <t>YPF.Md.Vi.a-1145[00]a</t>
  </si>
  <si>
    <t>LC-0099</t>
  </si>
  <si>
    <t>YPF.Md.Vi-0268(I)[00]a</t>
  </si>
  <si>
    <t>YPF.Md.Vi-1045a(h)</t>
  </si>
  <si>
    <t>LC-0109</t>
  </si>
  <si>
    <t>YPF.Md.Vi-1062</t>
  </si>
  <si>
    <t>YPF.Md.Vi-1064</t>
  </si>
  <si>
    <t>LC-0118</t>
  </si>
  <si>
    <t>YPF.Md.Vi-1097[00]a</t>
  </si>
  <si>
    <t>LC-0121H</t>
  </si>
  <si>
    <t>YPF.Md.Vi-1113[00]a</t>
  </si>
  <si>
    <t>Lc-026</t>
  </si>
  <si>
    <t>YPF.Md.Vi-1141(d)[00]a</t>
  </si>
  <si>
    <t>LC-104</t>
  </si>
  <si>
    <t>YPF.Md.Vi-1142(d)[00]a</t>
  </si>
  <si>
    <t xml:space="preserve">YPF.MD.Vi-289(I) </t>
  </si>
  <si>
    <t>LC-114</t>
  </si>
  <si>
    <t>YPF.Md.ViO.IA-0028[00]a</t>
  </si>
  <si>
    <t>YPF.Md.VM-0193(I)[00]a</t>
  </si>
  <si>
    <t>Mv-004</t>
  </si>
  <si>
    <t>MV-005</t>
  </si>
  <si>
    <t>PQ Inh Corrosión</t>
  </si>
  <si>
    <t>MV-036</t>
  </si>
  <si>
    <t>MVx-1</t>
  </si>
  <si>
    <t>Oleoducto Playa Tupungato</t>
  </si>
  <si>
    <t>U-0016</t>
  </si>
  <si>
    <t>U-0022(ii)</t>
  </si>
  <si>
    <t>PQ DISPER.PARAF.ASFALT._ </t>
  </si>
  <si>
    <t>U-0084</t>
  </si>
  <si>
    <t>U-0096</t>
  </si>
  <si>
    <t>U-0098</t>
  </si>
  <si>
    <t>U-0112</t>
  </si>
  <si>
    <t>U-0121</t>
  </si>
  <si>
    <t>U-0135</t>
  </si>
  <si>
    <t>U-015</t>
  </si>
  <si>
    <t>U-054</t>
  </si>
  <si>
    <t>U-059</t>
  </si>
  <si>
    <t>U-070</t>
  </si>
  <si>
    <t>U-111</t>
  </si>
  <si>
    <t>U-140</t>
  </si>
  <si>
    <t>U-160</t>
  </si>
  <si>
    <t>U-169</t>
  </si>
  <si>
    <t>U-174(d)[00]a</t>
  </si>
  <si>
    <t>U-175</t>
  </si>
  <si>
    <t>U-186</t>
  </si>
  <si>
    <t>Ug-028</t>
  </si>
  <si>
    <t>Ug-085</t>
  </si>
  <si>
    <t>Ug-099</t>
  </si>
  <si>
    <t>YPF.Md.B-0134(II)</t>
  </si>
  <si>
    <t>YPF.Md.B-0555[00]a</t>
  </si>
  <si>
    <t>YPF.Md.B-0556a</t>
  </si>
  <si>
    <t>YPF.Md.B-0580(d)[00]a</t>
  </si>
  <si>
    <t>YPF.Md.B-0582(d)</t>
  </si>
  <si>
    <t>YPF.Md.B-0586(d)[00]a</t>
  </si>
  <si>
    <t>YPF.Md.ECP-0056r(d)(I)</t>
  </si>
  <si>
    <t>YPF.Md.ECP-0099(d)[01]r</t>
  </si>
  <si>
    <t>YPF.Md.ECP-0100(d)[00]a</t>
  </si>
  <si>
    <t>YPF.Md.ECP-0133(d)[00]a</t>
  </si>
  <si>
    <t>37 personas contando PECOM</t>
  </si>
  <si>
    <t>Propuesta s/dto</t>
  </si>
  <si>
    <t>Propuesta de reducción de batch</t>
  </si>
  <si>
    <t>Propuesta de bonificación sobre PQ? Podría ser sobre litros</t>
  </si>
  <si>
    <t>Propuesta de optimización de consumo: exp en el area</t>
  </si>
  <si>
    <t>Areas individuales</t>
  </si>
  <si>
    <t>Hito</t>
  </si>
  <si>
    <t>Descripción</t>
  </si>
  <si>
    <t>Base</t>
  </si>
  <si>
    <t>Optimización de batch</t>
  </si>
  <si>
    <t>Optimización de consumo</t>
  </si>
  <si>
    <t>Descuento en PQ</t>
  </si>
  <si>
    <t>CP</t>
  </si>
  <si>
    <t>Dif comp.</t>
  </si>
  <si>
    <t>Dif sobre base/comp.</t>
  </si>
  <si>
    <t>Dto Scio por batch [SI/NO]</t>
  </si>
  <si>
    <t>NO</t>
  </si>
  <si>
    <t>Dto PQ [%]</t>
  </si>
  <si>
    <t>Venta Competencia</t>
  </si>
  <si>
    <t>Scio</t>
  </si>
  <si>
    <t>Copiar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</si>
</sst>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%"/>
    <numFmt numFmtId="165" formatCode="0.0"/>
    <numFmt numFmtId="166" formatCode="0.0E+00"/>
    <numFmt numFmtId="167" formatCode="#,##0.0"/>
    <numFmt numFmtId="168" formatCode="0.0000"/>
    <numFmt numFmtId="169" formatCode="_-&quot;$&quot;\ * #,##0_-;\-&quot;$&quot;\ * #,##0_-;_-&quot;$&quot;\ * &quot;-&quot;??_-;_-@_-"/>
  </numFmts>
  <fonts count="43">
    <font>
      <sz val="11"/>
      <color theme="1"/>
      <name val="Calibri"/>
      <family val="2"/>
      <scheme val="minor"/>
    </font>
    <font>
      <sz val="10"/>
      <color theme="1"/>
      <name val="72 Condensed"/>
      <family val="2"/>
    </font>
    <font>
      <b/>
      <sz val="10"/>
      <color theme="1"/>
      <name val="72 Condensed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1"/>
      <color theme="0" tint="-4.9989318521683403E-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name val="Arial"/>
      <family val="2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72 Condensed"/>
    </font>
    <font>
      <b/>
      <sz val="10"/>
      <color theme="1"/>
      <name val="72 Condensed"/>
    </font>
    <font>
      <sz val="10"/>
      <color theme="1"/>
      <name val="72 Condensed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72 Condensed"/>
    </font>
    <font>
      <sz val="11"/>
      <color theme="1"/>
      <name val="Exo"/>
    </font>
    <font>
      <b/>
      <sz val="11"/>
      <color theme="1"/>
      <name val="Exo"/>
    </font>
    <font>
      <sz val="11"/>
      <color theme="0"/>
      <name val="Exo"/>
    </font>
    <font>
      <b/>
      <sz val="10"/>
      <color theme="0"/>
      <name val="72 Condensed"/>
      <family val="2"/>
    </font>
    <font>
      <sz val="10"/>
      <color rgb="FFFF0000"/>
      <name val="72 Condensed"/>
      <family val="2"/>
    </font>
    <font>
      <b/>
      <sz val="10"/>
      <color rgb="FFFFFFFF"/>
      <name val="72 Condensed"/>
      <family val="2"/>
    </font>
    <font>
      <sz val="10"/>
      <color rgb="FF000000"/>
      <name val="72 Condensed"/>
      <family val="2"/>
    </font>
    <font>
      <sz val="11"/>
      <color rgb="FF000000"/>
      <name val="Aptos Narrow"/>
      <family val="2"/>
    </font>
    <font>
      <b/>
      <sz val="10"/>
      <color rgb="FF000000"/>
      <name val="72 Condensed"/>
      <family val="2"/>
    </font>
    <font>
      <b/>
      <sz val="11"/>
      <color rgb="FF000000"/>
      <name val="Aptos Narrow"/>
      <family val="2"/>
    </font>
    <font>
      <b/>
      <sz val="11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color theme="0"/>
      <name val="72 Condensed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0000"/>
      <name val="Arial Nova Cond"/>
      <family val="2"/>
    </font>
    <font>
      <b/>
      <sz val="9"/>
      <color rgb="FFFFFFFF"/>
      <name val="Arial Nova Cond"/>
      <family val="2"/>
    </font>
    <font>
      <b/>
      <sz val="9"/>
      <color rgb="FF000000"/>
      <name val="Arial Nova Cond"/>
      <family val="2"/>
    </font>
  </fonts>
  <fills count="39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5"/>
        <bgColor theme="0" tint="-0.14999847407452621"/>
      </patternFill>
    </fill>
    <fill>
      <patternFill patternType="solid">
        <fgColor rgb="FF222B35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808080"/>
        <bgColor rgb="FFD9D9D9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D9D9D9"/>
      </patternFill>
    </fill>
    <fill>
      <patternFill patternType="solid">
        <fgColor rgb="FFFFFF00"/>
        <bgColor rgb="FFD9D9D9"/>
      </patternFill>
    </fill>
    <fill>
      <patternFill patternType="solid">
        <fgColor rgb="FFF7C7AC"/>
        <bgColor rgb="FFD9D9D9"/>
      </patternFill>
    </fill>
    <fill>
      <patternFill patternType="solid">
        <fgColor rgb="FFFFFF00"/>
        <bgColor rgb="FF000000"/>
      </patternFill>
    </fill>
    <fill>
      <patternFill patternType="solid">
        <fgColor rgb="FFF7C7AC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D9E1F2"/>
        <bgColor indexed="64"/>
      </patternFill>
    </fill>
    <fill>
      <patternFill patternType="solid">
        <fgColor rgb="FF4472C4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61">
    <xf numFmtId="0" fontId="0" fillId="0" borderId="0" xfId="0"/>
    <xf numFmtId="0" fontId="1" fillId="0" borderId="0" xfId="0" applyFont="1"/>
    <xf numFmtId="0" fontId="0" fillId="0" borderId="2" xfId="0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4" fontId="1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44" fontId="0" fillId="0" borderId="3" xfId="0" applyNumberForma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0" borderId="5" xfId="0" applyNumberFormat="1" applyFont="1" applyBorder="1" applyAlignment="1">
      <alignment horizontal="center"/>
    </xf>
    <xf numFmtId="49" fontId="7" fillId="0" borderId="6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/>
    </xf>
    <xf numFmtId="44" fontId="0" fillId="5" borderId="2" xfId="0" applyNumberFormat="1" applyFill="1" applyBorder="1" applyAlignment="1">
      <alignment horizontal="center"/>
    </xf>
    <xf numFmtId="9" fontId="1" fillId="0" borderId="2" xfId="1" applyFont="1" applyFill="1" applyBorder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9" fontId="10" fillId="0" borderId="11" xfId="0" applyNumberFormat="1" applyFont="1" applyBorder="1" applyAlignment="1">
      <alignment horizontal="right" vertical="center"/>
    </xf>
    <xf numFmtId="0" fontId="10" fillId="0" borderId="12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9" fontId="10" fillId="0" borderId="1" xfId="0" applyNumberFormat="1" applyFont="1" applyBorder="1" applyAlignment="1">
      <alignment horizontal="right" vertical="center"/>
    </xf>
    <xf numFmtId="0" fontId="11" fillId="0" borderId="0" xfId="0" applyFont="1"/>
    <xf numFmtId="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2" xfId="0" applyFon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0" fontId="4" fillId="0" borderId="2" xfId="1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/>
    <xf numFmtId="0" fontId="10" fillId="7" borderId="10" xfId="0" applyFont="1" applyFill="1" applyBorder="1" applyAlignment="1">
      <alignment vertical="center" wrapText="1"/>
    </xf>
    <xf numFmtId="0" fontId="10" fillId="7" borderId="11" xfId="0" applyFont="1" applyFill="1" applyBorder="1" applyAlignment="1">
      <alignment vertical="center" wrapText="1"/>
    </xf>
    <xf numFmtId="17" fontId="10" fillId="7" borderId="11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9" fontId="10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right" vertical="center" wrapText="1"/>
    </xf>
    <xf numFmtId="10" fontId="10" fillId="7" borderId="1" xfId="0" applyNumberFormat="1" applyFont="1" applyFill="1" applyBorder="1" applyAlignment="1">
      <alignment horizontal="right" vertical="center" wrapText="1"/>
    </xf>
    <xf numFmtId="0" fontId="11" fillId="7" borderId="0" xfId="0" applyFont="1" applyFill="1" applyAlignment="1">
      <alignment wrapText="1"/>
    </xf>
    <xf numFmtId="0" fontId="9" fillId="7" borderId="0" xfId="0" applyFont="1" applyFill="1" applyAlignment="1">
      <alignment vertical="center" wrapText="1"/>
    </xf>
    <xf numFmtId="10" fontId="9" fillId="7" borderId="0" xfId="0" applyNumberFormat="1" applyFont="1" applyFill="1" applyAlignment="1">
      <alignment horizontal="right" vertical="center" wrapText="1"/>
    </xf>
    <xf numFmtId="1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3" fillId="0" borderId="0" xfId="0" applyFont="1"/>
    <xf numFmtId="17" fontId="13" fillId="0" borderId="0" xfId="0" applyNumberFormat="1" applyFont="1"/>
    <xf numFmtId="43" fontId="13" fillId="0" borderId="0" xfId="0" applyNumberFormat="1" applyFont="1"/>
    <xf numFmtId="165" fontId="0" fillId="0" borderId="0" xfId="0" applyNumberFormat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0" fontId="4" fillId="0" borderId="0" xfId="1" applyNumberFormat="1" applyFont="1" applyBorder="1" applyAlignment="1">
      <alignment horizontal="center"/>
    </xf>
    <xf numFmtId="0" fontId="9" fillId="0" borderId="0" xfId="0" applyFont="1"/>
    <xf numFmtId="10" fontId="9" fillId="0" borderId="2" xfId="1" applyNumberFormat="1" applyFont="1" applyBorder="1"/>
    <xf numFmtId="164" fontId="4" fillId="3" borderId="2" xfId="1" applyNumberFormat="1" applyFont="1" applyFill="1" applyBorder="1" applyAlignment="1">
      <alignment horizontal="center"/>
    </xf>
    <xf numFmtId="10" fontId="4" fillId="3" borderId="2" xfId="0" applyNumberFormat="1" applyFont="1" applyFill="1" applyBorder="1" applyAlignment="1">
      <alignment horizontal="center"/>
    </xf>
    <xf numFmtId="10" fontId="4" fillId="3" borderId="2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17" fillId="0" borderId="2" xfId="0" applyFont="1" applyBorder="1" applyAlignment="1">
      <alignment horizontal="center"/>
    </xf>
    <xf numFmtId="9" fontId="17" fillId="0" borderId="2" xfId="1" applyFont="1" applyFill="1" applyBorder="1" applyAlignment="1">
      <alignment horizontal="center"/>
    </xf>
    <xf numFmtId="0" fontId="17" fillId="0" borderId="3" xfId="0" applyFont="1" applyBorder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/>
    <xf numFmtId="17" fontId="17" fillId="0" borderId="2" xfId="0" applyNumberFormat="1" applyFont="1" applyBorder="1" applyAlignment="1">
      <alignment horizontal="center"/>
    </xf>
    <xf numFmtId="9" fontId="17" fillId="0" borderId="2" xfId="1" applyFont="1" applyBorder="1" applyAlignment="1">
      <alignment horizontal="center"/>
    </xf>
    <xf numFmtId="0" fontId="15" fillId="8" borderId="0" xfId="0" applyFont="1" applyFill="1" applyAlignment="1">
      <alignment horizontal="center" vertical="center" wrapText="1"/>
    </xf>
    <xf numFmtId="9" fontId="17" fillId="0" borderId="0" xfId="1" applyFont="1" applyBorder="1" applyAlignment="1">
      <alignment horizontal="center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" fillId="9" borderId="2" xfId="0" applyFont="1" applyFill="1" applyBorder="1" applyAlignment="1">
      <alignment horizontal="center"/>
    </xf>
    <xf numFmtId="0" fontId="19" fillId="12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" fontId="0" fillId="0" borderId="0" xfId="0" applyNumberFormat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16" xfId="0" applyBorder="1" applyAlignment="1">
      <alignment horizontal="left" indent="1"/>
    </xf>
    <xf numFmtId="0" fontId="0" fillId="0" borderId="17" xfId="0" applyBorder="1"/>
    <xf numFmtId="0" fontId="0" fillId="0" borderId="18" xfId="0" applyBorder="1" applyAlignment="1">
      <alignment horizontal="left" indent="1"/>
    </xf>
    <xf numFmtId="0" fontId="0" fillId="0" borderId="1" xfId="0" applyBorder="1"/>
    <xf numFmtId="0" fontId="0" fillId="0" borderId="16" xfId="0" applyBorder="1" applyAlignment="1">
      <alignment horizontal="left"/>
    </xf>
    <xf numFmtId="9" fontId="0" fillId="0" borderId="0" xfId="1" applyFont="1"/>
    <xf numFmtId="0" fontId="0" fillId="3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0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166" fontId="20" fillId="0" borderId="2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4" fillId="14" borderId="2" xfId="0" applyFont="1" applyFill="1" applyBorder="1"/>
    <xf numFmtId="0" fontId="21" fillId="3" borderId="2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15" borderId="2" xfId="0" applyFon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2" fontId="0" fillId="15" borderId="2" xfId="0" applyNumberForma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2" fontId="0" fillId="0" borderId="0" xfId="0" applyNumberFormat="1"/>
    <xf numFmtId="0" fontId="6" fillId="0" borderId="0" xfId="0" applyFont="1" applyAlignment="1">
      <alignment horizontal="center" vertical="center" wrapText="1"/>
    </xf>
    <xf numFmtId="0" fontId="0" fillId="0" borderId="13" xfId="0" applyBorder="1" applyAlignment="1">
      <alignment horizontal="center"/>
    </xf>
    <xf numFmtId="44" fontId="0" fillId="5" borderId="3" xfId="0" applyNumberFormat="1" applyFill="1" applyBorder="1" applyAlignment="1">
      <alignment horizontal="center"/>
    </xf>
    <xf numFmtId="0" fontId="0" fillId="0" borderId="2" xfId="0" applyBorder="1" applyAlignment="1">
      <alignment vertical="center"/>
    </xf>
    <xf numFmtId="2" fontId="0" fillId="5" borderId="2" xfId="0" applyNumberFormat="1" applyFill="1" applyBorder="1" applyAlignment="1">
      <alignment horizontal="center"/>
    </xf>
    <xf numFmtId="0" fontId="10" fillId="6" borderId="19" xfId="0" applyFont="1" applyFill="1" applyBorder="1" applyAlignment="1">
      <alignment horizontal="center" vertical="center" wrapText="1"/>
    </xf>
    <xf numFmtId="167" fontId="1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vertical="center"/>
    </xf>
    <xf numFmtId="0" fontId="23" fillId="0" borderId="2" xfId="0" applyFont="1" applyBorder="1" applyAlignment="1">
      <alignment horizontal="center"/>
    </xf>
    <xf numFmtId="0" fontId="2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4" fillId="16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13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4" fontId="24" fillId="0" borderId="2" xfId="0" applyNumberFormat="1" applyFont="1" applyBorder="1" applyAlignment="1">
      <alignment horizontal="center"/>
    </xf>
    <xf numFmtId="4" fontId="24" fillId="0" borderId="0" xfId="0" applyNumberFormat="1" applyFont="1" applyAlignment="1">
      <alignment horizontal="center"/>
    </xf>
    <xf numFmtId="9" fontId="24" fillId="0" borderId="2" xfId="1" applyFont="1" applyBorder="1" applyAlignment="1">
      <alignment horizontal="center"/>
    </xf>
    <xf numFmtId="0" fontId="24" fillId="0" borderId="0" xfId="0" applyFont="1" applyAlignment="1">
      <alignment horizontal="center" vertical="center"/>
    </xf>
    <xf numFmtId="9" fontId="24" fillId="0" borderId="0" xfId="1" applyFont="1" applyAlignment="1">
      <alignment horizontal="center"/>
    </xf>
    <xf numFmtId="3" fontId="24" fillId="0" borderId="2" xfId="0" applyNumberFormat="1" applyFont="1" applyBorder="1" applyAlignment="1">
      <alignment horizontal="center"/>
    </xf>
    <xf numFmtId="44" fontId="24" fillId="0" borderId="0" xfId="0" applyNumberFormat="1" applyFont="1" applyAlignment="1">
      <alignment horizontal="center"/>
    </xf>
    <xf numFmtId="3" fontId="24" fillId="0" borderId="3" xfId="0" applyNumberFormat="1" applyFont="1" applyBorder="1" applyAlignment="1">
      <alignment horizontal="center"/>
    </xf>
    <xf numFmtId="4" fontId="24" fillId="0" borderId="3" xfId="0" applyNumberFormat="1" applyFont="1" applyBorder="1" applyAlignment="1">
      <alignment horizontal="center"/>
    </xf>
    <xf numFmtId="9" fontId="24" fillId="0" borderId="2" xfId="0" applyNumberFormat="1" applyFont="1" applyBorder="1" applyAlignment="1">
      <alignment horizontal="center"/>
    </xf>
    <xf numFmtId="0" fontId="25" fillId="5" borderId="13" xfId="0" applyFont="1" applyFill="1" applyBorder="1" applyAlignment="1">
      <alignment horizontal="center"/>
    </xf>
    <xf numFmtId="0" fontId="25" fillId="5" borderId="2" xfId="0" applyFont="1" applyFill="1" applyBorder="1" applyAlignment="1">
      <alignment horizontal="center"/>
    </xf>
    <xf numFmtId="164" fontId="25" fillId="5" borderId="2" xfId="1" applyNumberFormat="1" applyFont="1" applyFill="1" applyBorder="1" applyAlignment="1">
      <alignment horizontal="center"/>
    </xf>
    <xf numFmtId="10" fontId="25" fillId="5" borderId="2" xfId="1" applyNumberFormat="1" applyFont="1" applyFill="1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26" fillId="4" borderId="13" xfId="0" applyFont="1" applyFill="1" applyBorder="1" applyAlignment="1">
      <alignment horizontal="center"/>
    </xf>
    <xf numFmtId="0" fontId="26" fillId="4" borderId="8" xfId="0" applyFont="1" applyFill="1" applyBorder="1" applyAlignment="1">
      <alignment horizontal="center"/>
    </xf>
    <xf numFmtId="0" fontId="26" fillId="4" borderId="2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4" fontId="24" fillId="17" borderId="2" xfId="0" applyNumberFormat="1" applyFont="1" applyFill="1" applyBorder="1" applyAlignment="1">
      <alignment horizontal="center"/>
    </xf>
    <xf numFmtId="9" fontId="24" fillId="17" borderId="2" xfId="1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20" fillId="8" borderId="2" xfId="0" applyFont="1" applyFill="1" applyBorder="1" applyAlignment="1">
      <alignment horizontal="center"/>
    </xf>
    <xf numFmtId="0" fontId="1" fillId="8" borderId="0" xfId="0" applyFont="1" applyFill="1"/>
    <xf numFmtId="0" fontId="1" fillId="18" borderId="2" xfId="0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9" fontId="24" fillId="16" borderId="2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/>
    </xf>
    <xf numFmtId="0" fontId="18" fillId="0" borderId="4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/>
    </xf>
    <xf numFmtId="167" fontId="1" fillId="0" borderId="19" xfId="0" applyNumberFormat="1" applyFont="1" applyBorder="1" applyAlignment="1">
      <alignment horizontal="center"/>
    </xf>
    <xf numFmtId="166" fontId="20" fillId="0" borderId="19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9" fillId="12" borderId="9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1" fillId="18" borderId="19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169" fontId="1" fillId="9" borderId="2" xfId="2" applyNumberFormat="1" applyFont="1" applyFill="1" applyBorder="1" applyAlignment="1">
      <alignment horizontal="center"/>
    </xf>
    <xf numFmtId="169" fontId="1" fillId="0" borderId="2" xfId="2" applyNumberFormat="1" applyFont="1" applyBorder="1" applyAlignment="1">
      <alignment horizontal="center"/>
    </xf>
    <xf numFmtId="169" fontId="20" fillId="0" borderId="2" xfId="2" applyNumberFormat="1" applyFont="1" applyBorder="1" applyAlignment="1">
      <alignment horizontal="center"/>
    </xf>
    <xf numFmtId="169" fontId="20" fillId="9" borderId="2" xfId="2" applyNumberFormat="1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169" fontId="2" fillId="9" borderId="19" xfId="0" applyNumberFormat="1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27" fillId="11" borderId="3" xfId="0" applyFont="1" applyFill="1" applyBorder="1" applyAlignment="1">
      <alignment horizontal="center" vertical="center" wrapText="1"/>
    </xf>
    <xf numFmtId="0" fontId="27" fillId="11" borderId="2" xfId="0" applyFont="1" applyFill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20" fillId="3" borderId="2" xfId="0" applyNumberFormat="1" applyFont="1" applyFill="1" applyBorder="1" applyAlignment="1">
      <alignment horizontal="center"/>
    </xf>
    <xf numFmtId="0" fontId="20" fillId="20" borderId="2" xfId="0" applyFont="1" applyFill="1" applyBorder="1" applyAlignment="1">
      <alignment horizontal="center"/>
    </xf>
    <xf numFmtId="0" fontId="1" fillId="20" borderId="9" xfId="0" applyFont="1" applyFill="1" applyBorder="1" applyAlignment="1">
      <alignment horizontal="center"/>
    </xf>
    <xf numFmtId="169" fontId="2" fillId="20" borderId="19" xfId="0" applyNumberFormat="1" applyFont="1" applyFill="1" applyBorder="1" applyAlignment="1">
      <alignment horizontal="center"/>
    </xf>
    <xf numFmtId="0" fontId="20" fillId="20" borderId="3" xfId="0" applyFont="1" applyFill="1" applyBorder="1" applyAlignment="1">
      <alignment horizontal="center"/>
    </xf>
    <xf numFmtId="9" fontId="1" fillId="9" borderId="2" xfId="1" applyFont="1" applyFill="1" applyBorder="1" applyAlignment="1">
      <alignment horizontal="center"/>
    </xf>
    <xf numFmtId="9" fontId="1" fillId="0" borderId="2" xfId="1" applyFont="1" applyBorder="1" applyAlignment="1">
      <alignment horizontal="center"/>
    </xf>
    <xf numFmtId="9" fontId="20" fillId="0" borderId="2" xfId="1" applyFont="1" applyBorder="1" applyAlignment="1">
      <alignment horizontal="center"/>
    </xf>
    <xf numFmtId="9" fontId="20" fillId="9" borderId="2" xfId="1" applyFont="1" applyFill="1" applyBorder="1" applyAlignment="1">
      <alignment horizontal="center"/>
    </xf>
    <xf numFmtId="9" fontId="1" fillId="21" borderId="2" xfId="1" applyFont="1" applyFill="1" applyBorder="1" applyAlignment="1">
      <alignment horizontal="center"/>
    </xf>
    <xf numFmtId="9" fontId="1" fillId="19" borderId="2" xfId="1" applyFont="1" applyFill="1" applyBorder="1" applyAlignment="1">
      <alignment horizontal="center"/>
    </xf>
    <xf numFmtId="9" fontId="20" fillId="21" borderId="2" xfId="1" applyFont="1" applyFill="1" applyBorder="1" applyAlignment="1">
      <alignment horizontal="center"/>
    </xf>
    <xf numFmtId="0" fontId="24" fillId="0" borderId="0" xfId="0" applyFont="1" applyAlignment="1">
      <alignment horizontal="left"/>
    </xf>
    <xf numFmtId="0" fontId="26" fillId="0" borderId="23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23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7" fillId="11" borderId="2" xfId="0" applyFont="1" applyFill="1" applyBorder="1" applyAlignment="1">
      <alignment horizontal="center" vertical="center" wrapText="1"/>
    </xf>
    <xf numFmtId="0" fontId="27" fillId="10" borderId="2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/>
    </xf>
    <xf numFmtId="169" fontId="24" fillId="0" borderId="3" xfId="2" applyNumberFormat="1" applyFont="1" applyBorder="1" applyAlignment="1">
      <alignment horizontal="center"/>
    </xf>
    <xf numFmtId="169" fontId="24" fillId="17" borderId="3" xfId="2" applyNumberFormat="1" applyFont="1" applyFill="1" applyBorder="1" applyAlignment="1">
      <alignment horizontal="center"/>
    </xf>
    <xf numFmtId="169" fontId="24" fillId="0" borderId="2" xfId="2" applyNumberFormat="1" applyFont="1" applyBorder="1" applyAlignment="1">
      <alignment horizontal="center"/>
    </xf>
    <xf numFmtId="9" fontId="24" fillId="0" borderId="0" xfId="0" applyNumberFormat="1" applyFont="1" applyAlignment="1">
      <alignment horizontal="center"/>
    </xf>
    <xf numFmtId="0" fontId="1" fillId="9" borderId="5" xfId="0" applyFont="1" applyFill="1" applyBorder="1" applyAlignment="1">
      <alignment horizontal="center"/>
    </xf>
    <xf numFmtId="169" fontId="1" fillId="3" borderId="2" xfId="2" applyNumberFormat="1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2" fontId="1" fillId="8" borderId="2" xfId="0" applyNumberFormat="1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2" fontId="20" fillId="8" borderId="2" xfId="0" applyNumberFormat="1" applyFont="1" applyFill="1" applyBorder="1" applyAlignment="1">
      <alignment horizontal="center"/>
    </xf>
    <xf numFmtId="169" fontId="1" fillId="8" borderId="2" xfId="2" applyNumberFormat="1" applyFont="1" applyFill="1" applyBorder="1" applyAlignment="1">
      <alignment horizontal="center"/>
    </xf>
    <xf numFmtId="169" fontId="1" fillId="20" borderId="2" xfId="2" applyNumberFormat="1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169" fontId="2" fillId="9" borderId="2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20" fillId="9" borderId="2" xfId="1" applyFont="1" applyFill="1" applyBorder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4" fontId="1" fillId="18" borderId="2" xfId="0" applyNumberFormat="1" applyFont="1" applyFill="1" applyBorder="1" applyAlignment="1">
      <alignment horizontal="center"/>
    </xf>
    <xf numFmtId="0" fontId="0" fillId="3" borderId="16" xfId="0" applyFill="1" applyBorder="1" applyAlignment="1">
      <alignment horizontal="left" indent="1"/>
    </xf>
    <xf numFmtId="9" fontId="0" fillId="0" borderId="2" xfId="1" applyFont="1" applyBorder="1"/>
    <xf numFmtId="0" fontId="0" fillId="0" borderId="3" xfId="0" applyBorder="1" applyAlignment="1">
      <alignment horizontal="left" indent="1"/>
    </xf>
    <xf numFmtId="9" fontId="0" fillId="0" borderId="13" xfId="0" applyNumberFormat="1" applyBorder="1"/>
    <xf numFmtId="0" fontId="29" fillId="22" borderId="0" xfId="0" applyFont="1" applyFill="1" applyAlignment="1">
      <alignment wrapText="1"/>
    </xf>
    <xf numFmtId="0" fontId="29" fillId="22" borderId="24" xfId="0" applyFont="1" applyFill="1" applyBorder="1" applyAlignment="1">
      <alignment wrapText="1"/>
    </xf>
    <xf numFmtId="0" fontId="30" fillId="0" borderId="0" xfId="0" applyFont="1" applyAlignment="1">
      <alignment wrapText="1"/>
    </xf>
    <xf numFmtId="0" fontId="29" fillId="23" borderId="2" xfId="0" applyFont="1" applyFill="1" applyBorder="1" applyAlignment="1">
      <alignment wrapText="1"/>
    </xf>
    <xf numFmtId="0" fontId="29" fillId="23" borderId="13" xfId="0" applyFont="1" applyFill="1" applyBorder="1"/>
    <xf numFmtId="0" fontId="29" fillId="23" borderId="13" xfId="0" applyFont="1" applyFill="1" applyBorder="1" applyAlignment="1">
      <alignment wrapText="1"/>
    </xf>
    <xf numFmtId="0" fontId="29" fillId="0" borderId="19" xfId="0" applyFont="1" applyBorder="1"/>
    <xf numFmtId="0" fontId="29" fillId="24" borderId="2" xfId="0" applyFont="1" applyFill="1" applyBorder="1"/>
    <xf numFmtId="0" fontId="29" fillId="24" borderId="7" xfId="0" applyFont="1" applyFill="1" applyBorder="1" applyAlignment="1">
      <alignment wrapText="1"/>
    </xf>
    <xf numFmtId="0" fontId="29" fillId="24" borderId="13" xfId="0" applyFont="1" applyFill="1" applyBorder="1" applyAlignment="1">
      <alignment wrapText="1"/>
    </xf>
    <xf numFmtId="0" fontId="29" fillId="24" borderId="13" xfId="0" applyFont="1" applyFill="1" applyBorder="1"/>
    <xf numFmtId="0" fontId="31" fillId="0" borderId="0" xfId="0" applyFont="1"/>
    <xf numFmtId="0" fontId="32" fillId="25" borderId="0" xfId="0" applyFont="1" applyFill="1"/>
    <xf numFmtId="0" fontId="30" fillId="25" borderId="0" xfId="0" applyFont="1" applyFill="1"/>
    <xf numFmtId="0" fontId="30" fillId="0" borderId="19" xfId="0" applyFont="1" applyBorder="1"/>
    <xf numFmtId="0" fontId="30" fillId="0" borderId="0" xfId="0" applyFont="1"/>
    <xf numFmtId="0" fontId="30" fillId="0" borderId="2" xfId="0" applyFont="1" applyBorder="1"/>
    <xf numFmtId="0" fontId="30" fillId="0" borderId="13" xfId="0" applyFont="1" applyBorder="1"/>
    <xf numFmtId="0" fontId="30" fillId="27" borderId="2" xfId="0" applyFont="1" applyFill="1" applyBorder="1"/>
    <xf numFmtId="0" fontId="30" fillId="27" borderId="7" xfId="0" applyFont="1" applyFill="1" applyBorder="1"/>
    <xf numFmtId="0" fontId="30" fillId="28" borderId="13" xfId="0" applyFont="1" applyFill="1" applyBorder="1"/>
    <xf numFmtId="0" fontId="30" fillId="29" borderId="13" xfId="0" applyFont="1" applyFill="1" applyBorder="1"/>
    <xf numFmtId="9" fontId="30" fillId="29" borderId="13" xfId="0" applyNumberFormat="1" applyFont="1" applyFill="1" applyBorder="1"/>
    <xf numFmtId="0" fontId="30" fillId="29" borderId="0" xfId="0" applyFont="1" applyFill="1"/>
    <xf numFmtId="0" fontId="30" fillId="29" borderId="9" xfId="0" applyFont="1" applyFill="1" applyBorder="1"/>
    <xf numFmtId="0" fontId="30" fillId="29" borderId="22" xfId="0" applyFont="1" applyFill="1" applyBorder="1"/>
    <xf numFmtId="0" fontId="30" fillId="0" borderId="22" xfId="0" applyFont="1" applyBorder="1"/>
    <xf numFmtId="0" fontId="30" fillId="30" borderId="9" xfId="0" applyFont="1" applyFill="1" applyBorder="1"/>
    <xf numFmtId="0" fontId="30" fillId="30" borderId="22" xfId="0" applyFont="1" applyFill="1" applyBorder="1"/>
    <xf numFmtId="0" fontId="30" fillId="30" borderId="6" xfId="0" applyFont="1" applyFill="1" applyBorder="1"/>
    <xf numFmtId="0" fontId="30" fillId="27" borderId="9" xfId="0" applyFont="1" applyFill="1" applyBorder="1"/>
    <xf numFmtId="0" fontId="30" fillId="28" borderId="22" xfId="0" applyFont="1" applyFill="1" applyBorder="1"/>
    <xf numFmtId="9" fontId="30" fillId="29" borderId="22" xfId="0" applyNumberFormat="1" applyFont="1" applyFill="1" applyBorder="1"/>
    <xf numFmtId="0" fontId="30" fillId="31" borderId="22" xfId="0" applyFont="1" applyFill="1" applyBorder="1"/>
    <xf numFmtId="9" fontId="28" fillId="29" borderId="22" xfId="0" applyNumberFormat="1" applyFont="1" applyFill="1" applyBorder="1"/>
    <xf numFmtId="0" fontId="30" fillId="0" borderId="9" xfId="0" applyFont="1" applyBorder="1"/>
    <xf numFmtId="0" fontId="30" fillId="0" borderId="25" xfId="0" applyFont="1" applyBorder="1"/>
    <xf numFmtId="0" fontId="30" fillId="30" borderId="21" xfId="0" applyFont="1" applyFill="1" applyBorder="1"/>
    <xf numFmtId="0" fontId="30" fillId="30" borderId="4" xfId="0" applyFont="1" applyFill="1" applyBorder="1"/>
    <xf numFmtId="0" fontId="30" fillId="27" borderId="8" xfId="0" applyFont="1" applyFill="1" applyBorder="1"/>
    <xf numFmtId="0" fontId="30" fillId="28" borderId="9" xfId="0" applyFont="1" applyFill="1" applyBorder="1"/>
    <xf numFmtId="0" fontId="30" fillId="27" borderId="0" xfId="0" applyFont="1" applyFill="1"/>
    <xf numFmtId="0" fontId="32" fillId="29" borderId="9" xfId="0" applyFont="1" applyFill="1" applyBorder="1"/>
    <xf numFmtId="0" fontId="32" fillId="29" borderId="22" xfId="0" applyFont="1" applyFill="1" applyBorder="1"/>
    <xf numFmtId="0" fontId="32" fillId="29" borderId="23" xfId="0" applyFont="1" applyFill="1" applyBorder="1"/>
    <xf numFmtId="10" fontId="30" fillId="32" borderId="9" xfId="0" applyNumberFormat="1" applyFont="1" applyFill="1" applyBorder="1"/>
    <xf numFmtId="0" fontId="33" fillId="0" borderId="0" xfId="0" applyFont="1"/>
    <xf numFmtId="0" fontId="32" fillId="25" borderId="26" xfId="0" applyFont="1" applyFill="1" applyBorder="1"/>
    <xf numFmtId="0" fontId="30" fillId="25" borderId="26" xfId="0" applyFont="1" applyFill="1" applyBorder="1"/>
    <xf numFmtId="0" fontId="30" fillId="29" borderId="2" xfId="0" applyFont="1" applyFill="1" applyBorder="1"/>
    <xf numFmtId="0" fontId="30" fillId="29" borderId="7" xfId="0" applyFont="1" applyFill="1" applyBorder="1"/>
    <xf numFmtId="0" fontId="30" fillId="0" borderId="6" xfId="0" applyFont="1" applyBorder="1"/>
    <xf numFmtId="0" fontId="30" fillId="29" borderId="6" xfId="0" applyFont="1" applyFill="1" applyBorder="1"/>
    <xf numFmtId="0" fontId="30" fillId="33" borderId="9" xfId="0" applyFont="1" applyFill="1" applyBorder="1"/>
    <xf numFmtId="0" fontId="28" fillId="33" borderId="9" xfId="0" applyFont="1" applyFill="1" applyBorder="1"/>
    <xf numFmtId="0" fontId="30" fillId="33" borderId="22" xfId="0" applyFont="1" applyFill="1" applyBorder="1"/>
    <xf numFmtId="0" fontId="30" fillId="27" borderId="22" xfId="0" applyFont="1" applyFill="1" applyBorder="1"/>
    <xf numFmtId="0" fontId="30" fillId="0" borderId="23" xfId="0" applyFont="1" applyBorder="1"/>
    <xf numFmtId="9" fontId="30" fillId="32" borderId="9" xfId="0" applyNumberFormat="1" applyFont="1" applyFill="1" applyBorder="1"/>
    <xf numFmtId="0" fontId="30" fillId="27" borderId="13" xfId="0" applyFont="1" applyFill="1" applyBorder="1"/>
    <xf numFmtId="9" fontId="30" fillId="28" borderId="22" xfId="0" applyNumberFormat="1" applyFont="1" applyFill="1" applyBorder="1"/>
    <xf numFmtId="9" fontId="28" fillId="28" borderId="22" xfId="0" applyNumberFormat="1" applyFont="1" applyFill="1" applyBorder="1"/>
    <xf numFmtId="0" fontId="30" fillId="29" borderId="25" xfId="0" applyFont="1" applyFill="1" applyBorder="1"/>
    <xf numFmtId="9" fontId="30" fillId="34" borderId="9" xfId="0" applyNumberFormat="1" applyFont="1" applyFill="1" applyBorder="1"/>
    <xf numFmtId="0" fontId="30" fillId="0" borderId="20" xfId="0" applyFont="1" applyBorder="1"/>
    <xf numFmtId="0" fontId="30" fillId="33" borderId="13" xfId="0" applyFont="1" applyFill="1" applyBorder="1"/>
    <xf numFmtId="9" fontId="30" fillId="0" borderId="13" xfId="0" applyNumberFormat="1" applyFont="1" applyBorder="1"/>
    <xf numFmtId="9" fontId="30" fillId="0" borderId="22" xfId="0" applyNumberFormat="1" applyFont="1" applyBorder="1"/>
    <xf numFmtId="9" fontId="28" fillId="0" borderId="22" xfId="0" applyNumberFormat="1" applyFont="1" applyBorder="1"/>
    <xf numFmtId="0" fontId="30" fillId="29" borderId="19" xfId="0" applyFont="1" applyFill="1" applyBorder="1"/>
    <xf numFmtId="0" fontId="30" fillId="0" borderId="5" xfId="0" applyFont="1" applyBorder="1"/>
    <xf numFmtId="0" fontId="30" fillId="29" borderId="5" xfId="0" applyFont="1" applyFill="1" applyBorder="1"/>
    <xf numFmtId="9" fontId="30" fillId="34" borderId="22" xfId="0" applyNumberFormat="1" applyFont="1" applyFill="1" applyBorder="1"/>
    <xf numFmtId="0" fontId="32" fillId="26" borderId="4" xfId="0" applyFont="1" applyFill="1" applyBorder="1"/>
    <xf numFmtId="0" fontId="32" fillId="26" borderId="0" xfId="0" applyFont="1" applyFill="1"/>
    <xf numFmtId="4" fontId="28" fillId="31" borderId="0" xfId="0" applyNumberFormat="1" applyFont="1" applyFill="1"/>
    <xf numFmtId="4" fontId="28" fillId="3" borderId="0" xfId="0" applyNumberFormat="1" applyFont="1" applyFill="1"/>
    <xf numFmtId="0" fontId="30" fillId="31" borderId="9" xfId="0" applyFont="1" applyFill="1" applyBorder="1"/>
    <xf numFmtId="0" fontId="30" fillId="3" borderId="9" xfId="0" applyFont="1" applyFill="1" applyBorder="1"/>
    <xf numFmtId="0" fontId="30" fillId="3" borderId="22" xfId="0" applyFont="1" applyFill="1" applyBorder="1"/>
    <xf numFmtId="3" fontId="24" fillId="0" borderId="0" xfId="0" applyNumberFormat="1" applyFont="1" applyAlignment="1">
      <alignment horizontal="center"/>
    </xf>
    <xf numFmtId="2" fontId="1" fillId="9" borderId="2" xfId="0" applyNumberFormat="1" applyFont="1" applyFill="1" applyBorder="1" applyAlignment="1">
      <alignment horizontal="center"/>
    </xf>
    <xf numFmtId="9" fontId="1" fillId="0" borderId="0" xfId="1" applyFont="1"/>
    <xf numFmtId="1" fontId="1" fillId="0" borderId="2" xfId="0" applyNumberFormat="1" applyFont="1" applyBorder="1" applyAlignment="1">
      <alignment horizontal="center"/>
    </xf>
    <xf numFmtId="0" fontId="19" fillId="12" borderId="8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0" fillId="35" borderId="2" xfId="0" applyFill="1" applyBorder="1" applyAlignment="1">
      <alignment horizontal="center"/>
    </xf>
    <xf numFmtId="9" fontId="0" fillId="0" borderId="2" xfId="1" applyFont="1" applyFill="1" applyBorder="1"/>
    <xf numFmtId="164" fontId="0" fillId="0" borderId="2" xfId="1" applyNumberFormat="1" applyFont="1" applyFill="1" applyBorder="1"/>
    <xf numFmtId="0" fontId="35" fillId="0" borderId="0" xfId="0" applyFont="1"/>
    <xf numFmtId="9" fontId="35" fillId="0" borderId="0" xfId="1" applyFont="1" applyFill="1" applyBorder="1"/>
    <xf numFmtId="0" fontId="4" fillId="5" borderId="2" xfId="0" applyFont="1" applyFill="1" applyBorder="1"/>
    <xf numFmtId="164" fontId="4" fillId="5" borderId="2" xfId="0" applyNumberFormat="1" applyFont="1" applyFill="1" applyBorder="1"/>
    <xf numFmtId="0" fontId="34" fillId="4" borderId="2" xfId="0" applyFont="1" applyFill="1" applyBorder="1" applyAlignment="1">
      <alignment horizontal="center"/>
    </xf>
    <xf numFmtId="0" fontId="36" fillId="0" borderId="0" xfId="0" applyFont="1" applyAlignment="1">
      <alignment horizontal="right"/>
    </xf>
    <xf numFmtId="0" fontId="1" fillId="3" borderId="3" xfId="0" applyFont="1" applyFill="1" applyBorder="1" applyAlignment="1">
      <alignment horizontal="center"/>
    </xf>
    <xf numFmtId="0" fontId="4" fillId="0" borderId="3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" fillId="5" borderId="36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41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left" vertical="center"/>
    </xf>
    <xf numFmtId="0" fontId="4" fillId="5" borderId="35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39" fillId="5" borderId="36" xfId="0" applyFont="1" applyFill="1" applyBorder="1" applyAlignment="1">
      <alignment horizontal="center" vertical="center"/>
    </xf>
    <xf numFmtId="0" fontId="4" fillId="5" borderId="37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1" fillId="36" borderId="2" xfId="0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9" fontId="0" fillId="0" borderId="2" xfId="1" applyFont="1" applyBorder="1" applyAlignment="1">
      <alignment horizontal="center"/>
    </xf>
    <xf numFmtId="0" fontId="41" fillId="38" borderId="2" xfId="0" applyFont="1" applyFill="1" applyBorder="1" applyAlignment="1">
      <alignment vertical="center"/>
    </xf>
    <xf numFmtId="0" fontId="41" fillId="38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40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vertical="center"/>
    </xf>
    <xf numFmtId="0" fontId="40" fillId="0" borderId="8" xfId="0" applyFont="1" applyBorder="1" applyAlignment="1">
      <alignment vertical="center"/>
    </xf>
    <xf numFmtId="0" fontId="40" fillId="0" borderId="8" xfId="0" applyFont="1" applyBorder="1" applyAlignment="1">
      <alignment horizontal="center" vertical="center"/>
    </xf>
    <xf numFmtId="0" fontId="0" fillId="3" borderId="2" xfId="0" applyFill="1" applyBorder="1"/>
    <xf numFmtId="9" fontId="0" fillId="3" borderId="2" xfId="1" applyFont="1" applyFill="1" applyBorder="1"/>
    <xf numFmtId="0" fontId="26" fillId="4" borderId="2" xfId="0" applyFont="1" applyFill="1" applyBorder="1" applyAlignment="1">
      <alignment horizontal="center"/>
    </xf>
    <xf numFmtId="0" fontId="24" fillId="0" borderId="9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4" fillId="0" borderId="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6" fillId="4" borderId="13" xfId="0" applyFont="1" applyFill="1" applyBorder="1" applyAlignment="1">
      <alignment horizontal="center"/>
    </xf>
    <xf numFmtId="0" fontId="26" fillId="4" borderId="2" xfId="0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horizontal="left"/>
    </xf>
    <xf numFmtId="0" fontId="34" fillId="4" borderId="7" xfId="0" applyFont="1" applyFill="1" applyBorder="1" applyAlignment="1">
      <alignment horizontal="left"/>
    </xf>
    <xf numFmtId="0" fontId="34" fillId="4" borderId="13" xfId="0" applyFont="1" applyFill="1" applyBorder="1" applyAlignment="1">
      <alignment horizontal="left"/>
    </xf>
    <xf numFmtId="3" fontId="0" fillId="0" borderId="3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4" fillId="5" borderId="7" xfId="0" applyNumberFormat="1" applyFont="1" applyFill="1" applyBorder="1" applyAlignment="1">
      <alignment horizontal="center"/>
    </xf>
    <xf numFmtId="3" fontId="4" fillId="5" borderId="13" xfId="0" applyNumberFormat="1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18" fillId="10" borderId="4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18" fillId="10" borderId="23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18" fillId="11" borderId="0" xfId="0" applyFont="1" applyFill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0" xfId="0" applyFont="1" applyFill="1" applyAlignment="1">
      <alignment horizontal="center"/>
    </xf>
    <xf numFmtId="0" fontId="34" fillId="4" borderId="2" xfId="0" applyFont="1" applyFill="1" applyBorder="1" applyAlignment="1">
      <alignment horizontal="center"/>
    </xf>
    <xf numFmtId="168" fontId="0" fillId="0" borderId="8" xfId="0" applyNumberFormat="1" applyBorder="1" applyAlignment="1">
      <alignment horizontal="center" vertical="center"/>
    </xf>
    <xf numFmtId="168" fontId="0" fillId="0" borderId="19" xfId="0" applyNumberFormat="1" applyBorder="1" applyAlignment="1">
      <alignment horizontal="center" vertical="center"/>
    </xf>
    <xf numFmtId="168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5" borderId="28" xfId="0" applyFont="1" applyFill="1" applyBorder="1" applyAlignment="1">
      <alignment horizontal="center" vertical="center" wrapText="1"/>
    </xf>
    <xf numFmtId="0" fontId="4" fillId="5" borderId="29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0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39" fillId="5" borderId="33" xfId="0" applyFont="1" applyFill="1" applyBorder="1" applyAlignment="1">
      <alignment horizontal="center" vertical="center"/>
    </xf>
    <xf numFmtId="0" fontId="39" fillId="5" borderId="4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164" fontId="24" fillId="0" borderId="0" xfId="1" applyNumberFormat="1" applyFont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164" fontId="24" fillId="17" borderId="2" xfId="1" applyNumberFormat="1" applyFont="1" applyFill="1" applyBorder="1" applyAlignment="1">
      <alignment horizontal="center"/>
    </xf>
    <xf numFmtId="9" fontId="24" fillId="0" borderId="3" xfId="0" applyNumberFormat="1" applyFont="1" applyBorder="1" applyAlignment="1">
      <alignment horizontal="center"/>
    </xf>
    <xf numFmtId="9" fontId="24" fillId="0" borderId="7" xfId="0" applyNumberFormat="1" applyFont="1" applyBorder="1" applyAlignment="1">
      <alignment horizontal="center"/>
    </xf>
    <xf numFmtId="9" fontId="24" fillId="0" borderId="13" xfId="0" applyNumberFormat="1" applyFont="1" applyBorder="1" applyAlignment="1">
      <alignment horizontal="center"/>
    </xf>
    <xf numFmtId="0" fontId="24" fillId="0" borderId="2" xfId="0" applyFont="1" applyFill="1" applyBorder="1" applyAlignment="1">
      <alignment horizontal="center"/>
    </xf>
    <xf numFmtId="0" fontId="24" fillId="16" borderId="2" xfId="0" applyFont="1" applyFill="1" applyBorder="1" applyAlignment="1">
      <alignment horizontal="center"/>
    </xf>
    <xf numFmtId="169" fontId="24" fillId="0" borderId="2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169" fontId="24" fillId="0" borderId="0" xfId="0" applyNumberFormat="1" applyFont="1" applyBorder="1" applyAlignment="1">
      <alignment horizontal="center"/>
    </xf>
    <xf numFmtId="4" fontId="24" fillId="0" borderId="0" xfId="0" applyNumberFormat="1" applyFont="1" applyBorder="1" applyAlignment="1">
      <alignment horizontal="center"/>
    </xf>
    <xf numFmtId="9" fontId="24" fillId="0" borderId="0" xfId="1" applyFont="1" applyBorder="1" applyAlignment="1">
      <alignment horizontal="center"/>
    </xf>
    <xf numFmtId="3" fontId="24" fillId="0" borderId="0" xfId="0" applyNumberFormat="1" applyFont="1" applyBorder="1" applyAlignment="1">
      <alignment horizontal="center"/>
    </xf>
  </cellXfs>
  <cellStyles count="3">
    <cellStyle name="Moneda" xfId="2" builtinId="4"/>
    <cellStyle name="Normal" xfId="0" builtinId="0"/>
    <cellStyle name="Porcentaje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7.xml"/><Relationship Id="rId21" Type="http://schemas.openxmlformats.org/officeDocument/2006/relationships/externalLink" Target="externalLinks/externalLink2.xml"/><Relationship Id="rId42" Type="http://schemas.openxmlformats.org/officeDocument/2006/relationships/externalLink" Target="externalLinks/externalLink23.xml"/><Relationship Id="rId47" Type="http://schemas.openxmlformats.org/officeDocument/2006/relationships/externalLink" Target="externalLinks/externalLink28.xml"/><Relationship Id="rId63" Type="http://schemas.openxmlformats.org/officeDocument/2006/relationships/externalLink" Target="externalLinks/externalLink44.xml"/><Relationship Id="rId68" Type="http://schemas.openxmlformats.org/officeDocument/2006/relationships/externalLink" Target="externalLinks/externalLink49.xml"/><Relationship Id="rId84" Type="http://schemas.openxmlformats.org/officeDocument/2006/relationships/externalLink" Target="externalLinks/externalLink65.xml"/><Relationship Id="rId89" Type="http://schemas.openxmlformats.org/officeDocument/2006/relationships/externalLink" Target="externalLinks/externalLink70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53" Type="http://schemas.openxmlformats.org/officeDocument/2006/relationships/externalLink" Target="externalLinks/externalLink34.xml"/><Relationship Id="rId58" Type="http://schemas.openxmlformats.org/officeDocument/2006/relationships/externalLink" Target="externalLinks/externalLink39.xml"/><Relationship Id="rId74" Type="http://schemas.openxmlformats.org/officeDocument/2006/relationships/externalLink" Target="externalLinks/externalLink55.xml"/><Relationship Id="rId79" Type="http://schemas.openxmlformats.org/officeDocument/2006/relationships/externalLink" Target="externalLinks/externalLink60.xml"/><Relationship Id="rId102" Type="http://schemas.openxmlformats.org/officeDocument/2006/relationships/customXml" Target="../customXml/item5.xml"/><Relationship Id="rId5" Type="http://schemas.openxmlformats.org/officeDocument/2006/relationships/worksheet" Target="worksheets/sheet5.xml"/><Relationship Id="rId90" Type="http://schemas.openxmlformats.org/officeDocument/2006/relationships/pivotCacheDefinition" Target="pivotCache/pivotCacheDefinition1.xml"/><Relationship Id="rId95" Type="http://schemas.openxmlformats.org/officeDocument/2006/relationships/powerPivotData" Target="model/item.data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43" Type="http://schemas.openxmlformats.org/officeDocument/2006/relationships/externalLink" Target="externalLinks/externalLink24.xml"/><Relationship Id="rId48" Type="http://schemas.openxmlformats.org/officeDocument/2006/relationships/externalLink" Target="externalLinks/externalLink29.xml"/><Relationship Id="rId64" Type="http://schemas.openxmlformats.org/officeDocument/2006/relationships/externalLink" Target="externalLinks/externalLink45.xml"/><Relationship Id="rId69" Type="http://schemas.openxmlformats.org/officeDocument/2006/relationships/externalLink" Target="externalLinks/externalLink50.xml"/><Relationship Id="rId80" Type="http://schemas.openxmlformats.org/officeDocument/2006/relationships/externalLink" Target="externalLinks/externalLink61.xml"/><Relationship Id="rId85" Type="http://schemas.openxmlformats.org/officeDocument/2006/relationships/externalLink" Target="externalLinks/externalLink6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46" Type="http://schemas.openxmlformats.org/officeDocument/2006/relationships/externalLink" Target="externalLinks/externalLink27.xml"/><Relationship Id="rId59" Type="http://schemas.openxmlformats.org/officeDocument/2006/relationships/externalLink" Target="externalLinks/externalLink40.xml"/><Relationship Id="rId67" Type="http://schemas.openxmlformats.org/officeDocument/2006/relationships/externalLink" Target="externalLinks/externalLink48.xml"/><Relationship Id="rId20" Type="http://schemas.openxmlformats.org/officeDocument/2006/relationships/externalLink" Target="externalLinks/externalLink1.xml"/><Relationship Id="rId41" Type="http://schemas.openxmlformats.org/officeDocument/2006/relationships/externalLink" Target="externalLinks/externalLink22.xml"/><Relationship Id="rId54" Type="http://schemas.openxmlformats.org/officeDocument/2006/relationships/externalLink" Target="externalLinks/externalLink35.xml"/><Relationship Id="rId62" Type="http://schemas.openxmlformats.org/officeDocument/2006/relationships/externalLink" Target="externalLinks/externalLink43.xml"/><Relationship Id="rId70" Type="http://schemas.openxmlformats.org/officeDocument/2006/relationships/externalLink" Target="externalLinks/externalLink51.xml"/><Relationship Id="rId75" Type="http://schemas.openxmlformats.org/officeDocument/2006/relationships/externalLink" Target="externalLinks/externalLink56.xml"/><Relationship Id="rId83" Type="http://schemas.openxmlformats.org/officeDocument/2006/relationships/externalLink" Target="externalLinks/externalLink64.xml"/><Relationship Id="rId88" Type="http://schemas.openxmlformats.org/officeDocument/2006/relationships/externalLink" Target="externalLinks/externalLink69.xml"/><Relationship Id="rId91" Type="http://schemas.openxmlformats.org/officeDocument/2006/relationships/theme" Target="theme/theme1.xml"/><Relationship Id="rId9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49" Type="http://schemas.openxmlformats.org/officeDocument/2006/relationships/externalLink" Target="externalLinks/externalLink30.xml"/><Relationship Id="rId57" Type="http://schemas.openxmlformats.org/officeDocument/2006/relationships/externalLink" Target="externalLinks/externalLink38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2.xml"/><Relationship Id="rId44" Type="http://schemas.openxmlformats.org/officeDocument/2006/relationships/externalLink" Target="externalLinks/externalLink25.xml"/><Relationship Id="rId52" Type="http://schemas.openxmlformats.org/officeDocument/2006/relationships/externalLink" Target="externalLinks/externalLink33.xml"/><Relationship Id="rId60" Type="http://schemas.openxmlformats.org/officeDocument/2006/relationships/externalLink" Target="externalLinks/externalLink41.xml"/><Relationship Id="rId65" Type="http://schemas.openxmlformats.org/officeDocument/2006/relationships/externalLink" Target="externalLinks/externalLink46.xml"/><Relationship Id="rId73" Type="http://schemas.openxmlformats.org/officeDocument/2006/relationships/externalLink" Target="externalLinks/externalLink54.xml"/><Relationship Id="rId78" Type="http://schemas.openxmlformats.org/officeDocument/2006/relationships/externalLink" Target="externalLinks/externalLink59.xml"/><Relationship Id="rId81" Type="http://schemas.openxmlformats.org/officeDocument/2006/relationships/externalLink" Target="externalLinks/externalLink62.xml"/><Relationship Id="rId86" Type="http://schemas.openxmlformats.org/officeDocument/2006/relationships/externalLink" Target="externalLinks/externalLink67.xml"/><Relationship Id="rId94" Type="http://schemas.openxmlformats.org/officeDocument/2006/relationships/sharedStrings" Target="sharedStrings.xml"/><Relationship Id="rId99" Type="http://schemas.openxmlformats.org/officeDocument/2006/relationships/customXml" Target="../customXml/item2.xml"/><Relationship Id="rId10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15.xml"/><Relationship Id="rId50" Type="http://schemas.openxmlformats.org/officeDocument/2006/relationships/externalLink" Target="externalLinks/externalLink31.xml"/><Relationship Id="rId55" Type="http://schemas.openxmlformats.org/officeDocument/2006/relationships/externalLink" Target="externalLinks/externalLink36.xml"/><Relationship Id="rId76" Type="http://schemas.openxmlformats.org/officeDocument/2006/relationships/externalLink" Target="externalLinks/externalLink57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2.xml"/><Relationship Id="rId92" Type="http://schemas.openxmlformats.org/officeDocument/2006/relationships/connections" Target="connections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5.xml"/><Relationship Id="rId40" Type="http://schemas.openxmlformats.org/officeDocument/2006/relationships/externalLink" Target="externalLinks/externalLink21.xml"/><Relationship Id="rId45" Type="http://schemas.openxmlformats.org/officeDocument/2006/relationships/externalLink" Target="externalLinks/externalLink26.xml"/><Relationship Id="rId66" Type="http://schemas.openxmlformats.org/officeDocument/2006/relationships/externalLink" Target="externalLinks/externalLink47.xml"/><Relationship Id="rId87" Type="http://schemas.openxmlformats.org/officeDocument/2006/relationships/externalLink" Target="externalLinks/externalLink68.xml"/><Relationship Id="rId61" Type="http://schemas.openxmlformats.org/officeDocument/2006/relationships/externalLink" Target="externalLinks/externalLink42.xml"/><Relationship Id="rId82" Type="http://schemas.openxmlformats.org/officeDocument/2006/relationships/externalLink" Target="externalLinks/externalLink6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56" Type="http://schemas.openxmlformats.org/officeDocument/2006/relationships/externalLink" Target="externalLinks/externalLink37.xml"/><Relationship Id="rId77" Type="http://schemas.openxmlformats.org/officeDocument/2006/relationships/externalLink" Target="externalLinks/externalLink58.xml"/><Relationship Id="rId100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2.xml"/><Relationship Id="rId72" Type="http://schemas.openxmlformats.org/officeDocument/2006/relationships/externalLink" Target="externalLinks/externalLink53.xml"/><Relationship Id="rId93" Type="http://schemas.openxmlformats.org/officeDocument/2006/relationships/styles" Target="styles.xml"/><Relationship Id="rId98" Type="http://schemas.openxmlformats.org/officeDocument/2006/relationships/customXml" Target="../customXml/item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371475</xdr:colOff>
      <xdr:row>1</xdr:row>
      <xdr:rowOff>514350</xdr:rowOff>
    </xdr:from>
    <xdr:to>
      <xdr:col>17</xdr:col>
      <xdr:colOff>467802</xdr:colOff>
      <xdr:row>23</xdr:row>
      <xdr:rowOff>124409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FB3280-9712-CD74-8E18-CB7425FE6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5475" y="704850"/>
          <a:ext cx="7716327" cy="4182059"/>
        </a:xfrm>
        <a:prstGeom prst="rect">
          <a:avLst/>
        </a:prstGeom>
      </xdr:spPr>
    </xdr:pic>
    <xdr:clientData/>
  </xdr:twoCellAnchor>
  <xdr:twoCellAnchor editAs="oneCell">
    <xdr:from>
      <xdr:col>7</xdr:col>
      <xdr:colOff>371475</xdr:colOff>
      <xdr:row>24</xdr:row>
      <xdr:rowOff>76200</xdr:rowOff>
    </xdr:from>
    <xdr:to>
      <xdr:col>17</xdr:col>
      <xdr:colOff>467802</xdr:colOff>
      <xdr:row>29</xdr:row>
      <xdr:rowOff>143017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B998116-76DB-6D82-34E6-28B67CE72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05475" y="5029200"/>
          <a:ext cx="7716327" cy="1019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352425</xdr:colOff>
      <xdr:row>21</xdr:row>
      <xdr:rowOff>85334</xdr:rowOff>
    </xdr:from>
    <xdr:to>
      <xdr:col>16</xdr:col>
      <xdr:colOff>629557</xdr:colOff>
      <xdr:row>27</xdr:row>
      <xdr:rowOff>85916</xdr:rowOff>
    </xdr:to>
    <xdr:pic>
      <xdr:nvPicPr>
        <xdr:cNvPr id="10" name="Imagen 1">
          <a:extLst>
            <a:ext uri="{FF2B5EF4-FFF2-40B4-BE49-F238E27FC236}">
              <a16:creationId xmlns:a16="http://schemas.microsoft.com/office/drawing/2014/main" id="{48EF6D3F-39BE-9A19-EABB-96B72E39C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4133459"/>
          <a:ext cx="5506357" cy="11626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0</xdr:row>
      <xdr:rowOff>173708</xdr:rowOff>
    </xdr:from>
    <xdr:to>
      <xdr:col>22</xdr:col>
      <xdr:colOff>697007</xdr:colOff>
      <xdr:row>18</xdr:row>
      <xdr:rowOff>507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D8E949-29B1-902E-B5D3-8AB5E0ABE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173708"/>
          <a:ext cx="10907807" cy="32938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dirocco\AppData\Local\Microsoft\Windows\Temporary%20Internet%20Files\Content.Outlook\8ZMJZ5EL\BNDAL-18150-YPFAR%20-%20Montaje%20Controladores%20de%20Pozo%20(rev.A)%20SANTA%20CRUZ%20(003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CURVA-MEDJDM-Prod-2001-Tot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ill\Configuraci&#243;n%20local\Archivos%20temporales%20de%20Internet\Content.IE5\1R4XPPCF\Planta%20de%20Inyeccion%20-%20Cerro%20Drago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Abril\Informe%20Asignados%20Internacionale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reyandr\My%20Documents\2004%20files\Finance%202004\Repsol%20YPF%20analysis%20-%20December%202004%20I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miculi\Mis%20documentos\Miculian%20Pablo\Bolland%20&amp;%20Cia\Costeo%20preliminar%203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ectores\Ing.%20Prod\PULLING\SEGUIMIENTO\Pulling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quanima\Proyectos\Chile\Banco%20Santander\6041%20-%20Servicio%20Apoyo%20de%20Vigilancia\3%20Inteligencia%20Mercado\RFI_604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rubio\Mis%20documentos\2008\Casos\D&amp;S\ASEO\RFI\RFI%20Recibidos\analisis\RFI%20Recibidos\Limoci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rubio\Mis%20documentos\2009\Casos\TOTTUS\RFI\Recepci&#243;n%20RFI\Floor_Crew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Estudio%202525%20ver%2022deMayo%20con%20zona%20y%20modif%20CC%20JP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Sectores\Producci&#243;n\DARIO\PRESUP%202004\CONSOLIDADO%20FINAL%20MEDANITO%20C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Enero\Informe%20Asignados%20Internacionale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corder\Mis%20documentos\evangelina\Yacimiento\YPF\Informe%20varios\Informes%20T&#233;cnicos\Intervenci&#243;n-fotos-tendencia-croma-bsr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dirocco/Documents/BND%20-%20Gesti&#243;n%20de%20Personas%20MZA/Cotizaciones/TRAZADORES/201801%20Pablo%20Mu&#241;oz/Cotizaci&#243;n%20MO%20201801%20rev.A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05\biblioteca\Biblioteca\Piping\Soporte%20de%20C&#225;lculo\Espesor\Caner&#237;as%20PEA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ata\back%20AF%20%20recuperado\My%20Documents\Carpeta%20de%20Control%20de%20Pozos\Resumen%20y%20an&#225;lisis%2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nas01\Depart\COMPENSACIONES\INFORMES%20SOLICITADOS\2009\R&amp;P\Ejercicio%20Octubre%202008\Recibidos\10-08_ANALISIS%20EJERCICIO%20DE%20NOV%20v3.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omegabd\My%20Documents\Maria%20Ines\REPORTES\PP%2016\03%20Pulling%20PP%2016%20(02-04-04)\RI%20PP16%20(05-04-04)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My%20Documents\A%20RIO%20GALLEGOS\Alianza%20Petrobras\Contrato\Copy%20of%20Petrobras%20%20Agosto%20%202006%20con%20Bombas%20Centurion%20a%20Presentar%2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BERTO\Formularios%20Servicios\PPTO.%20PETROANDIN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Local%20Settings\Temporary%20Internet%20Files\OLK10\WINDOWS\Temporary%20Internet%20Files\Content.IE5\9GNO1ELY\Certificado%2003-0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ostan\Configuraci&#243;n%20local\Temp\CATRIEL_JUL13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Simulaci&#243;n%20aumentos\Simulaci&#243;n%20condiciones\Informe%20Asignados%20Internacionale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huench\Mis%20documentos\PQB%20NEUQUEN\CUENTAS\DISCRIMINACION%20DE%20PRECIOS%20Y%20RECURSOS%20YPF\FINAL%20FINAL\ANEXO%20III%204944903%20u$s_912$_%20%20Ajustada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miculi.ARGENTINA\AppData\Local\Microsoft\Windows\Temporary%20Internet%20Files\Content.Outlook\PEZDPPGF\Cotizaci&#243;n%20PM-F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ETREVEN\BSC-FIN\BILANCIO\2014\SA\Petreven%20S.A.%20BCA%20Menu%20Administrador.xlsm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es_doc\BOLLAND\0034_1st%20Iny%20Trapial\piping\c&#243;mputo%20el%20trapial%20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jose-h\Mis%20documentos\AA\CONTRATO%20O&amp;M%20YPF\Estudio%20Econ&#243;mico\Tarifa%20WO%20O&amp;M%20%20%20incremental\REE%20EPASA%20TARIFA%20Incremental%20WO%20UNAO%20ene2008%20rev%202%20YPF-EPASA%2019may08%20DTM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tizaciones\PEREZ%20COMPANC\PLANILLAYPF5645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Mant.Junio-Julio%202009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O&amp;M%20-%20Pa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Ingenier&#237;a%20Extracci&#243;n%20Junio%20Rev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omegabd\My%20Documents\Maria%20Ines\REPORTES\PP%2028\01%20Pulling%20PP%2028%20(11-05-04)\RP%20PP28%20(11-05-04)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qnbua-dc\respaldo$\Documents%20and%20Settings\Victoria.Maes\Configuraci&#243;n%20local\Archivos%20temporales%20de%20Internet\OLK88\RFI_6041%20(2)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lizon\AppData\Local\Temp\Temp9_Archivos%20adjuntos%20comprimidos%20de%20WinZip%20(2).zip\Planilla%20Certificaci&#243;n%20Enero%202016-Catriel-Zona%20I%20II%20y%20VAM-.xlsm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lizon\AppData\Local\Temp\Temp12_Archivos%20adjuntos%20comprimidos%20de%20WinZip%20(2).zip\Planilla%20Certificaci&#243;n%20Abril%202016-Catriel-Zona%20I%20II%20y%20VAM.xlsm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huench\Configuraci&#243;n%20local\Temp\Copia%20de%20NUEVO%20ANEXO%20III%20V7%2049_%20AJ_CCT%2053-6346-12%20mh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bidart\Mis%20documentos\Pamela\Banco%20Santander\Cheques\Estadisticas%20Cheques%20y%20Dctos.Valorado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MPA_02\Centrilift\Mis%20documentos\Puesto%20Hern&#225;ndez\Disco%20Q\Ingenieria%20de%20Produccion\Pulling%20-%20Parte%20diario\Pulling-Intervenciones\PULL9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microsoft.com/office/2019/04/relationships/externalLinkLongPath" Target="2.%20Info%20Mgue/An&#225;lisis%20Mercado%20Nalco%20YPF/Mercado%20Actual%20YPF%20MGUE.xlsx?FB3AE778" TargetMode="External"/><Relationship Id="rId1" Type="http://schemas.openxmlformats.org/officeDocument/2006/relationships/externalLinkPath" Target="file:///\\FB3AE778\Mercado%20Actual%20YPF%20MGU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ostan\Configuraci&#243;n%20local\Temp\Apertura%20de%20Costos%20Tipo%20PAE%20-%20vfinal%20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RO"/>
      <sheetName val="Errores"/>
      <sheetName val="PD"/>
      <sheetName val="PND"/>
      <sheetName val="Template"/>
      <sheetName val="PR"/>
      <sheetName val="PO"/>
      <sheetName val="EXP"/>
      <sheetName val="TOTAL"/>
      <sheetName val="MAXIMO"/>
      <sheetName val="Datos"/>
      <sheetName val="Opciones Multip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YPF SUR"/>
      <sheetName val="YPF OESTE"/>
      <sheetName val="SPLITS"/>
      <sheetName val="DATABASE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B.M."/>
      <sheetName val="CARGA DE DATOS B.E.S. "/>
      <sheetName val="CARGA DE DATOS P.C.P."/>
      <sheetName val="CARGA DE DATOS"/>
      <sheetName val="Graph"/>
      <sheetName val="Resumen Graficos"/>
      <sheetName val="TOTALES"/>
      <sheetName val="ESPERA TRACTOR"/>
      <sheetName val="CAMBIO DE BOMBA"/>
      <sheetName val="PESCA DE V-B"/>
      <sheetName val="PERDIDA DE TBG."/>
      <sheetName val="BOMBEO APRISIONADO"/>
      <sheetName val="RESUMEN ANUAL"/>
      <sheetName val="CORR-INC."/>
      <sheetName val="causas"/>
      <sheetName val="HORAS DE PULLING"/>
      <sheetName val="pres-04"/>
      <sheetName val="5858"/>
      <sheetName val="5859"/>
      <sheetName val="5862"/>
      <sheetName val="SetupImpre"/>
      <sheetName val="AreaImpre"/>
      <sheetName val="MenuPrincipal"/>
      <sheetName val="pulling 2005   DEF"/>
      <sheetName val="Datos IP Teórico"/>
      <sheetName val="PESCA DE V_B"/>
      <sheetName val="PERDIDA DE TBG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de la empresa"/>
      <sheetName val="Experiencia"/>
      <sheetName val="Cobertura"/>
      <sheetName val="Aspectos Financieros"/>
      <sheetName val="Competencia"/>
      <sheetName val="Preguntas Directas"/>
      <sheetName val="Proveedores-Insum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de la empresa"/>
      <sheetName val="Experiencia"/>
      <sheetName val="Proveedores"/>
      <sheetName val="Info financiera"/>
      <sheetName val="Facturación Tottus"/>
      <sheetName val="Maquinaria"/>
      <sheetName val="Hoja1"/>
      <sheetName val="Preguntas Directa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gregado total"/>
      <sheetName val="Desagregado por item"/>
      <sheetName val="Historico de Aumentos"/>
      <sheetName val="Cuadro de Resultados"/>
      <sheetName val="Preciario"/>
      <sheetName val="Estructura ACTUAL EE"/>
      <sheetName val="Personal FASP EE"/>
      <sheetName val="RRHH"/>
      <sheetName val="Analisis Ingresos"/>
      <sheetName val="Supervisores"/>
      <sheetName val="Estructura ACTUAL"/>
      <sheetName val="Propuestas (no tocar)"/>
      <sheetName val="Personal FASP"/>
      <sheetName val="Personal FC"/>
      <sheetName val="EPP y Vestuario"/>
      <sheetName val="Vehículos"/>
      <sheetName val="Gastos Varios"/>
      <sheetName val="sin efec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BROS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/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METROS"/>
      <sheetName val="ESPESOR"/>
      <sheetName val="Hoja2"/>
      <sheetName val="Hoja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 SCADA"/>
      <sheetName val="S-102"/>
      <sheetName val="SCADA"/>
      <sheetName val="Correcciones"/>
      <sheetName val="Novedades"/>
      <sheetName val="Curvas"/>
      <sheetName val="MiniDB"/>
      <sheetName val="DB_declinacion"/>
      <sheetName val="Impr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erios casos criticos"/>
      <sheetName val="Gráfico1"/>
      <sheetName val="Gráfico2"/>
      <sheetName val="grafico"/>
      <sheetName val="RESUMEN GENERAL"/>
      <sheetName val="PRES-"/>
      <sheetName val="Base General"/>
      <sheetName val="RESUMEN por planta"/>
      <sheetName val="Resumen por Gcia.Div y cat"/>
      <sheetName val="TD SUELDOS ANUALES"/>
      <sheetName val="td ing. y tecno."/>
      <sheetName val="td EYC"/>
      <sheetName val="td FERTILIZANTES"/>
      <sheetName val="td GETRAN"/>
      <sheetName val="td sum y trading"/>
      <sheetName val="td refino y op."/>
      <sheetName val="td (pyl)"/>
      <sheetName val="td pnp"/>
      <sheetName val="td general"/>
      <sheetName val="Gráfico % MP"/>
      <sheetName val="ESTRUCTURAS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alacion"/>
      <sheetName val="DataCombos"/>
      <sheetName val="DataCombos2"/>
      <sheetName val="Validacion"/>
      <sheetName val="MappedFields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 MATRIX"/>
      <sheetName val="MASTER TABLE"/>
      <sheetName val="COVER"/>
      <sheetName val="TOC"/>
      <sheetName val="DPUMPS-338 p.01"/>
      <sheetName val="DC800 p.02"/>
      <sheetName val="DC1000 &amp; DC1250 p.03"/>
      <sheetName val="DC2200 &amp; DC2500 p.04"/>
      <sheetName val="FPUMPS-400 (1 OF 2) p.05"/>
      <sheetName val="FPUMPS-400 (2 OF 2) p.06"/>
      <sheetName val="FS400 &amp; FS650 p.07"/>
      <sheetName val="FS950 &amp; FS1200 p.08"/>
      <sheetName val="FS1650 p.9"/>
      <sheetName val="FC450 &amp; FC650 p.10"/>
      <sheetName val="FC925 &amp; FC1200 p.11"/>
      <sheetName val="FC1600 &amp; FC1800 (resv.)  p.12"/>
      <sheetName val="FC2200 &amp; FC2700 p.13"/>
      <sheetName val="FC4300 &amp; FC6000 p.14"/>
      <sheetName val="FCNPSH p.15"/>
      <sheetName val="FPUMPS-400 AR p.16"/>
      <sheetName val="GPUMPS-513 (1 OF 2) p.17"/>
      <sheetName val="GPUMPS-513 (2 OF 2) p.18"/>
      <sheetName val="GS2300 p.19"/>
      <sheetName val="GC1150 &amp; GC1700 p.20"/>
      <sheetName val="GC2200 &amp; GC2900 p.21"/>
      <sheetName val="GC3000 &amp; GC3500 p.22"/>
      <sheetName val="GC4100 &amp; GC6100 p.23"/>
      <sheetName val="GC8200 &amp; GC10000 p.24"/>
      <sheetName val="GCNPSH p.25"/>
      <sheetName val="GPUMPS-513 AR p.26"/>
      <sheetName val="KPUMPS - 562 SERIES p.27"/>
      <sheetName val="KC12000 p.28"/>
      <sheetName val="KC16000 p.29"/>
      <sheetName val="KC20000 p.30"/>
      <sheetName val="KPUMPS-562 AR p.31 "/>
      <sheetName val="HPUMPS - 675 SERIES p.32"/>
      <sheetName val="HC7800-10000 p.33"/>
      <sheetName val="HC12500-16000 p34  "/>
      <sheetName val="HC19000 p.35"/>
      <sheetName val="HC27000-35000  p.36"/>
      <sheetName val="HPUMPS-675 AR p.37"/>
      <sheetName val="I-J PUMPS 875-1025 SERIES p.38"/>
      <sheetName val="WI600 p.39"/>
      <sheetName val="WI700 PUMP p.40"/>
      <sheetName val="WJ1000 p.41"/>
      <sheetName val="WJ1200 p.42"/>
      <sheetName val="Centurion Pump p.43"/>
      <sheetName val="400P6p.44"/>
      <sheetName val="400P8 p.45"/>
      <sheetName val="400P12 p.46"/>
      <sheetName val="400P16 p.47"/>
      <sheetName val="400P18 p.48"/>
      <sheetName val="400P30 p.49"/>
      <sheetName val="538p17 p50"/>
      <sheetName val="538p23 p.51"/>
      <sheetName val="538p37 p.52"/>
      <sheetName val="538p47 p.53"/>
      <sheetName val="538p62 p.54"/>
      <sheetName val="538p100 p.55"/>
      <sheetName val="375 MOTORS-338 SEALS p.56"/>
      <sheetName val="375 MOTORS p.57"/>
      <sheetName val="450 MOTORS-400 SEALS p.58"/>
      <sheetName val="FMH 450 MOTORS p.59"/>
      <sheetName val="562 MOTORS-513 SEALS p.60"/>
      <sheetName val="562 KMH-MOTORS p.61"/>
      <sheetName val="562 KMH-MOTORS p.62"/>
      <sheetName val="725 MOTORS-675 SEALS p.63"/>
      <sheetName val="725 MOTORS p.64"/>
      <sheetName val="MLE 1 OF 4 p.65"/>
      <sheetName val="MLE 2 OF 4 p.66"/>
      <sheetName val="MLE 3 OF 4 p.67"/>
      <sheetName val="MLE 4 OF 4 p.68"/>
      <sheetName val="CABLE 1 OF 2 p.60"/>
      <sheetName val="CABLE 2 OF 3 p.70"/>
      <sheetName val="CABLE 3 OF 3 p.71"/>
      <sheetName val="SWITCHBOARDS 1 OF 2 p.72"/>
      <sheetName val="SWITCHBOARDS 2 OF 2 p.73"/>
      <sheetName val="VSD 1 OF 3 p.74"/>
      <sheetName val="VSD 2 OF 3 p.75"/>
      <sheetName val="VSD 3 OF 3 p.76"/>
      <sheetName val="GCS1 p.77"/>
      <sheetName val="GCS2 p.78"/>
      <sheetName val="GCS3 p.79"/>
      <sheetName val="PumpMate p.80"/>
      <sheetName val="Sensor Centinel p.81"/>
      <sheetName val="Recirculation Pump p.82"/>
      <sheetName val="XFORMERS 1 OF 2 p.83"/>
      <sheetName val="XFORMERS 2 OF 2  p.84"/>
      <sheetName val="XFORMERS VSC p.85"/>
      <sheetName val="Transformer VSD Argentina p.86"/>
      <sheetName val="XFORMERS Arg. p.87"/>
      <sheetName val="SURFACE EQUIPMENT  p.88"/>
      <sheetName val="ACCESSORIES (1 OF 2) p.89"/>
      <sheetName val="ACCESSORIES (2 OF 2) p.90"/>
      <sheetName val="INSPECCION Y REPARACION p.91"/>
      <sheetName val="Glossary p.92"/>
      <sheetName val="Glossary2 p.93"/>
      <sheetName val="Glossary3 p.94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Costo Venta"/>
      <sheetName val="Resumen"/>
      <sheetName val="MOD"/>
      <sheetName val="MOI"/>
      <sheetName val="Materiales"/>
      <sheetName val="Herramientas"/>
      <sheetName val="Consumibles"/>
      <sheetName val="Equipos"/>
      <sheetName val="Subc"/>
      <sheetName val="Gastos"/>
      <sheetName val="Valores FASPyGP"/>
      <sheetName val="CSoc"/>
      <sheetName val="I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on Taller "/>
      <sheetName val="N de Crédito"/>
      <sheetName val="N de Crédito-Niveles"/>
      <sheetName val="Cargo Mensual"/>
      <sheetName val="PH 0573"/>
      <sheetName val="Cotizacion PH 1411"/>
      <sheetName val="PH 1411"/>
      <sheetName val="Diferencia "/>
      <sheetName val="Sop Dif "/>
      <sheetName val="Res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/>
      <sheetData sheetId="11" refreshError="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ntroles procesos"/>
      <sheetName val="Errores importacion"/>
      <sheetName val="CONVERSORA"/>
      <sheetName val="TRANSPORTE"/>
      <sheetName val="O_Procesar SyS"/>
      <sheetName val="O_Resumen SyS"/>
      <sheetName val="O_Procesar Au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40-18-P-RI-002"/>
      <sheetName val="Sold. y Gammagraf."/>
      <sheetName val="Aislación"/>
      <sheetName val="Tracing"/>
      <sheetName val="Pintura Ext"/>
      <sheetName val="1240_18_P_RI_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Estructura Actual"/>
      <sheetName val="Resumen"/>
      <sheetName val="Resumen WO"/>
      <sheetName val="Resumen HH102"/>
      <sheetName val="Resumen HH220"/>
      <sheetName val="Datos Básicos"/>
      <sheetName val="Itemizado"/>
      <sheetName val="Organigrama"/>
      <sheetName val="Mod"/>
      <sheetName val="DatosMOD"/>
      <sheetName val="MOI"/>
      <sheetName val="DatosMOI"/>
      <sheetName val="OrgZon"/>
      <sheetName val="DatosZon"/>
      <sheetName val="CSoc"/>
      <sheetName val="GdP"/>
      <sheetName val="Mat"/>
      <sheetName val="Htas"/>
      <sheetName val="Equ"/>
      <sheetName val="CyL"/>
      <sheetName val="DatosEqu"/>
      <sheetName val="Sub"/>
      <sheetName val="Fle"/>
      <sheetName val="Bases"/>
      <sheetName val="GVs"/>
      <sheetName val="Ing"/>
      <sheetName val="CFinanc"/>
      <sheetName val="Seg"/>
      <sheetName val="EPP y Vestuario"/>
      <sheetName val="TARIFAS DINAM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/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u$s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CECO _ SCI _ SCI PE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olic provisión $ SCI UTE"/>
      <sheetName val="Solic provisión $ SCI UTE PESA"/>
      <sheetName val="Solic provisión $ SCI O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$ GETRAN"/>
      <sheetName val="CECO _ SC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$ SCI UTE PESA"/>
      <sheetName val="Solic provisión u$s SCI O"/>
      <sheetName val="Solic provisión $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u$s GETRAN"/>
      <sheetName val="Solic provisión $ GETRAN"/>
      <sheetName val="CECO _ SC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ing"/>
      <sheetName val="DataCombos"/>
      <sheetName val="DataCombos2"/>
      <sheetName val="Validacion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tander"/>
      <sheetName val="InfoSant"/>
      <sheetName val="Comparación"/>
      <sheetName val="TablaGral"/>
      <sheetName val="Hoja1"/>
      <sheetName val="Estad"/>
      <sheetName val="Resumen"/>
      <sheetName val="CG"/>
      <sheetName val="Proveedores"/>
      <sheetName val="Vol"/>
      <sheetName val="FormatoCotiz"/>
      <sheetName val="IP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98"/>
      <sheetName val="PULL98.xls"/>
      <sheetName val="\\PAMPA_02\Centrilift\Mis docum"/>
    </sheetNames>
    <definedNames>
      <definedName name="VOLVER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cado YPF"/>
      <sheetName val="Hoja1"/>
      <sheetName val="Tratamientos"/>
      <sheetName val="BCConc"/>
      <sheetName val="Nov"/>
      <sheetName val="Dic"/>
      <sheetName val="EstimaciónYPF"/>
      <sheetName val="LP"/>
      <sheetName val="Análisis"/>
      <sheetName val="CtrlBat"/>
      <sheetName val="CtrlPozo"/>
    </sheetNames>
    <sheetDataSet>
      <sheetData sheetId="0"/>
      <sheetData sheetId="1"/>
      <sheetData sheetId="2">
        <row r="1">
          <cell r="H1">
            <v>8</v>
          </cell>
          <cell r="I1">
            <v>9</v>
          </cell>
          <cell r="J1">
            <v>10</v>
          </cell>
        </row>
        <row r="2">
          <cell r="H2" t="str">
            <v>Producto 
Quimico</v>
          </cell>
          <cell r="I2" t="str">
            <v>Precio unitario [USD/l]</v>
          </cell>
          <cell r="J2" t="str">
            <v>Tipo 
Quimico</v>
          </cell>
        </row>
        <row r="3">
          <cell r="H3" t="str">
            <v>SURFATRON DN-155</v>
          </cell>
          <cell r="I3">
            <v>4.25</v>
          </cell>
          <cell r="J3" t="str">
            <v>REDUCTOR DE FRICCIÓN</v>
          </cell>
        </row>
        <row r="4">
          <cell r="H4" t="str">
            <v>DVE4B003</v>
          </cell>
          <cell r="I4">
            <v>5.7</v>
          </cell>
          <cell r="J4" t="str">
            <v>BACTERICIDA</v>
          </cell>
        </row>
        <row r="5">
          <cell r="H5" t="str">
            <v>GYPTRON TA-416</v>
          </cell>
          <cell r="I5">
            <v>2.19</v>
          </cell>
          <cell r="J5" t="str">
            <v>INHIBIDOR DE INCRUSTACIONES</v>
          </cell>
        </row>
        <row r="6">
          <cell r="H6" t="str">
            <v>EMBR14512A</v>
          </cell>
          <cell r="I6">
            <v>3.16</v>
          </cell>
          <cell r="J6" t="str">
            <v>DESEMULSIONANTE</v>
          </cell>
        </row>
        <row r="7">
          <cell r="H7" t="str">
            <v>EC6539A</v>
          </cell>
          <cell r="I7">
            <v>5.47</v>
          </cell>
          <cell r="J7" t="str">
            <v>INHIBIDOR DE PARAFINAS Y ASFALTENOS</v>
          </cell>
        </row>
        <row r="8">
          <cell r="H8" t="str">
            <v>EC3156</v>
          </cell>
          <cell r="I8">
            <v>2.5</v>
          </cell>
          <cell r="J8" t="str">
            <v>ANTIESPUMANTE</v>
          </cell>
        </row>
        <row r="9">
          <cell r="H9" t="str">
            <v>CORTRON RN470</v>
          </cell>
          <cell r="I9">
            <v>2.65</v>
          </cell>
          <cell r="J9" t="str">
            <v>INHIBIDOR DE CORROSIÓN</v>
          </cell>
        </row>
        <row r="10">
          <cell r="H10" t="str">
            <v>EMBR14512A</v>
          </cell>
          <cell r="I10">
            <v>3.16</v>
          </cell>
          <cell r="J10" t="str">
            <v>DESEMULSIONANTE</v>
          </cell>
        </row>
        <row r="11">
          <cell r="H11" t="str">
            <v>EMBR14512A</v>
          </cell>
          <cell r="I11">
            <v>3.16</v>
          </cell>
          <cell r="J11" t="str">
            <v>DESEMULSIONANTE</v>
          </cell>
        </row>
        <row r="12">
          <cell r="H12" t="str">
            <v>EMBR14512A</v>
          </cell>
          <cell r="I12">
            <v>3.16</v>
          </cell>
          <cell r="J12" t="str">
            <v>DESEMULSIONANTE</v>
          </cell>
        </row>
        <row r="13">
          <cell r="H13" t="str">
            <v>EC6539A</v>
          </cell>
          <cell r="I13">
            <v>5.47</v>
          </cell>
          <cell r="J13" t="str">
            <v>INHIBIDOR DE PARAFINAS Y ASFALTENOS</v>
          </cell>
        </row>
        <row r="14">
          <cell r="H14" t="str">
            <v>SURFATRON DN-155</v>
          </cell>
          <cell r="I14">
            <v>4.25</v>
          </cell>
          <cell r="J14" t="str">
            <v>REDUCTOR DE FRICCIÓN</v>
          </cell>
        </row>
        <row r="15">
          <cell r="H15" t="str">
            <v>EMBR14512A</v>
          </cell>
          <cell r="I15">
            <v>3.16</v>
          </cell>
          <cell r="J15" t="str">
            <v>DESEMULSIONANTE</v>
          </cell>
        </row>
        <row r="16">
          <cell r="H16" t="str">
            <v>EMBR14512A</v>
          </cell>
          <cell r="I16">
            <v>3.16</v>
          </cell>
          <cell r="J16" t="str">
            <v>REDUCTOR DE FRICCIÓN</v>
          </cell>
        </row>
        <row r="17">
          <cell r="H17" t="str">
            <v>EMBR14512A</v>
          </cell>
          <cell r="I17">
            <v>3.16</v>
          </cell>
          <cell r="J17" t="str">
            <v>DESEMULSIONANTE</v>
          </cell>
        </row>
        <row r="18">
          <cell r="H18" t="str">
            <v>EMBR14512A</v>
          </cell>
          <cell r="I18">
            <v>3.16</v>
          </cell>
          <cell r="J18" t="str">
            <v>DESEMULSIONANTE</v>
          </cell>
        </row>
        <row r="19">
          <cell r="H19" t="str">
            <v>TX14120</v>
          </cell>
          <cell r="I19">
            <v>4.41</v>
          </cell>
          <cell r="J19" t="str">
            <v>HUMECTANTE DE SOLIDOS</v>
          </cell>
        </row>
        <row r="20">
          <cell r="H20" t="str">
            <v>EC6019A</v>
          </cell>
          <cell r="I20">
            <v>6.04</v>
          </cell>
          <cell r="J20" t="str">
            <v>FLOCULANTE</v>
          </cell>
        </row>
        <row r="21">
          <cell r="H21" t="str">
            <v>03VC057</v>
          </cell>
          <cell r="I21">
            <v>8.3000000000000007</v>
          </cell>
          <cell r="J21" t="str">
            <v>CLARIFICANTE</v>
          </cell>
        </row>
        <row r="22">
          <cell r="H22" t="str">
            <v>BACTRON L-133</v>
          </cell>
          <cell r="I22">
            <v>6.94</v>
          </cell>
          <cell r="J22" t="str">
            <v>BACTERICIDA</v>
          </cell>
        </row>
        <row r="23">
          <cell r="H23" t="str">
            <v>CORTRON RN470</v>
          </cell>
          <cell r="I23">
            <v>2.65</v>
          </cell>
          <cell r="J23" t="str">
            <v>INHIBIDOR DE CORROSIÓN</v>
          </cell>
        </row>
        <row r="24">
          <cell r="H24" t="str">
            <v>GYPTRON TA-416</v>
          </cell>
          <cell r="I24">
            <v>2.19</v>
          </cell>
          <cell r="J24" t="str">
            <v>INHIBIDOR DE INCRUSTACIONES</v>
          </cell>
        </row>
        <row r="25">
          <cell r="H25" t="str">
            <v>DVE4B003</v>
          </cell>
          <cell r="I25">
            <v>5.7</v>
          </cell>
          <cell r="J25" t="str">
            <v>BACTERICIDA</v>
          </cell>
        </row>
        <row r="26">
          <cell r="H26" t="str">
            <v>EC3156</v>
          </cell>
          <cell r="I26">
            <v>2.5</v>
          </cell>
          <cell r="J26" t="str">
            <v>ANTIESPUMANTE</v>
          </cell>
        </row>
        <row r="27">
          <cell r="H27" t="str">
            <v>EMBR14512A</v>
          </cell>
          <cell r="I27">
            <v>3.16</v>
          </cell>
          <cell r="J27" t="str">
            <v>DESEMULSIONANTE</v>
          </cell>
        </row>
        <row r="28">
          <cell r="H28" t="str">
            <v>GYPTRON TA-416</v>
          </cell>
          <cell r="I28">
            <v>2.19</v>
          </cell>
          <cell r="J28" t="str">
            <v>INHIBIDOR DE INCRUSTACIONES</v>
          </cell>
        </row>
        <row r="29">
          <cell r="H29" t="str">
            <v>EC6539A</v>
          </cell>
          <cell r="I29">
            <v>5.47</v>
          </cell>
          <cell r="J29" t="str">
            <v>INHIBIDOR DE PARAFINAS Y ASFALTENOS</v>
          </cell>
        </row>
        <row r="30">
          <cell r="H30" t="str">
            <v>EC3156</v>
          </cell>
          <cell r="I30">
            <v>2.5</v>
          </cell>
          <cell r="J30" t="str">
            <v>ANTIESPUMANTE</v>
          </cell>
        </row>
        <row r="31">
          <cell r="H31" t="str">
            <v>SURFATRON DN-155</v>
          </cell>
          <cell r="I31">
            <v>4.25</v>
          </cell>
          <cell r="J31" t="str">
            <v>REDUCTOR DE FRICCIÓN</v>
          </cell>
        </row>
        <row r="32">
          <cell r="H32" t="str">
            <v>EC6359A</v>
          </cell>
          <cell r="I32">
            <v>4.8099999999999996</v>
          </cell>
          <cell r="J32" t="str">
            <v>INHIBIDOR DE INCRUSTACIONES</v>
          </cell>
        </row>
        <row r="33">
          <cell r="H33" t="str">
            <v>EC6359A</v>
          </cell>
          <cell r="I33">
            <v>4.8099999999999996</v>
          </cell>
          <cell r="J33" t="str">
            <v>INHIBIDOR DE INCRUSTACIONES</v>
          </cell>
        </row>
        <row r="34">
          <cell r="H34" t="str">
            <v>EC6359A</v>
          </cell>
          <cell r="I34">
            <v>4.8099999999999996</v>
          </cell>
          <cell r="J34" t="str">
            <v>INHIBIDOR DE INCRUSTACIONES</v>
          </cell>
        </row>
        <row r="35">
          <cell r="H35" t="str">
            <v>EC6359A</v>
          </cell>
          <cell r="I35">
            <v>4.8099999999999996</v>
          </cell>
          <cell r="J35" t="str">
            <v>INHIBIDOR DE INCRUSTACIONES</v>
          </cell>
        </row>
        <row r="36">
          <cell r="H36" t="str">
            <v>EC6359A</v>
          </cell>
          <cell r="I36">
            <v>4.8099999999999996</v>
          </cell>
          <cell r="J36" t="str">
            <v>INHIBIDOR DE INCRUSTACIONES</v>
          </cell>
        </row>
        <row r="37">
          <cell r="H37" t="str">
            <v>EC6359A</v>
          </cell>
          <cell r="I37">
            <v>4.8099999999999996</v>
          </cell>
          <cell r="J37" t="str">
            <v>INHIBIDOR DE INCRUSTACIONES</v>
          </cell>
        </row>
        <row r="38">
          <cell r="H38" t="str">
            <v>EC6359A</v>
          </cell>
          <cell r="I38">
            <v>4.8099999999999996</v>
          </cell>
          <cell r="J38" t="str">
            <v>INHIBIDOR DE INCRUSTACIONES</v>
          </cell>
        </row>
        <row r="39">
          <cell r="H39" t="str">
            <v>CORTRON RN470</v>
          </cell>
          <cell r="I39">
            <v>2.65</v>
          </cell>
          <cell r="J39" t="str">
            <v>INHIBIDOR DE CORROSIÓN</v>
          </cell>
        </row>
        <row r="40">
          <cell r="H40" t="str">
            <v>EC6359A</v>
          </cell>
          <cell r="I40">
            <v>4.8099999999999996</v>
          </cell>
          <cell r="J40" t="str">
            <v>INHIBIDOR DE INCRUSTACIONES</v>
          </cell>
        </row>
        <row r="41">
          <cell r="H41" t="str">
            <v>EC6359A</v>
          </cell>
          <cell r="I41">
            <v>4.8099999999999996</v>
          </cell>
          <cell r="J41" t="str">
            <v>INHIBIDOR DE INCRUSTACIONES</v>
          </cell>
        </row>
        <row r="42">
          <cell r="H42" t="str">
            <v>EC6359A</v>
          </cell>
          <cell r="I42">
            <v>4.8099999999999996</v>
          </cell>
          <cell r="J42" t="str">
            <v>INHIBIDOR DE INCRUSTACIONES</v>
          </cell>
        </row>
        <row r="43">
          <cell r="H43" t="str">
            <v>EC3156</v>
          </cell>
          <cell r="I43">
            <v>2.5</v>
          </cell>
          <cell r="J43" t="str">
            <v>ANTIESPUMANTE</v>
          </cell>
        </row>
        <row r="44">
          <cell r="H44" t="str">
            <v>SURFATRON DN-155</v>
          </cell>
          <cell r="I44">
            <v>4.25</v>
          </cell>
          <cell r="J44" t="str">
            <v>REDUCTOR DE FRICCIÓN</v>
          </cell>
        </row>
        <row r="45">
          <cell r="H45" t="str">
            <v>GYPTRON TA-416</v>
          </cell>
          <cell r="I45">
            <v>2.19</v>
          </cell>
          <cell r="J45" t="str">
            <v>INHIBIDOR DE INCRUSTACIONES</v>
          </cell>
        </row>
        <row r="46">
          <cell r="H46" t="str">
            <v>DVE4B003</v>
          </cell>
          <cell r="I46">
            <v>5.7</v>
          </cell>
          <cell r="J46" t="str">
            <v>BACTERICIDA</v>
          </cell>
        </row>
        <row r="47">
          <cell r="H47" t="str">
            <v>DVE4B003</v>
          </cell>
          <cell r="I47">
            <v>5.7</v>
          </cell>
          <cell r="J47" t="str">
            <v>BACTERICIDA</v>
          </cell>
        </row>
        <row r="48">
          <cell r="H48" t="str">
            <v>EC6539A</v>
          </cell>
          <cell r="I48">
            <v>5.47</v>
          </cell>
          <cell r="J48" t="str">
            <v>INHIBIDOR DE PARAFINAS Y ASFALTENOS</v>
          </cell>
        </row>
        <row r="49">
          <cell r="H49" t="str">
            <v>TX14120</v>
          </cell>
          <cell r="I49">
            <v>4.41</v>
          </cell>
          <cell r="J49" t="str">
            <v>HUMECTANTE DE SOLIDOS</v>
          </cell>
        </row>
        <row r="50">
          <cell r="H50" t="str">
            <v>EMBR14512A</v>
          </cell>
          <cell r="I50">
            <v>3.16</v>
          </cell>
          <cell r="J50" t="str">
            <v>DESEMULSIONANTE</v>
          </cell>
        </row>
        <row r="51">
          <cell r="H51" t="str">
            <v>BACTRON L-133</v>
          </cell>
          <cell r="I51">
            <v>6.94</v>
          </cell>
          <cell r="J51" t="str">
            <v>BACTERICIDA</v>
          </cell>
        </row>
        <row r="52">
          <cell r="H52" t="str">
            <v>GYPTRON TA-416</v>
          </cell>
          <cell r="I52">
            <v>2.19</v>
          </cell>
          <cell r="J52" t="str">
            <v>INHIBIDOR DE INCRUSTACIONES</v>
          </cell>
        </row>
        <row r="53">
          <cell r="H53" t="str">
            <v>CORTRON RN470</v>
          </cell>
          <cell r="I53">
            <v>2.65</v>
          </cell>
          <cell r="J53" t="str">
            <v>INHIBIDOR DE CORROSIÓN</v>
          </cell>
        </row>
        <row r="54">
          <cell r="H54" t="str">
            <v>EC3156</v>
          </cell>
          <cell r="I54">
            <v>2.5</v>
          </cell>
          <cell r="J54" t="str">
            <v>ANTIESPUMANTE</v>
          </cell>
        </row>
        <row r="55">
          <cell r="H55" t="str">
            <v>CLEAR 2335</v>
          </cell>
          <cell r="I55">
            <v>4.38</v>
          </cell>
          <cell r="J55" t="str">
            <v>DISOLVENTE DE PARAFINAS Y ASFALTENOS</v>
          </cell>
        </row>
        <row r="56">
          <cell r="H56" t="str">
            <v>EC6359A</v>
          </cell>
          <cell r="I56">
            <v>4.8099999999999996</v>
          </cell>
          <cell r="J56" t="str">
            <v>INHIBIDOR DE INCRUSTACIONES</v>
          </cell>
        </row>
        <row r="57">
          <cell r="H57" t="str">
            <v>EMBR14512A</v>
          </cell>
          <cell r="I57">
            <v>3.16</v>
          </cell>
          <cell r="J57" t="str">
            <v>DESEMULSIONANTE</v>
          </cell>
        </row>
        <row r="58">
          <cell r="H58" t="str">
            <v>CORTRON RN470</v>
          </cell>
          <cell r="I58">
            <v>2.65</v>
          </cell>
          <cell r="J58" t="str">
            <v>INHIBIDOR DE CORROSIÓN</v>
          </cell>
        </row>
        <row r="59">
          <cell r="H59" t="str">
            <v>BACTRON L-133</v>
          </cell>
          <cell r="I59">
            <v>6.94</v>
          </cell>
          <cell r="J59" t="str">
            <v>BACTERICIDA</v>
          </cell>
        </row>
        <row r="60">
          <cell r="H60" t="str">
            <v>TX14120</v>
          </cell>
          <cell r="I60">
            <v>4.41</v>
          </cell>
          <cell r="J60" t="str">
            <v>HUMECTANTE DE SOLIDOS</v>
          </cell>
        </row>
        <row r="61">
          <cell r="H61" t="str">
            <v>EC2434A</v>
          </cell>
          <cell r="I61">
            <v>5.44</v>
          </cell>
          <cell r="J61" t="str">
            <v>RUPTOR</v>
          </cell>
        </row>
        <row r="62">
          <cell r="H62" t="str">
            <v>EMULSOTRON x-8131</v>
          </cell>
          <cell r="I62">
            <v>2.79</v>
          </cell>
          <cell r="J62" t="str">
            <v>REDUCTOR DE FRICCIÓN</v>
          </cell>
        </row>
        <row r="63">
          <cell r="H63" t="str">
            <v>CLEAR 2335</v>
          </cell>
          <cell r="I63">
            <v>4.38</v>
          </cell>
          <cell r="J63" t="str">
            <v>DISOLVENTE DE PARAFINAS Y ASFALTENOS</v>
          </cell>
        </row>
        <row r="64">
          <cell r="H64" t="str">
            <v>CLEAR 2335</v>
          </cell>
          <cell r="I64">
            <v>4.38</v>
          </cell>
          <cell r="J64" t="str">
            <v>DISOLVENTE DE PARAFINAS Y ASFALTENOS</v>
          </cell>
        </row>
        <row r="65">
          <cell r="H65" t="str">
            <v>CLEAR 2335</v>
          </cell>
          <cell r="I65">
            <v>4.38</v>
          </cell>
          <cell r="J65" t="str">
            <v>DISOLVENTE DE PARAFINAS Y ASFALTENOS</v>
          </cell>
        </row>
        <row r="66">
          <cell r="H66" t="str">
            <v>SURFATRON DN-155</v>
          </cell>
          <cell r="I66">
            <v>4.25</v>
          </cell>
          <cell r="J66" t="str">
            <v>REDUCTOR DE FRICCIÓN</v>
          </cell>
        </row>
        <row r="67">
          <cell r="H67" t="str">
            <v>EMBR17949A</v>
          </cell>
          <cell r="I67">
            <v>4</v>
          </cell>
          <cell r="J67" t="str">
            <v>DESEMULSIONANTE</v>
          </cell>
        </row>
        <row r="68">
          <cell r="H68" t="str">
            <v>EMBR17949A</v>
          </cell>
          <cell r="I68">
            <v>4</v>
          </cell>
          <cell r="J68" t="str">
            <v>DESEMULSIONANTE</v>
          </cell>
        </row>
        <row r="69">
          <cell r="H69" t="str">
            <v>EC2434A</v>
          </cell>
          <cell r="I69">
            <v>5.44</v>
          </cell>
          <cell r="J69" t="str">
            <v>RUPTOR</v>
          </cell>
        </row>
        <row r="70">
          <cell r="H70" t="str">
            <v>GYPTRON TA-416</v>
          </cell>
          <cell r="I70">
            <v>2.19</v>
          </cell>
          <cell r="J70" t="str">
            <v>INHIBIDOR DE INCRUSTACIONES</v>
          </cell>
        </row>
        <row r="71">
          <cell r="H71" t="str">
            <v>CLEAR 2335</v>
          </cell>
          <cell r="I71">
            <v>4.38</v>
          </cell>
          <cell r="J71" t="str">
            <v>DISOLVENTE DE PARAFINAS Y ASFALTENOS</v>
          </cell>
        </row>
        <row r="72">
          <cell r="H72" t="str">
            <v>CORTRON RN470</v>
          </cell>
          <cell r="I72">
            <v>2.65</v>
          </cell>
          <cell r="J72" t="str">
            <v>INHIBIDOR DE CORROSIÓN</v>
          </cell>
        </row>
        <row r="73">
          <cell r="H73" t="str">
            <v>BACTRON L-133</v>
          </cell>
          <cell r="I73">
            <v>6.94</v>
          </cell>
          <cell r="J73" t="str">
            <v>BACTERICIDA</v>
          </cell>
        </row>
        <row r="74">
          <cell r="H74" t="str">
            <v>EMBR17949A</v>
          </cell>
          <cell r="I74">
            <v>4</v>
          </cell>
          <cell r="J74" t="str">
            <v>DESEMULSIONANTE</v>
          </cell>
        </row>
        <row r="75">
          <cell r="H75" t="str">
            <v>TX14120</v>
          </cell>
          <cell r="I75">
            <v>4.41</v>
          </cell>
          <cell r="J75" t="str">
            <v>HUMECTANTE DE SOLIDOS</v>
          </cell>
        </row>
        <row r="76">
          <cell r="H76" t="str">
            <v>EMBR17949A</v>
          </cell>
          <cell r="I76">
            <v>4</v>
          </cell>
          <cell r="J76" t="str">
            <v>DESEMULSIONANTE</v>
          </cell>
        </row>
        <row r="77">
          <cell r="H77" t="str">
            <v>EC2434A</v>
          </cell>
          <cell r="I77">
            <v>5.44</v>
          </cell>
          <cell r="J77" t="str">
            <v>RUPTOR</v>
          </cell>
        </row>
        <row r="78">
          <cell r="H78" t="str">
            <v>GYPTRON TA-416</v>
          </cell>
          <cell r="I78">
            <v>2.19</v>
          </cell>
          <cell r="J78" t="str">
            <v>INHIBIDOR DE INCRUSTACIONES</v>
          </cell>
        </row>
        <row r="79">
          <cell r="H79" t="str">
            <v>CLEAR 2335</v>
          </cell>
          <cell r="I79">
            <v>4.38</v>
          </cell>
          <cell r="J79" t="str">
            <v>DISOLVENTE DE PARAFINAS Y ASFALTENOS</v>
          </cell>
        </row>
        <row r="80">
          <cell r="H80" t="str">
            <v>CORTRON RU312</v>
          </cell>
          <cell r="I80">
            <v>1.27</v>
          </cell>
          <cell r="J80" t="str">
            <v>SECUESTRANTE DE OXIGENO</v>
          </cell>
        </row>
        <row r="81">
          <cell r="H81" t="str">
            <v>EMBR17949A</v>
          </cell>
          <cell r="I81">
            <v>4</v>
          </cell>
          <cell r="J81" t="str">
            <v>DESEMULSIONANTE</v>
          </cell>
        </row>
        <row r="82">
          <cell r="H82" t="str">
            <v>EMBR17949A</v>
          </cell>
          <cell r="I82">
            <v>4</v>
          </cell>
          <cell r="J82" t="str">
            <v>DESEMULSIONANTE</v>
          </cell>
        </row>
        <row r="83">
          <cell r="H83" t="str">
            <v>SURFATRON DN-155</v>
          </cell>
          <cell r="I83">
            <v>4.25</v>
          </cell>
          <cell r="J83" t="str">
            <v>REDUCTOR DE FRICCIÓN</v>
          </cell>
        </row>
        <row r="84">
          <cell r="H84" t="str">
            <v>GYPTRON TA-416</v>
          </cell>
          <cell r="I84">
            <v>2.19</v>
          </cell>
          <cell r="J84" t="str">
            <v>INHIBIDOR DE INCRUSTACIONES</v>
          </cell>
        </row>
        <row r="85">
          <cell r="H85" t="str">
            <v>EMBR17949A</v>
          </cell>
          <cell r="I85">
            <v>4</v>
          </cell>
          <cell r="J85" t="str">
            <v>DESEMULSIONANTE</v>
          </cell>
        </row>
        <row r="86">
          <cell r="H86" t="str">
            <v>SURFATRON DN-155</v>
          </cell>
          <cell r="I86">
            <v>4.25</v>
          </cell>
          <cell r="J86" t="str">
            <v>REDUCTOR DE FRICCIÓN</v>
          </cell>
        </row>
        <row r="87">
          <cell r="H87" t="str">
            <v>EC6359A</v>
          </cell>
          <cell r="I87">
            <v>4.8099999999999996</v>
          </cell>
          <cell r="J87" t="str">
            <v>INHIBIDOR DE INCRUSTACIONES</v>
          </cell>
        </row>
        <row r="88">
          <cell r="H88" t="str">
            <v>GYPTRON TA-416</v>
          </cell>
          <cell r="I88">
            <v>2.19</v>
          </cell>
          <cell r="J88" t="str">
            <v>INHIBIDOR DE INCRUSTACIONES</v>
          </cell>
        </row>
        <row r="89">
          <cell r="H89" t="str">
            <v>EC3156</v>
          </cell>
          <cell r="I89">
            <v>2.5</v>
          </cell>
          <cell r="J89" t="str">
            <v>ANTIESPUMANTE</v>
          </cell>
        </row>
        <row r="90">
          <cell r="H90" t="str">
            <v>EMULSOTRON x-8134</v>
          </cell>
          <cell r="I90">
            <v>2.79</v>
          </cell>
          <cell r="J90" t="str">
            <v>DESEMULSIONANTE</v>
          </cell>
        </row>
        <row r="91">
          <cell r="H91" t="str">
            <v>CORTRON RN470</v>
          </cell>
          <cell r="I91">
            <v>2.65</v>
          </cell>
          <cell r="J91" t="str">
            <v>INHIBIDOR DE CORROSIÓN</v>
          </cell>
        </row>
        <row r="92">
          <cell r="H92" t="str">
            <v>EMULSOTRON x-8134</v>
          </cell>
          <cell r="I92">
            <v>2.79</v>
          </cell>
          <cell r="J92" t="str">
            <v>REDUCTOR DE FRICCIÓN</v>
          </cell>
        </row>
        <row r="93">
          <cell r="H93" t="str">
            <v>EMULSOTRON x-8134</v>
          </cell>
          <cell r="I93">
            <v>2.79</v>
          </cell>
          <cell r="J93" t="str">
            <v>DESEMULSIONANTE</v>
          </cell>
        </row>
        <row r="94">
          <cell r="H94" t="str">
            <v>GYPTRON TA-416</v>
          </cell>
          <cell r="I94">
            <v>2.19</v>
          </cell>
          <cell r="J94" t="str">
            <v>INHIBIDOR DE INCRUSTACIONES</v>
          </cell>
        </row>
        <row r="95">
          <cell r="H95" t="str">
            <v>SURFATRON DN-155</v>
          </cell>
          <cell r="I95">
            <v>4.25</v>
          </cell>
          <cell r="J95" t="str">
            <v>REDUCTOR DE FRICCIÓN</v>
          </cell>
        </row>
        <row r="96">
          <cell r="H96" t="str">
            <v>SURFATRON DN-155</v>
          </cell>
          <cell r="I96">
            <v>4.25</v>
          </cell>
          <cell r="J96" t="str">
            <v>REDUCTOR DE FRICCIÓN</v>
          </cell>
        </row>
        <row r="97">
          <cell r="H97" t="str">
            <v>CLEAR 2335</v>
          </cell>
          <cell r="I97">
            <v>4.38</v>
          </cell>
          <cell r="J97" t="str">
            <v>DISOLVENTE DE PARAFINAS Y ASFALTENOS</v>
          </cell>
        </row>
        <row r="98">
          <cell r="H98" t="str">
            <v>CLEAR 2335</v>
          </cell>
          <cell r="I98">
            <v>4.38</v>
          </cell>
          <cell r="J98" t="str">
            <v>DISOLVENTE DE PARAFINAS Y ASFALTENOS</v>
          </cell>
        </row>
        <row r="99">
          <cell r="H99" t="str">
            <v>SURFATRON DN-155</v>
          </cell>
          <cell r="I99">
            <v>4.25</v>
          </cell>
          <cell r="J99" t="str">
            <v>REDUCTOR DE FRICCIÓN</v>
          </cell>
        </row>
        <row r="100">
          <cell r="H100" t="str">
            <v>EMBR17949A</v>
          </cell>
          <cell r="I100">
            <v>4</v>
          </cell>
          <cell r="J100" t="str">
            <v>DESEMULSIONANTE</v>
          </cell>
        </row>
        <row r="101">
          <cell r="H101" t="str">
            <v>SURFATRON DN-155</v>
          </cell>
          <cell r="I101">
            <v>4.25</v>
          </cell>
          <cell r="J101" t="str">
            <v>REDUCTOR DE FRICCIÓN</v>
          </cell>
        </row>
        <row r="102">
          <cell r="H102" t="str">
            <v>EC6359A</v>
          </cell>
          <cell r="I102">
            <v>4.8099999999999996</v>
          </cell>
          <cell r="J102" t="str">
            <v>INHIBIDOR DE INCRUSTACIONES</v>
          </cell>
        </row>
        <row r="103">
          <cell r="H103" t="str">
            <v>EC6359A</v>
          </cell>
          <cell r="I103">
            <v>4.8099999999999996</v>
          </cell>
          <cell r="J103" t="str">
            <v>INHIBIDOR DE INCRUSTACIONES</v>
          </cell>
        </row>
        <row r="104">
          <cell r="H104" t="str">
            <v>SURFATRON DN-155</v>
          </cell>
          <cell r="I104">
            <v>4.25</v>
          </cell>
          <cell r="J104" t="str">
            <v>REDUCTOR DE FRICCIÓN</v>
          </cell>
        </row>
        <row r="105">
          <cell r="H105" t="str">
            <v>SURFATRON DN-155</v>
          </cell>
          <cell r="I105">
            <v>4.25</v>
          </cell>
          <cell r="J105" t="str">
            <v>REDUCTOR DE FRICCIÓN</v>
          </cell>
        </row>
        <row r="106">
          <cell r="H106" t="str">
            <v>EMBR12601A</v>
          </cell>
          <cell r="I106">
            <v>4</v>
          </cell>
          <cell r="J106" t="str">
            <v>DESEMULSIONANTE</v>
          </cell>
        </row>
        <row r="107">
          <cell r="H107" t="str">
            <v>EC3156</v>
          </cell>
          <cell r="I107">
            <v>2.5</v>
          </cell>
          <cell r="J107" t="str">
            <v>ANTIESPUMANTE</v>
          </cell>
        </row>
        <row r="108">
          <cell r="H108" t="str">
            <v>EMBR12601A</v>
          </cell>
          <cell r="I108">
            <v>4</v>
          </cell>
          <cell r="J108" t="str">
            <v>DESEMULSIONANTE</v>
          </cell>
        </row>
        <row r="109">
          <cell r="H109" t="str">
            <v>EMBR12601A</v>
          </cell>
          <cell r="I109">
            <v>4</v>
          </cell>
          <cell r="J109" t="str">
            <v>DESEMULSIONANTE</v>
          </cell>
        </row>
        <row r="110">
          <cell r="H110" t="str">
            <v>EMBR12601A</v>
          </cell>
          <cell r="I110">
            <v>4</v>
          </cell>
          <cell r="J110" t="str">
            <v>DESEMULSIONANTE</v>
          </cell>
        </row>
        <row r="111">
          <cell r="H111" t="str">
            <v>EC3156</v>
          </cell>
          <cell r="I111">
            <v>2.5</v>
          </cell>
          <cell r="J111" t="str">
            <v>ANTIESPUMANTE</v>
          </cell>
        </row>
        <row r="112">
          <cell r="H112" t="str">
            <v>EMBR12601A</v>
          </cell>
          <cell r="I112">
            <v>4</v>
          </cell>
          <cell r="J112" t="str">
            <v>DESEMULSIONANTE</v>
          </cell>
        </row>
        <row r="113">
          <cell r="H113" t="str">
            <v>EMBR12601A</v>
          </cell>
          <cell r="I113">
            <v>4</v>
          </cell>
          <cell r="J113" t="str">
            <v>DESEMULSIONANTE</v>
          </cell>
        </row>
        <row r="114">
          <cell r="H114" t="str">
            <v>EMBR12601A</v>
          </cell>
          <cell r="I114">
            <v>4</v>
          </cell>
          <cell r="J114" t="str">
            <v>DESEMULSIONANTE</v>
          </cell>
        </row>
        <row r="115">
          <cell r="H115" t="str">
            <v>EMBR12601A</v>
          </cell>
          <cell r="I115">
            <v>4</v>
          </cell>
          <cell r="J115" t="str">
            <v>DESEMULSIONANTE</v>
          </cell>
        </row>
        <row r="116">
          <cell r="H116" t="str">
            <v>EC6036A</v>
          </cell>
          <cell r="I116">
            <v>3.9</v>
          </cell>
          <cell r="J116" t="str">
            <v>CLARIFICANTE</v>
          </cell>
        </row>
        <row r="117">
          <cell r="H117" t="str">
            <v>EC6019A</v>
          </cell>
          <cell r="I117">
            <v>6.04</v>
          </cell>
          <cell r="J117" t="str">
            <v>FLOCULANTE</v>
          </cell>
        </row>
        <row r="118">
          <cell r="H118" t="str">
            <v>EC6019A</v>
          </cell>
          <cell r="I118">
            <v>6.04</v>
          </cell>
          <cell r="J118" t="str">
            <v>FLOCULANTE</v>
          </cell>
        </row>
        <row r="119">
          <cell r="H119" t="str">
            <v>LA3147A</v>
          </cell>
          <cell r="I119">
            <v>5.07</v>
          </cell>
          <cell r="J119" t="str">
            <v>DESEMULSIONANTE</v>
          </cell>
        </row>
        <row r="120">
          <cell r="H120" t="str">
            <v>EC6539A</v>
          </cell>
          <cell r="I120">
            <v>5.47</v>
          </cell>
          <cell r="J120" t="str">
            <v>INHIBIDOR DE PARAFINAS Y ASFALTENOS</v>
          </cell>
        </row>
        <row r="121">
          <cell r="H121" t="str">
            <v>EMBR14512A</v>
          </cell>
          <cell r="I121">
            <v>3.16</v>
          </cell>
          <cell r="J121" t="str">
            <v>DESEMULSIONANTE</v>
          </cell>
        </row>
        <row r="122">
          <cell r="H122" t="str">
            <v>EMBR14512A</v>
          </cell>
          <cell r="I122">
            <v>3.16</v>
          </cell>
          <cell r="J122" t="str">
            <v>DESEMULSIONANTE</v>
          </cell>
        </row>
        <row r="123">
          <cell r="H123" t="str">
            <v>CORE SHELL</v>
          </cell>
          <cell r="I123">
            <v>6</v>
          </cell>
          <cell r="J123" t="str">
            <v>FLOCULANTE</v>
          </cell>
        </row>
        <row r="124">
          <cell r="H124" t="str">
            <v>EC6359A</v>
          </cell>
          <cell r="I124">
            <v>4.8099999999999996</v>
          </cell>
          <cell r="J124" t="str">
            <v>INHIBIDOR DE INCRUSTACIONES</v>
          </cell>
        </row>
        <row r="125">
          <cell r="H125" t="str">
            <v>SURFATRON DN-155</v>
          </cell>
          <cell r="I125">
            <v>4.25</v>
          </cell>
          <cell r="J125" t="str">
            <v>REDUCTOR DE FRICCIÓN</v>
          </cell>
        </row>
        <row r="126">
          <cell r="H126" t="str">
            <v>GAS TREAT 200</v>
          </cell>
          <cell r="I126">
            <v>1.88</v>
          </cell>
          <cell r="J126" t="str">
            <v>SECUESTRANTE DE SULFHÍDRICO</v>
          </cell>
        </row>
        <row r="127">
          <cell r="H127" t="str">
            <v>EMBR17949A</v>
          </cell>
          <cell r="I127">
            <v>4</v>
          </cell>
          <cell r="J127" t="str">
            <v>REDUCTOR DE FRICCIÓN</v>
          </cell>
        </row>
        <row r="128">
          <cell r="H128" t="str">
            <v>GAS TREAT 200</v>
          </cell>
          <cell r="I128">
            <v>1.88</v>
          </cell>
          <cell r="J128" t="str">
            <v>SECUESTRANTE DE SULFHÍDRICO</v>
          </cell>
        </row>
        <row r="129">
          <cell r="H129" t="str">
            <v>GAS TREAT 200</v>
          </cell>
          <cell r="I129">
            <v>1.88</v>
          </cell>
          <cell r="J129" t="str">
            <v>SECUESTRANTE DE SULFHÍDRICO</v>
          </cell>
        </row>
        <row r="130">
          <cell r="H130" t="str">
            <v>SURFATRON DN-155</v>
          </cell>
          <cell r="I130">
            <v>4.25</v>
          </cell>
          <cell r="J130" t="str">
            <v>REDUCTOR DE FRICCIÓN</v>
          </cell>
        </row>
        <row r="131">
          <cell r="H131" t="str">
            <v>SURFATRON DN-155</v>
          </cell>
          <cell r="I131">
            <v>4.25</v>
          </cell>
          <cell r="J131" t="str">
            <v>REDUCTOR DE FRICCIÓN</v>
          </cell>
        </row>
        <row r="132">
          <cell r="H132" t="str">
            <v>EC6539A</v>
          </cell>
          <cell r="I132">
            <v>5.47</v>
          </cell>
          <cell r="J132" t="str">
            <v>REDUCTOR DE FRICCIÓN</v>
          </cell>
        </row>
        <row r="133">
          <cell r="H133" t="str">
            <v>SURFATRON DN-155</v>
          </cell>
          <cell r="I133">
            <v>4.25</v>
          </cell>
          <cell r="J133" t="str">
            <v>REDUCTOR DE FRICCIÓN</v>
          </cell>
        </row>
        <row r="134">
          <cell r="H134" t="str">
            <v>EC6539A</v>
          </cell>
          <cell r="I134">
            <v>5.47</v>
          </cell>
          <cell r="J134" t="str">
            <v>REDUCTOR DE FRICCIÓN</v>
          </cell>
        </row>
        <row r="135">
          <cell r="H135" t="str">
            <v>SURFATRON DN-155</v>
          </cell>
          <cell r="I135">
            <v>4.25</v>
          </cell>
          <cell r="J135" t="str">
            <v>REDUCTOR DE FRICCIÓN</v>
          </cell>
        </row>
        <row r="136">
          <cell r="H136" t="str">
            <v>CLEAR 2335</v>
          </cell>
          <cell r="I136">
            <v>4.38</v>
          </cell>
          <cell r="J136" t="str">
            <v>DISOLVENTE DE PARAFINAS Y ASFALTENOS</v>
          </cell>
        </row>
        <row r="137">
          <cell r="H137" t="str">
            <v>CLEAR 2335</v>
          </cell>
          <cell r="I137">
            <v>4.38</v>
          </cell>
          <cell r="J137" t="str">
            <v>DISOLVENTE DE PARAFINAS Y ASFALTENOS</v>
          </cell>
        </row>
        <row r="138">
          <cell r="H138" t="str">
            <v>SURFATRON DN-155</v>
          </cell>
          <cell r="I138">
            <v>4.25</v>
          </cell>
          <cell r="J138" t="str">
            <v>REDUCTOR DE FRICCIÓN</v>
          </cell>
        </row>
        <row r="139">
          <cell r="H139" t="str">
            <v>EMBR17949A</v>
          </cell>
          <cell r="I139">
            <v>4</v>
          </cell>
          <cell r="J139" t="str">
            <v>DESEMULSIONANTE</v>
          </cell>
        </row>
        <row r="140">
          <cell r="H140" t="str">
            <v>EC3156</v>
          </cell>
          <cell r="I140">
            <v>2.5</v>
          </cell>
          <cell r="J140" t="str">
            <v>ANTIESPUMANTE</v>
          </cell>
        </row>
        <row r="141">
          <cell r="H141" t="str">
            <v>EMULSOTRON x-8135</v>
          </cell>
          <cell r="I141">
            <v>4</v>
          </cell>
          <cell r="J141" t="str">
            <v>REDUCTOR DE FRICCIÓN</v>
          </cell>
        </row>
        <row r="142">
          <cell r="H142" t="str">
            <v>EC3156</v>
          </cell>
          <cell r="I142">
            <v>2.5</v>
          </cell>
          <cell r="J142" t="str">
            <v>ANTIESPUMANTE</v>
          </cell>
        </row>
        <row r="143">
          <cell r="H143" t="str">
            <v>EC3156</v>
          </cell>
          <cell r="I143">
            <v>2.5</v>
          </cell>
          <cell r="J143" t="str">
            <v>ANTIESPUMANTE</v>
          </cell>
        </row>
        <row r="144">
          <cell r="H144" t="str">
            <v>EC3156</v>
          </cell>
          <cell r="I144">
            <v>2.5</v>
          </cell>
          <cell r="J144" t="str">
            <v>ANTIESPUMANTE</v>
          </cell>
        </row>
        <row r="145">
          <cell r="H145" t="str">
            <v>EC3156</v>
          </cell>
          <cell r="I145">
            <v>2.5</v>
          </cell>
          <cell r="J145" t="str">
            <v>ANTIESPUMANTE</v>
          </cell>
        </row>
        <row r="146">
          <cell r="H146" t="str">
            <v>GAS TREAT 200</v>
          </cell>
          <cell r="I146">
            <v>1.88</v>
          </cell>
          <cell r="J146" t="str">
            <v>SECUESTRANTE DE SULFHÍDRICO</v>
          </cell>
        </row>
        <row r="147">
          <cell r="H147" t="str">
            <v>GAS TREAT 200</v>
          </cell>
          <cell r="I147">
            <v>1.88</v>
          </cell>
          <cell r="J147" t="str">
            <v>SECUESTRANTE DE SULFHÍDRICO</v>
          </cell>
        </row>
        <row r="148">
          <cell r="H148" t="str">
            <v>GAS TREAT 200</v>
          </cell>
          <cell r="I148">
            <v>1.88</v>
          </cell>
          <cell r="J148" t="str">
            <v>SECUESTRANTE DE SULFHÍDRICO</v>
          </cell>
        </row>
        <row r="149">
          <cell r="H149" t="str">
            <v>EC6620</v>
          </cell>
          <cell r="I149">
            <v>10.02</v>
          </cell>
          <cell r="J149" t="str">
            <v>REDUCTOR DE VISCOSIDAD</v>
          </cell>
        </row>
        <row r="150">
          <cell r="H150" t="str">
            <v>EC3156</v>
          </cell>
          <cell r="I150">
            <v>2.5</v>
          </cell>
          <cell r="J150" t="str">
            <v>ANTIESPUMANTE</v>
          </cell>
        </row>
        <row r="151">
          <cell r="H151" t="str">
            <v>SURFATRON DN-155</v>
          </cell>
          <cell r="I151">
            <v>4.25</v>
          </cell>
          <cell r="J151" t="str">
            <v>REDUCTOR DE FRICCIÓN</v>
          </cell>
        </row>
        <row r="152">
          <cell r="H152" t="str">
            <v>GYPTRON TA-416</v>
          </cell>
          <cell r="I152">
            <v>2.19</v>
          </cell>
          <cell r="J152" t="str">
            <v>INHIBIDOR DE INCRUSTACIONES</v>
          </cell>
        </row>
        <row r="153">
          <cell r="H153" t="str">
            <v>EMBR17949A</v>
          </cell>
          <cell r="I153">
            <v>4</v>
          </cell>
          <cell r="J153" t="str">
            <v>DESEMULSIONANTE</v>
          </cell>
        </row>
        <row r="154">
          <cell r="H154" t="str">
            <v>EMBR17949A</v>
          </cell>
          <cell r="I154">
            <v>4</v>
          </cell>
          <cell r="J154" t="str">
            <v>DESEMULSIONANTE</v>
          </cell>
        </row>
        <row r="155">
          <cell r="H155" t="str">
            <v>GYPTRON TA-416</v>
          </cell>
          <cell r="I155">
            <v>2.19</v>
          </cell>
          <cell r="J155" t="str">
            <v>INHIBIDOR DE INCRUSTACIONES</v>
          </cell>
        </row>
        <row r="156">
          <cell r="H156" t="str">
            <v>EC2434A</v>
          </cell>
          <cell r="I156">
            <v>5.44</v>
          </cell>
          <cell r="J156" t="str">
            <v>RUPTOR</v>
          </cell>
        </row>
        <row r="157">
          <cell r="H157" t="str">
            <v>EMBR17949A</v>
          </cell>
          <cell r="I157">
            <v>4</v>
          </cell>
          <cell r="J157" t="str">
            <v>DESEMULSIONANTE</v>
          </cell>
        </row>
        <row r="158">
          <cell r="H158" t="str">
            <v>CLEAR 2335</v>
          </cell>
          <cell r="I158">
            <v>4.38</v>
          </cell>
          <cell r="J158" t="str">
            <v>DISOLVENTE DE PARAFINAS Y ASFALTENOS</v>
          </cell>
        </row>
        <row r="159">
          <cell r="H159" t="str">
            <v>CORTRON RN470</v>
          </cell>
          <cell r="I159">
            <v>2.65</v>
          </cell>
          <cell r="J159" t="str">
            <v>INHIBIDOR DE CORROSIÓN</v>
          </cell>
        </row>
        <row r="160">
          <cell r="H160" t="str">
            <v>SURFATRON DN-155</v>
          </cell>
          <cell r="I160">
            <v>4.25</v>
          </cell>
          <cell r="J160" t="str">
            <v>REDUCTOR DE FRICCIÓN</v>
          </cell>
        </row>
        <row r="161">
          <cell r="H161" t="str">
            <v>SURFATRON DN-155</v>
          </cell>
          <cell r="I161">
            <v>4.25</v>
          </cell>
          <cell r="J161" t="str">
            <v>REDUCTOR DE FRICCIÓN</v>
          </cell>
        </row>
        <row r="162">
          <cell r="H162" t="str">
            <v>CLEAR 2335</v>
          </cell>
          <cell r="I162">
            <v>4.38</v>
          </cell>
          <cell r="J162" t="str">
            <v>DISOLVENTE DE PARAFINAS Y ASFALTENOS</v>
          </cell>
        </row>
        <row r="163">
          <cell r="H163" t="str">
            <v>CLEAR 2335</v>
          </cell>
          <cell r="I163">
            <v>4.38</v>
          </cell>
          <cell r="J163" t="str">
            <v>DISOLVENTE DE PARAFINAS Y ASFALTENOS</v>
          </cell>
        </row>
        <row r="164">
          <cell r="H164" t="str">
            <v>CLEAR 2335</v>
          </cell>
          <cell r="I164">
            <v>4.38</v>
          </cell>
          <cell r="J164" t="str">
            <v>DISOLVENTE DE PARAFINAS Y ASFALTENOS</v>
          </cell>
        </row>
        <row r="165">
          <cell r="H165" t="str">
            <v>CLEAR 2335</v>
          </cell>
          <cell r="I165">
            <v>4.38</v>
          </cell>
          <cell r="J165" t="str">
            <v>DISOLVENTE DE PARAFINAS Y ASFALTENOS</v>
          </cell>
        </row>
        <row r="166">
          <cell r="H166" t="str">
            <v>CLEAR 2335</v>
          </cell>
          <cell r="I166">
            <v>4.38</v>
          </cell>
          <cell r="J166" t="str">
            <v>INHIBIDOR DE INCRUSTACIONES</v>
          </cell>
        </row>
        <row r="167">
          <cell r="H167" t="str">
            <v>CLEAR 2335</v>
          </cell>
          <cell r="I167">
            <v>4.38</v>
          </cell>
          <cell r="J167" t="str">
            <v>DISOLVENTE DE PARAFINAS Y ASFALTENOS</v>
          </cell>
        </row>
        <row r="168">
          <cell r="H168" t="str">
            <v>CLEAR 2335</v>
          </cell>
          <cell r="I168">
            <v>4.38</v>
          </cell>
          <cell r="J168" t="str">
            <v>DISOLVENTE DE PARAFINAS Y ASFALTENOS</v>
          </cell>
        </row>
        <row r="169">
          <cell r="H169" t="str">
            <v>CLEAR 2335</v>
          </cell>
          <cell r="I169">
            <v>4.38</v>
          </cell>
          <cell r="J169" t="str">
            <v>DISOLVENTE DE PARAFINAS Y ASFALTENOS</v>
          </cell>
        </row>
        <row r="170">
          <cell r="H170" t="str">
            <v>CLEAR 2335</v>
          </cell>
          <cell r="I170">
            <v>4.38</v>
          </cell>
          <cell r="J170" t="str">
            <v>DISOLVENTE DE PARAFINAS Y ASFALTENOS</v>
          </cell>
        </row>
        <row r="171">
          <cell r="H171" t="str">
            <v>BACTRON L-133</v>
          </cell>
          <cell r="I171">
            <v>6.94</v>
          </cell>
          <cell r="J171" t="str">
            <v>BACTERICIDA</v>
          </cell>
        </row>
        <row r="172">
          <cell r="H172" t="str">
            <v>CORTRON 2533</v>
          </cell>
          <cell r="I172">
            <v>2.66</v>
          </cell>
          <cell r="J172" t="str">
            <v>INHIBIDOR DE CORROSIÓN</v>
          </cell>
        </row>
        <row r="173">
          <cell r="H173" t="str">
            <v>CLEAR 2335</v>
          </cell>
          <cell r="I173">
            <v>4.38</v>
          </cell>
          <cell r="J173" t="str">
            <v>DISOLVENTE DE PARAFINAS Y ASFALTENOS</v>
          </cell>
        </row>
        <row r="174">
          <cell r="H174" t="str">
            <v>CLEAR 2335</v>
          </cell>
          <cell r="I174">
            <v>4.38</v>
          </cell>
          <cell r="J174" t="str">
            <v>DISOLVENTE DE PARAFINAS Y ASFALTENOS</v>
          </cell>
        </row>
        <row r="175">
          <cell r="H175" t="str">
            <v>CLEAR 2335</v>
          </cell>
          <cell r="I175">
            <v>4.38</v>
          </cell>
          <cell r="J175" t="str">
            <v>DISOLVENTE DE PARAFINAS Y ASFALTENOS</v>
          </cell>
        </row>
        <row r="176">
          <cell r="H176" t="str">
            <v>CLEAR 2335</v>
          </cell>
          <cell r="I176">
            <v>4.38</v>
          </cell>
          <cell r="J176" t="str">
            <v>DISOLVENTE DE PARAFINAS Y ASFALTENOS</v>
          </cell>
        </row>
        <row r="177">
          <cell r="H177" t="str">
            <v>CLEAR 2335</v>
          </cell>
          <cell r="I177">
            <v>4.38</v>
          </cell>
          <cell r="J177" t="str">
            <v>DISOLVENTE DE PARAFINAS Y ASFALTENOS</v>
          </cell>
        </row>
        <row r="178">
          <cell r="H178" t="str">
            <v>CLEAR 2335</v>
          </cell>
          <cell r="I178">
            <v>4.38</v>
          </cell>
          <cell r="J178" t="str">
            <v>DISOLVENTE DE PARAFINAS Y ASFALTENOS</v>
          </cell>
        </row>
        <row r="179">
          <cell r="H179" t="str">
            <v>CLEAR 2335</v>
          </cell>
          <cell r="I179">
            <v>4.38</v>
          </cell>
          <cell r="J179" t="str">
            <v>DISOLVENTE DE PARAFINAS Y ASFALTENOS</v>
          </cell>
        </row>
        <row r="180">
          <cell r="H180" t="str">
            <v>CLEAR 2335</v>
          </cell>
          <cell r="I180">
            <v>4.38</v>
          </cell>
          <cell r="J180" t="str">
            <v>DISOLVENTE DE PARAFINAS Y ASFALTENOS</v>
          </cell>
        </row>
        <row r="181">
          <cell r="H181" t="str">
            <v>CLEAR 2335</v>
          </cell>
          <cell r="I181">
            <v>4.38</v>
          </cell>
          <cell r="J181" t="str">
            <v>DISOLVENTE DE PARAFINAS Y ASFALTENOS</v>
          </cell>
        </row>
        <row r="182">
          <cell r="H182" t="str">
            <v>CORTRON 2533</v>
          </cell>
          <cell r="I182">
            <v>2.66</v>
          </cell>
          <cell r="J182" t="str">
            <v>INHIBIDOR DE CORROSIÓN</v>
          </cell>
        </row>
        <row r="183">
          <cell r="H183" t="str">
            <v>BACTRON L-133</v>
          </cell>
          <cell r="I183">
            <v>6.94</v>
          </cell>
          <cell r="J183" t="str">
            <v>BACTERICIDA</v>
          </cell>
        </row>
        <row r="184">
          <cell r="H184" t="str">
            <v>CORTRON 2533</v>
          </cell>
          <cell r="I184">
            <v>2.66</v>
          </cell>
          <cell r="J184" t="str">
            <v>INHIBIDOR DE CORROSIÓN</v>
          </cell>
        </row>
        <row r="185">
          <cell r="H185" t="str">
            <v>GYPTRON TA-416</v>
          </cell>
          <cell r="I185">
            <v>2.19</v>
          </cell>
          <cell r="J185" t="str">
            <v>INHIBIDOR DE INCRUSTACIONES</v>
          </cell>
        </row>
        <row r="186">
          <cell r="H186" t="str">
            <v>CLEAR 2335</v>
          </cell>
          <cell r="I186">
            <v>4.38</v>
          </cell>
          <cell r="J186" t="str">
            <v>DISOLVENTE DE PARAFINAS Y ASFALTENOS</v>
          </cell>
        </row>
        <row r="187">
          <cell r="H187" t="str">
            <v>GYPTRON TA-416</v>
          </cell>
          <cell r="I187">
            <v>2.19</v>
          </cell>
          <cell r="J187" t="str">
            <v>INHIBIDOR DE INCRUSTACIONES</v>
          </cell>
        </row>
        <row r="188">
          <cell r="H188" t="str">
            <v>CORTRON 2533</v>
          </cell>
          <cell r="I188">
            <v>2.66</v>
          </cell>
          <cell r="J188" t="str">
            <v>INHIBIDOR DE CORROSIÓN</v>
          </cell>
        </row>
        <row r="189">
          <cell r="H189" t="str">
            <v>CLEAR 2335</v>
          </cell>
          <cell r="I189">
            <v>4.38</v>
          </cell>
          <cell r="J189" t="str">
            <v>DISOLVENTE DE PARAFINAS Y ASFALTENOS</v>
          </cell>
        </row>
        <row r="190">
          <cell r="H190" t="str">
            <v>CORTRON 2533</v>
          </cell>
          <cell r="I190">
            <v>2.66</v>
          </cell>
          <cell r="J190" t="str">
            <v>INHIBIDOR DE CORROSIÓN</v>
          </cell>
        </row>
        <row r="191">
          <cell r="H191" t="str">
            <v>CORTRON 2533</v>
          </cell>
          <cell r="I191">
            <v>2.66</v>
          </cell>
          <cell r="J191" t="str">
            <v>INHIBIDOR DE CORROSIÓN</v>
          </cell>
        </row>
        <row r="192">
          <cell r="H192" t="str">
            <v>BACTRON L-133</v>
          </cell>
          <cell r="I192">
            <v>6.94</v>
          </cell>
          <cell r="J192" t="str">
            <v>BACTERICIDA</v>
          </cell>
        </row>
        <row r="193">
          <cell r="H193" t="str">
            <v>CORTRON 2533</v>
          </cell>
          <cell r="I193">
            <v>2.66</v>
          </cell>
          <cell r="J193" t="str">
            <v>INHIBIDOR DE CORROSIÓN</v>
          </cell>
        </row>
        <row r="194">
          <cell r="H194" t="str">
            <v>CLEAR 2336</v>
          </cell>
          <cell r="I194">
            <v>3.74</v>
          </cell>
          <cell r="J194" t="str">
            <v>DISOLVENTE DE PARAFINAS Y ASFALTENOS</v>
          </cell>
        </row>
        <row r="195">
          <cell r="H195" t="str">
            <v>CLEAR 2335</v>
          </cell>
          <cell r="I195">
            <v>4.38</v>
          </cell>
          <cell r="J195" t="str">
            <v>DISOLVENTE DE PARAFINAS Y ASFALTENOS</v>
          </cell>
        </row>
        <row r="196">
          <cell r="H196" t="str">
            <v>EC6359A</v>
          </cell>
          <cell r="I196">
            <v>4.8099999999999996</v>
          </cell>
          <cell r="J196" t="str">
            <v>INHIBIDOR DE INCRUSTACIONES</v>
          </cell>
        </row>
        <row r="197">
          <cell r="H197" t="str">
            <v>CAPTRON 75/ENCAPTRON 95</v>
          </cell>
          <cell r="I197">
            <v>8.76</v>
          </cell>
          <cell r="J197" t="str">
            <v>INHIBIDOR DE INCRUSTACIÓN/CORROSIÓN</v>
          </cell>
        </row>
        <row r="198">
          <cell r="H198" t="str">
            <v>CAPTRON 75/ENCAPTRON 95</v>
          </cell>
          <cell r="I198">
            <v>8.76</v>
          </cell>
          <cell r="J198" t="str">
            <v>INHIBIDOR DE INCRUSTACIÓN/CORROSIÓN</v>
          </cell>
        </row>
        <row r="199">
          <cell r="H199" t="str">
            <v>CAPTRON 75</v>
          </cell>
          <cell r="I199">
            <v>10.58</v>
          </cell>
          <cell r="J199" t="str">
            <v>INHIBIDOR DE INCRUSTACIONES</v>
          </cell>
        </row>
        <row r="200">
          <cell r="H200" t="str">
            <v>ENCAPTRON 95</v>
          </cell>
          <cell r="I200">
            <v>6.94</v>
          </cell>
          <cell r="J200" t="str">
            <v>INHIBIDOR DE CORROSIÓN</v>
          </cell>
        </row>
        <row r="201">
          <cell r="H201" t="str">
            <v>ENCAPTRON 95</v>
          </cell>
          <cell r="I201">
            <v>6.94</v>
          </cell>
          <cell r="J201" t="str">
            <v>INHIBIDOR DE CORROSIÓN</v>
          </cell>
        </row>
        <row r="202">
          <cell r="H202" t="str">
            <v>ENCAPTRON 95</v>
          </cell>
          <cell r="I202">
            <v>6.94</v>
          </cell>
          <cell r="J202" t="str">
            <v>INHIBIDOR DE CORROSIÓN</v>
          </cell>
        </row>
        <row r="203">
          <cell r="H203" t="str">
            <v>CAPTRON 75/ENCAPTRON 95</v>
          </cell>
          <cell r="I203">
            <v>8.76</v>
          </cell>
          <cell r="J203" t="str">
            <v>INHIBIDOR DE INCRUSTACIÓN/CORROSIÓN</v>
          </cell>
        </row>
        <row r="204">
          <cell r="H204" t="str">
            <v>CAPTRON 75/ENCAPTRON 95</v>
          </cell>
          <cell r="I204">
            <v>8.76</v>
          </cell>
          <cell r="J204" t="str">
            <v>INHIBIDOR DE INCRUSTACIÓN/CORROSIÓN</v>
          </cell>
        </row>
        <row r="205">
          <cell r="H205" t="str">
            <v>CAPTRON 75/ENCAPTRON 95</v>
          </cell>
          <cell r="I205">
            <v>8.76</v>
          </cell>
          <cell r="J205" t="str">
            <v>INHIBIDOR DE INCRUSTACIÓN/CORROSIÓN</v>
          </cell>
        </row>
        <row r="206">
          <cell r="H206" t="str">
            <v>CAPTRON 75/ENCAPTRON 95</v>
          </cell>
          <cell r="I206">
            <v>8.76</v>
          </cell>
          <cell r="J206" t="str">
            <v>INHIBIDOR DE INCRUSTACIÓN/CORROSIÓN</v>
          </cell>
        </row>
        <row r="207">
          <cell r="H207" t="str">
            <v>CAPTRON 75/ENCAPTRON 95</v>
          </cell>
          <cell r="I207">
            <v>8.76</v>
          </cell>
          <cell r="J207" t="str">
            <v>INHIBIDOR DE INCRUSTACIÓN/CORROSIÓN</v>
          </cell>
        </row>
        <row r="208">
          <cell r="H208" t="str">
            <v>CAPTRON 75/ENCAPTRON 95</v>
          </cell>
          <cell r="I208">
            <v>8.76</v>
          </cell>
          <cell r="J208" t="str">
            <v>INHIBIDOR DE INCRUSTACIÓN/CORROSIÓN</v>
          </cell>
        </row>
        <row r="209">
          <cell r="H209" t="str">
            <v>CAPTRON 75/ENCAPTRON 95</v>
          </cell>
          <cell r="I209">
            <v>8.76</v>
          </cell>
          <cell r="J209" t="str">
            <v>INHIBIDOR DE INCRUSTACIÓN/CORROSIÓN</v>
          </cell>
        </row>
        <row r="210">
          <cell r="H210" t="str">
            <v>CAPTRON 75/ENCAPTRON 95</v>
          </cell>
          <cell r="I210">
            <v>8.76</v>
          </cell>
          <cell r="J210" t="str">
            <v>INHIBIDOR DE INCRUSTACIÓN/CORROSIÓN</v>
          </cell>
        </row>
        <row r="211">
          <cell r="H211" t="str">
            <v>CAPTRON 75/ENCAPTRON 95</v>
          </cell>
          <cell r="I211">
            <v>8.76</v>
          </cell>
          <cell r="J211" t="str">
            <v>INHIBIDOR DE INCRUSTACIÓN/CORROSIÓN</v>
          </cell>
        </row>
        <row r="212">
          <cell r="H212" t="str">
            <v>CAPTRON 75/ENCAPTRON 95</v>
          </cell>
          <cell r="I212">
            <v>8.76</v>
          </cell>
          <cell r="J212" t="str">
            <v>INHIBIDOR DE INCRUSTACIÓN/CORROSIÓN</v>
          </cell>
        </row>
        <row r="213">
          <cell r="H213" t="str">
            <v>CAPTRON 75/ENCAPTRON 95</v>
          </cell>
          <cell r="I213">
            <v>8.76</v>
          </cell>
          <cell r="J213" t="str">
            <v>INHIBIDOR DE INCRUSTACIÓN/CORROSIÓN</v>
          </cell>
        </row>
        <row r="214">
          <cell r="H214" t="str">
            <v>CAPTRON 75/ENCAPTRON 95</v>
          </cell>
          <cell r="I214">
            <v>8.76</v>
          </cell>
          <cell r="J214" t="str">
            <v>INHIBIDOR DE INCRUSTACIÓN/CORROSIÓN</v>
          </cell>
        </row>
        <row r="215">
          <cell r="H215" t="str">
            <v>CAPTRON 75/ENCAPTRON 95</v>
          </cell>
          <cell r="I215">
            <v>8.76</v>
          </cell>
          <cell r="J215" t="str">
            <v>INHIBIDOR DE INCRUSTACIÓN/CORROSIÓN</v>
          </cell>
        </row>
        <row r="216">
          <cell r="H216" t="str">
            <v>CAPTRON 75/ENCAPTRON 95</v>
          </cell>
          <cell r="I216">
            <v>8.76</v>
          </cell>
          <cell r="J216" t="str">
            <v>INHIBIDOR DE INCRUSTACIÓN/CORROSIÓN</v>
          </cell>
        </row>
        <row r="217">
          <cell r="H217" t="str">
            <v>CAPTRON 75/ENCAPTRON 95</v>
          </cell>
          <cell r="I217">
            <v>8.76</v>
          </cell>
          <cell r="J217" t="str">
            <v>INHIBIDOR DE INCRUSTACIÓN/CORROSIÓN</v>
          </cell>
        </row>
        <row r="218">
          <cell r="H218" t="str">
            <v>CAPTRON 75/ENCAPTRON 95</v>
          </cell>
          <cell r="I218">
            <v>8.76</v>
          </cell>
          <cell r="J218" t="str">
            <v>INHIBIDOR DE INCRUSTACIÓN/CORROSIÓN</v>
          </cell>
        </row>
        <row r="219">
          <cell r="H219" t="str">
            <v>CAPTRON 75/ENCAPTRON 95</v>
          </cell>
          <cell r="I219">
            <v>8.76</v>
          </cell>
          <cell r="J219" t="str">
            <v>INHIBIDOR DE INCRUSTACIÓN/CORROSIÓN</v>
          </cell>
        </row>
        <row r="220">
          <cell r="H220" t="str">
            <v>CAPTRON 75/ENCAPTRON 95</v>
          </cell>
          <cell r="I220">
            <v>8.76</v>
          </cell>
          <cell r="J220" t="str">
            <v>INHIBIDOR DE INCRUSTACIÓN/CORROSIÓN</v>
          </cell>
        </row>
        <row r="221">
          <cell r="H221" t="str">
            <v>CAPTRON 75/ENCAPTRON 96</v>
          </cell>
          <cell r="I221">
            <v>10.975</v>
          </cell>
          <cell r="J221" t="str">
            <v>INHIBIDOR DE INCRUSTACIÓN/CORROSIÓN</v>
          </cell>
        </row>
        <row r="222">
          <cell r="H222" t="str">
            <v>CAPTRON 75</v>
          </cell>
          <cell r="I222">
            <v>10.58</v>
          </cell>
          <cell r="J222" t="str">
            <v>INHIBIDOR DE INCRUSTACIONES</v>
          </cell>
        </row>
        <row r="223">
          <cell r="H223" t="str">
            <v>CAPTRON 75/ENCAPTRON 95</v>
          </cell>
          <cell r="I223">
            <v>8.76</v>
          </cell>
          <cell r="J223" t="str">
            <v>INHIBIDOR DE INCRUSTACIÓN/CORROSIÓN</v>
          </cell>
        </row>
        <row r="224">
          <cell r="H224" t="str">
            <v>CAPTRON 75/ENCAPTRON 95</v>
          </cell>
          <cell r="I224">
            <v>8.76</v>
          </cell>
          <cell r="J224" t="str">
            <v>INHIBIDOR DE INCRUSTACIÓN/CORROSIÓN</v>
          </cell>
        </row>
        <row r="225">
          <cell r="H225" t="str">
            <v>CAPTRON 75/ENCAPTRON 95</v>
          </cell>
          <cell r="I225">
            <v>8.76</v>
          </cell>
          <cell r="J225" t="str">
            <v>INHIBIDOR DE INCRUSTACIÓN/CORROSIÓN</v>
          </cell>
        </row>
        <row r="226">
          <cell r="H226" t="str">
            <v>CAPTRON 75/ENCAPTRON 95</v>
          </cell>
          <cell r="I226">
            <v>8.76</v>
          </cell>
          <cell r="J226" t="str">
            <v>INHIBIDOR DE INCRUSTACIÓN/CORROSIÓN</v>
          </cell>
        </row>
        <row r="227">
          <cell r="H227" t="str">
            <v>CAPTRON 75/ENCAPTRON 95</v>
          </cell>
          <cell r="I227">
            <v>8.76</v>
          </cell>
          <cell r="J227" t="str">
            <v>INHIBIDOR DE INCRUSTACIÓN/CORROSIÓN</v>
          </cell>
        </row>
        <row r="228">
          <cell r="H228" t="str">
            <v>CAPTRON 75/ENCAPTRON 95</v>
          </cell>
          <cell r="I228">
            <v>8.76</v>
          </cell>
          <cell r="J228" t="str">
            <v>INHIBIDOR DE INCRUSTACIÓN/CORROSIÓN</v>
          </cell>
        </row>
        <row r="229">
          <cell r="H229" t="str">
            <v>CAPTRON 75</v>
          </cell>
          <cell r="I229">
            <v>10.58</v>
          </cell>
          <cell r="J229" t="str">
            <v>INHIBIDOR DE INCRUSTACIONES</v>
          </cell>
        </row>
        <row r="230">
          <cell r="H230" t="str">
            <v>CAPTRON 75/ENCAPTRON 95</v>
          </cell>
          <cell r="I230">
            <v>8.76</v>
          </cell>
          <cell r="J230" t="str">
            <v>INHIBIDOR DE INCRUSTACIÓN/CORROSIÓN</v>
          </cell>
        </row>
        <row r="231">
          <cell r="H231" t="str">
            <v>CAPTRON 75/ENCAPTRON 95</v>
          </cell>
          <cell r="I231">
            <v>8.76</v>
          </cell>
          <cell r="J231" t="str">
            <v>INHIBIDOR DE INCRUSTACIÓN/CORROSIÓN</v>
          </cell>
        </row>
        <row r="232">
          <cell r="H232" t="str">
            <v>CAPTRON 75/ENCAPTRON 95</v>
          </cell>
          <cell r="I232">
            <v>8.76</v>
          </cell>
          <cell r="J232" t="str">
            <v>INHIBIDOR DE INCRUSTACIÓN/CORROSIÓN</v>
          </cell>
        </row>
        <row r="233">
          <cell r="H233" t="str">
            <v>ENCAPTRON 95</v>
          </cell>
          <cell r="I233">
            <v>6.94</v>
          </cell>
          <cell r="J233" t="str">
            <v>INHIBIDOR DE CORROSIÓN</v>
          </cell>
        </row>
        <row r="234">
          <cell r="H234" t="str">
            <v>CAPTRON 75/ENCAPTRON 95</v>
          </cell>
          <cell r="I234">
            <v>8.76</v>
          </cell>
          <cell r="J234" t="str">
            <v>INHIBIDOR DE INCRUSTACIÓN/CORROSIÓN</v>
          </cell>
        </row>
        <row r="235">
          <cell r="H235" t="str">
            <v>CAPTRON 75/ENCAPTRON 95</v>
          </cell>
          <cell r="I235">
            <v>8.76</v>
          </cell>
          <cell r="J235" t="str">
            <v>INHIBIDOR DE INCRUSTACIÓN/CORROSIÓN</v>
          </cell>
        </row>
        <row r="236">
          <cell r="H236" t="str">
            <v>CAPTRON 75/ENCAPTRON 95</v>
          </cell>
          <cell r="I236">
            <v>8.76</v>
          </cell>
          <cell r="J236" t="str">
            <v>INHIBIDOR DE INCRUSTACIÓN/CORROSIÓN</v>
          </cell>
        </row>
        <row r="237">
          <cell r="H237" t="str">
            <v>CAPTRON 75</v>
          </cell>
          <cell r="I237">
            <v>10.58</v>
          </cell>
          <cell r="J237" t="str">
            <v>INHIBIDOR DE INCRUSTACIONES</v>
          </cell>
        </row>
        <row r="238">
          <cell r="H238" t="str">
            <v>CAPTRON 75</v>
          </cell>
          <cell r="I238">
            <v>10.58</v>
          </cell>
          <cell r="J238" t="str">
            <v>INHIBIDOR DE INCRUSTACIONES</v>
          </cell>
        </row>
        <row r="239">
          <cell r="H239" t="str">
            <v>CAPTRON 75/ENCAPTRON 95</v>
          </cell>
          <cell r="I239">
            <v>8.76</v>
          </cell>
          <cell r="J239" t="str">
            <v>INHIBIDOR DE INCRUSTACIÓN/CORROSIÓN</v>
          </cell>
        </row>
        <row r="240">
          <cell r="H240" t="str">
            <v>CAPTRON 75/ENCAPTRON 95</v>
          </cell>
          <cell r="I240">
            <v>8.76</v>
          </cell>
          <cell r="J240" t="str">
            <v>INHIBIDOR DE INCRUSTACIÓN/CORROSIÓN</v>
          </cell>
        </row>
        <row r="241">
          <cell r="H241" t="str">
            <v>ENCAPTRON 95</v>
          </cell>
          <cell r="I241">
            <v>6.94</v>
          </cell>
          <cell r="J241" t="str">
            <v>INHIBIDOR DE CORROSIÓN</v>
          </cell>
        </row>
        <row r="242">
          <cell r="H242" t="str">
            <v>CAPTRON 75/ENCAPTRON 95</v>
          </cell>
          <cell r="I242">
            <v>8.76</v>
          </cell>
          <cell r="J242" t="str">
            <v>INHIBIDOR DE INCRUSTACIÓN/CORROSIÓN</v>
          </cell>
        </row>
        <row r="243">
          <cell r="H243" t="str">
            <v>ENCAPTRON 95</v>
          </cell>
          <cell r="I243">
            <v>6.94</v>
          </cell>
          <cell r="J243" t="str">
            <v>INHIBIDOR DE CORROSIÓN</v>
          </cell>
        </row>
        <row r="244">
          <cell r="H244" t="str">
            <v>CAPTRON 75</v>
          </cell>
          <cell r="I244">
            <v>10.58</v>
          </cell>
          <cell r="J244" t="str">
            <v>INHIBIDOR DE INCRUSTACIONES</v>
          </cell>
        </row>
        <row r="245">
          <cell r="H245" t="str">
            <v>CAPTRON 75</v>
          </cell>
          <cell r="I245">
            <v>10.58</v>
          </cell>
          <cell r="J245" t="str">
            <v>INHIBIDOR DE INCRUSTACIONES</v>
          </cell>
        </row>
        <row r="246">
          <cell r="H246" t="str">
            <v>ENCAPTRON 95</v>
          </cell>
          <cell r="I246">
            <v>6.94</v>
          </cell>
          <cell r="J246" t="str">
            <v>INHIBIDOR DE CORROSIÓN</v>
          </cell>
        </row>
        <row r="247">
          <cell r="H247" t="str">
            <v>CAPTRON 75/ENCAPTRON 95</v>
          </cell>
          <cell r="I247">
            <v>8.76</v>
          </cell>
          <cell r="J247" t="str">
            <v>INHIBIDOR DE INCRUSTACIÓN/CORROSIÓN</v>
          </cell>
        </row>
        <row r="248">
          <cell r="H248" t="str">
            <v>CAPTRON 75/ENCAPTRON 95</v>
          </cell>
          <cell r="I248">
            <v>8.76</v>
          </cell>
          <cell r="J248" t="str">
            <v>INHIBIDOR DE INCRUSTACIÓN/CORROSIÓN</v>
          </cell>
        </row>
        <row r="249">
          <cell r="H249" t="str">
            <v>CAPTRON 75/ENCAPTRON 95</v>
          </cell>
          <cell r="I249">
            <v>8.76</v>
          </cell>
          <cell r="J249" t="str">
            <v>INHIBIDOR DE INCRUSTACIÓN/CORROSIÓN</v>
          </cell>
        </row>
        <row r="250">
          <cell r="H250" t="str">
            <v>ENCAPTRON 95</v>
          </cell>
          <cell r="I250">
            <v>6.94</v>
          </cell>
          <cell r="J250" t="str">
            <v>INHIBIDOR DE CORROSIÓN</v>
          </cell>
        </row>
        <row r="251">
          <cell r="H251" t="str">
            <v>CAPTRON 75/ENCAPTRON 95</v>
          </cell>
          <cell r="I251">
            <v>8.76</v>
          </cell>
          <cell r="J251" t="str">
            <v>INHIBIDOR DE INCRUSTACIÓN/CORROSIÓN</v>
          </cell>
        </row>
        <row r="252">
          <cell r="H252" t="str">
            <v>CAPTRON 75/ENCAPTRON 95</v>
          </cell>
          <cell r="I252">
            <v>8.76</v>
          </cell>
          <cell r="J252" t="str">
            <v>INHIBIDOR DE INCRUSTACIÓN/CORROSIÓN</v>
          </cell>
        </row>
        <row r="253">
          <cell r="H253" t="str">
            <v>CAPTRON 75</v>
          </cell>
          <cell r="I253">
            <v>10.58</v>
          </cell>
          <cell r="J253" t="str">
            <v>INHIBIDOR DE INCRUSTACIONES</v>
          </cell>
        </row>
        <row r="254">
          <cell r="H254" t="str">
            <v>CAPTRON 75/ENCAPTRON 95</v>
          </cell>
          <cell r="I254">
            <v>8.76</v>
          </cell>
          <cell r="J254" t="str">
            <v>INHIBIDOR DE INCRUSTACIÓN/CORROSIÓN</v>
          </cell>
        </row>
        <row r="255">
          <cell r="H255" t="str">
            <v>CAPTRON 75/ENCAPTRON 95</v>
          </cell>
          <cell r="I255">
            <v>8.76</v>
          </cell>
          <cell r="J255" t="str">
            <v>INHIBIDOR DE INCRUSTACIÓN/CORROSIÓN</v>
          </cell>
        </row>
        <row r="256">
          <cell r="H256" t="str">
            <v>CAPTRON 75</v>
          </cell>
          <cell r="I256">
            <v>10.58</v>
          </cell>
          <cell r="J256" t="str">
            <v>INHIBIDOR DE INCRUSTACIONES</v>
          </cell>
        </row>
        <row r="257">
          <cell r="H257" t="str">
            <v>CAPTRON 75/ENCAPTRON 95</v>
          </cell>
          <cell r="I257">
            <v>8.76</v>
          </cell>
          <cell r="J257" t="str">
            <v>INHIBIDOR DE INCRUSTACIÓN/CORROSIÓN</v>
          </cell>
        </row>
        <row r="258">
          <cell r="H258" t="str">
            <v>CAPTRON 75</v>
          </cell>
          <cell r="I258">
            <v>10.58</v>
          </cell>
          <cell r="J258" t="str">
            <v>INHIBIDOR DE INCRUSTACIONES</v>
          </cell>
        </row>
        <row r="259">
          <cell r="H259" t="str">
            <v>CAPTRON 75/ENCAPTRON 95</v>
          </cell>
          <cell r="I259">
            <v>8.76</v>
          </cell>
          <cell r="J259" t="str">
            <v>INHIBIDOR DE INCRUSTACIÓN/CORROSIÓN</v>
          </cell>
        </row>
      </sheetData>
      <sheetData sheetId="3">
        <row r="1">
          <cell r="B1" t="str">
            <v>Familia</v>
          </cell>
          <cell r="C1" t="str">
            <v>Base</v>
          </cell>
          <cell r="D1" t="str">
            <v>Columna</v>
          </cell>
          <cell r="E1" t="str">
            <v>Familia Cod.</v>
          </cell>
        </row>
        <row r="2">
          <cell r="B2" t="str">
            <v>REDUCTOR DE FRICCIÓN</v>
          </cell>
          <cell r="C2" t="str">
            <v>PB</v>
          </cell>
          <cell r="D2">
            <v>6</v>
          </cell>
          <cell r="E2" t="str">
            <v>RF</v>
          </cell>
        </row>
        <row r="3">
          <cell r="B3" t="str">
            <v>BACTERICIDA</v>
          </cell>
          <cell r="C3" t="str">
            <v>PA</v>
          </cell>
          <cell r="D3">
            <v>5</v>
          </cell>
          <cell r="E3" t="str">
            <v>BX</v>
          </cell>
        </row>
        <row r="4">
          <cell r="B4" t="str">
            <v>INHIBIDOR DE INCRUSTACIONES</v>
          </cell>
          <cell r="C4" t="str">
            <v>PA</v>
          </cell>
          <cell r="D4">
            <v>5</v>
          </cell>
          <cell r="E4" t="str">
            <v>IC</v>
          </cell>
        </row>
        <row r="5">
          <cell r="B5" t="str">
            <v>DESEMULSIONANTE</v>
          </cell>
          <cell r="C5" t="str">
            <v>PN</v>
          </cell>
          <cell r="D5">
            <v>4</v>
          </cell>
          <cell r="E5" t="str">
            <v>DB</v>
          </cell>
        </row>
        <row r="6">
          <cell r="B6" t="str">
            <v>INHIBIDOR DE PARAFINAS Y ASFALTENOS</v>
          </cell>
          <cell r="C6" t="str">
            <v>PB</v>
          </cell>
          <cell r="D6">
            <v>6</v>
          </cell>
          <cell r="E6" t="str">
            <v>IP</v>
          </cell>
        </row>
        <row r="7">
          <cell r="B7" t="str">
            <v>ANTIESPUMANTE</v>
          </cell>
          <cell r="C7" t="str">
            <v>PB</v>
          </cell>
          <cell r="D7">
            <v>6</v>
          </cell>
          <cell r="E7" t="str">
            <v>AB</v>
          </cell>
        </row>
        <row r="8">
          <cell r="B8" t="str">
            <v>INHIBIDOR DE CORROSIÓN</v>
          </cell>
          <cell r="C8" t="str">
            <v>PA</v>
          </cell>
          <cell r="D8">
            <v>5</v>
          </cell>
          <cell r="E8" t="str">
            <v>CY</v>
          </cell>
        </row>
        <row r="9">
          <cell r="B9" t="str">
            <v>HUMECTANTE DE SOLIDOS</v>
          </cell>
          <cell r="C9" t="str">
            <v>PN</v>
          </cell>
          <cell r="D9">
            <v>4</v>
          </cell>
          <cell r="E9" t="str">
            <v>HS</v>
          </cell>
        </row>
        <row r="10">
          <cell r="B10" t="str">
            <v>FLOCULANTE</v>
          </cell>
          <cell r="C10" t="str">
            <v>PA</v>
          </cell>
          <cell r="D10">
            <v>5</v>
          </cell>
          <cell r="E10" t="str">
            <v>FB</v>
          </cell>
        </row>
        <row r="11">
          <cell r="B11" t="str">
            <v>CLARIFICANTE</v>
          </cell>
          <cell r="C11" t="str">
            <v>PA</v>
          </cell>
          <cell r="D11">
            <v>5</v>
          </cell>
          <cell r="E11" t="str">
            <v>FB</v>
          </cell>
        </row>
        <row r="12">
          <cell r="B12" t="str">
            <v>DISOLVENTE DE PARAFINAS Y ASFALTENOS</v>
          </cell>
          <cell r="C12" t="str">
            <v>PB</v>
          </cell>
          <cell r="D12">
            <v>6</v>
          </cell>
          <cell r="E12" t="str">
            <v>DP</v>
          </cell>
        </row>
        <row r="13">
          <cell r="B13" t="str">
            <v>RUPTOR</v>
          </cell>
          <cell r="C13" t="str">
            <v>PB</v>
          </cell>
          <cell r="D13">
            <v>6</v>
          </cell>
          <cell r="E13" t="str">
            <v>RT</v>
          </cell>
        </row>
        <row r="14">
          <cell r="B14" t="str">
            <v>SECUESTRANTE DE OXIGENO</v>
          </cell>
          <cell r="C14" t="str">
            <v>PA</v>
          </cell>
          <cell r="D14">
            <v>5</v>
          </cell>
          <cell r="E14" t="str">
            <v>SO</v>
          </cell>
        </row>
        <row r="15">
          <cell r="B15" t="str">
            <v>SECUESTRANTE DE SULFHÍDRICO</v>
          </cell>
          <cell r="C15" t="str">
            <v>PG</v>
          </cell>
          <cell r="D15">
            <v>7</v>
          </cell>
          <cell r="E15" t="str">
            <v>BS</v>
          </cell>
        </row>
        <row r="16">
          <cell r="B16" t="str">
            <v>REDUCTOR DE VISCOSIDAD</v>
          </cell>
          <cell r="C16" t="str">
            <v>PB</v>
          </cell>
          <cell r="D16">
            <v>6</v>
          </cell>
          <cell r="E16" t="str">
            <v>RV</v>
          </cell>
        </row>
        <row r="17">
          <cell r="B17" t="str">
            <v>INHIBIDOR DE INCRUSTACIÓN/CORROSIÓN</v>
          </cell>
          <cell r="C17" t="str">
            <v>PA</v>
          </cell>
          <cell r="D17">
            <v>5</v>
          </cell>
          <cell r="E17" t="str">
            <v>IC/CY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ergerat, Juan Gabriel" id="{435462F4-4589-441E-A299-6CB1A09DA7CD}" userId="S::Juan.Bergerat@pecomenergia.com.ar::29a54034-0434-4b0a-821e-67a33807f92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gerat, Juan Gabriel" refreshedDate="45363.483300925924" createdVersion="8" refreshedVersion="8" minRefreshableVersion="3" recordCount="170" xr:uid="{02F7B422-E557-4FFB-9022-9B1E97879AE3}">
  <cacheSource type="worksheet">
    <worksheetSource ref="B2:F172" sheet="Hoja2"/>
  </cacheSource>
  <cacheFields count="5">
    <cacheField name="Zona" numFmtId="0">
      <sharedItems/>
    </cacheField>
    <cacheField name="Cïa" numFmtId="0">
      <sharedItems/>
    </cacheField>
    <cacheField name="PQ" numFmtId="0">
      <sharedItems count="32">
        <s v="03VC057"/>
        <s v="Bactron L-133"/>
        <s v="CLEAR 2335"/>
        <s v="Cortron RN470"/>
        <s v="CORTRON RU312"/>
        <s v="Defoamer AF-177"/>
        <s v="DVE4B003"/>
        <s v="EC1093"/>
        <s v="EC2434"/>
        <s v="EC2434A"/>
        <s v="EC6019A"/>
        <s v="EC6036A"/>
        <s v="EC6359"/>
        <s v="EC6359A"/>
        <s v="EC6539A"/>
        <s v="EC6620"/>
        <s v="EC9297"/>
        <s v="EMB12601"/>
        <s v="EMB14512"/>
        <s v="EMB14512A"/>
        <s v="EMb17949A"/>
        <s v="EMBR10203"/>
        <s v="EMBR12601"/>
        <s v="EMBR12601a"/>
        <s v="EMBR14512A"/>
        <s v="EMBR17949"/>
        <s v="EMBR17949a"/>
        <s v="Gas treat"/>
        <s v="Gas treat 200"/>
        <s v="GyptronTA-416"/>
        <s v="SurfatronDN155"/>
        <s v="X-8134"/>
      </sharedItems>
    </cacheField>
    <cacheField name="Familia" numFmtId="0">
      <sharedItems containsBlank="1" count="14">
        <s v="Clarificante"/>
        <s v="Bactericida"/>
        <s v="Dispersante de parafinas y asflatenos"/>
        <s v="Inhibidor de corrosión"/>
        <s v="Antiespumante"/>
        <m/>
        <s v="Ruptor"/>
        <s v="Floculante"/>
        <s v="Inhibidor de Incrustaciones"/>
        <s v="Inhibidor de parafinas y asfaltenos"/>
        <s v="Redictor de viscosidad"/>
        <s v="Desemulsionante"/>
        <s v="Sec de H2S"/>
        <s v="Reductor de fricción"/>
      </sharedItems>
    </cacheField>
    <cacheField name="Dosis" numFmtId="0">
      <sharedItems containsString="0" containsBlank="1" containsNumber="1" minValue="2.6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s v="Mgue"/>
    <s v="Champion"/>
    <x v="0"/>
    <x v="0"/>
    <n v="10"/>
  </r>
  <r>
    <s v="Mgue"/>
    <s v="Champion"/>
    <x v="1"/>
    <x v="1"/>
    <n v="20"/>
  </r>
  <r>
    <s v="Mgue"/>
    <s v="Champion"/>
    <x v="1"/>
    <x v="1"/>
    <n v="3.9"/>
  </r>
  <r>
    <s v="Mgue"/>
    <s v="Champion"/>
    <x v="1"/>
    <x v="1"/>
    <n v="2.6"/>
  </r>
  <r>
    <s v="Mgue"/>
    <s v="Champion"/>
    <x v="1"/>
    <x v="1"/>
    <n v="5"/>
  </r>
  <r>
    <s v="Mgue"/>
    <s v="Champion"/>
    <x v="2"/>
    <x v="2"/>
    <n v="40"/>
  </r>
  <r>
    <s v="Mgue"/>
    <s v="Champion"/>
    <x v="2"/>
    <x v="2"/>
    <n v="10"/>
  </r>
  <r>
    <s v="Mgue"/>
    <s v="Champion"/>
    <x v="2"/>
    <x v="2"/>
    <n v="12"/>
  </r>
  <r>
    <s v="Mgue"/>
    <s v="Champion"/>
    <x v="2"/>
    <x v="2"/>
    <n v="12"/>
  </r>
  <r>
    <s v="Mgue"/>
    <s v="Champion"/>
    <x v="2"/>
    <x v="2"/>
    <n v="10"/>
  </r>
  <r>
    <s v="Mgue"/>
    <s v="Champion"/>
    <x v="2"/>
    <x v="2"/>
    <n v="12"/>
  </r>
  <r>
    <s v="Mgue"/>
    <s v="Champion"/>
    <x v="2"/>
    <x v="2"/>
    <n v="8"/>
  </r>
  <r>
    <s v="Mgue"/>
    <s v="Champion"/>
    <x v="2"/>
    <x v="2"/>
    <n v="15"/>
  </r>
  <r>
    <s v="Mgue"/>
    <s v="Champion"/>
    <x v="2"/>
    <x v="2"/>
    <n v="10"/>
  </r>
  <r>
    <s v="Mgue"/>
    <s v="Champion"/>
    <x v="2"/>
    <x v="2"/>
    <n v="25"/>
  </r>
  <r>
    <s v="Mgue"/>
    <s v="Champion"/>
    <x v="2"/>
    <x v="2"/>
    <n v="10"/>
  </r>
  <r>
    <s v="Mgue"/>
    <s v="Champion"/>
    <x v="2"/>
    <x v="2"/>
    <n v="16"/>
  </r>
  <r>
    <s v="Mgue"/>
    <s v="Champion"/>
    <x v="2"/>
    <x v="2"/>
    <n v="20"/>
  </r>
  <r>
    <s v="Mgue"/>
    <s v="Champion"/>
    <x v="2"/>
    <x v="2"/>
    <n v="15"/>
  </r>
  <r>
    <s v="Mgue"/>
    <s v="Champion"/>
    <x v="2"/>
    <x v="2"/>
    <n v="15"/>
  </r>
  <r>
    <s v="Mgue"/>
    <s v="Champion"/>
    <x v="2"/>
    <x v="2"/>
    <n v="15"/>
  </r>
  <r>
    <s v="Mgue"/>
    <s v="Champion"/>
    <x v="2"/>
    <x v="2"/>
    <n v="15"/>
  </r>
  <r>
    <s v="Mgue"/>
    <s v="Champion"/>
    <x v="2"/>
    <x v="2"/>
    <n v="20"/>
  </r>
  <r>
    <s v="Mgue"/>
    <s v="Champion"/>
    <x v="2"/>
    <x v="2"/>
    <n v="9"/>
  </r>
  <r>
    <s v="Mgue"/>
    <s v="Champion"/>
    <x v="2"/>
    <x v="2"/>
    <n v="14"/>
  </r>
  <r>
    <s v="Mgue"/>
    <s v="Champion"/>
    <x v="2"/>
    <x v="2"/>
    <n v="8"/>
  </r>
  <r>
    <s v="Mgue"/>
    <s v="Champion"/>
    <x v="2"/>
    <x v="2"/>
    <n v="10"/>
  </r>
  <r>
    <s v="Mgue"/>
    <s v="Champion"/>
    <x v="2"/>
    <x v="2"/>
    <n v="10"/>
  </r>
  <r>
    <s v="Mgue"/>
    <s v="Champion"/>
    <x v="2"/>
    <x v="2"/>
    <n v="15"/>
  </r>
  <r>
    <s v="Mgue"/>
    <s v="Champion"/>
    <x v="3"/>
    <x v="3"/>
    <n v="8"/>
  </r>
  <r>
    <s v="Mgue"/>
    <s v="Champion"/>
    <x v="3"/>
    <x v="3"/>
    <n v="9"/>
  </r>
  <r>
    <s v="Mgue"/>
    <s v="Champion"/>
    <x v="3"/>
    <x v="3"/>
    <n v="6"/>
  </r>
  <r>
    <s v="Mgue"/>
    <s v="Champion"/>
    <x v="3"/>
    <x v="3"/>
    <n v="7"/>
  </r>
  <r>
    <s v="Mgue"/>
    <s v="Champion"/>
    <x v="3"/>
    <x v="3"/>
    <n v="6"/>
  </r>
  <r>
    <s v="Mgue"/>
    <s v="Champion"/>
    <x v="3"/>
    <x v="3"/>
    <n v="8"/>
  </r>
  <r>
    <s v="Mgue"/>
    <s v="Champion"/>
    <x v="4"/>
    <x v="3"/>
    <n v="6"/>
  </r>
  <r>
    <s v="Mgue"/>
    <s v="Champion"/>
    <x v="5"/>
    <x v="4"/>
    <n v="25"/>
  </r>
  <r>
    <s v="Mgue"/>
    <s v="Champion"/>
    <x v="5"/>
    <x v="4"/>
    <n v="30"/>
  </r>
  <r>
    <s v="Mgue"/>
    <s v="Champion"/>
    <x v="5"/>
    <x v="4"/>
    <n v="30"/>
  </r>
  <r>
    <s v="Mgue"/>
    <s v="Champion"/>
    <x v="5"/>
    <x v="4"/>
    <n v="30"/>
  </r>
  <r>
    <s v="Mgue"/>
    <s v="Champion"/>
    <x v="5"/>
    <x v="4"/>
    <n v="10"/>
  </r>
  <r>
    <s v="Mgue"/>
    <s v="Champion"/>
    <x v="5"/>
    <x v="4"/>
    <n v="15"/>
  </r>
  <r>
    <s v="Mgue"/>
    <s v="Champion"/>
    <x v="5"/>
    <x v="4"/>
    <n v="10"/>
  </r>
  <r>
    <s v="Mgue"/>
    <s v="Champion"/>
    <x v="5"/>
    <x v="4"/>
    <n v="10"/>
  </r>
  <r>
    <s v="Mgue"/>
    <s v="Champion"/>
    <x v="5"/>
    <x v="4"/>
    <n v="10"/>
  </r>
  <r>
    <s v="Mgue"/>
    <s v="Champion"/>
    <x v="5"/>
    <x v="4"/>
    <n v="15"/>
  </r>
  <r>
    <s v="Mgue"/>
    <s v="Champion"/>
    <x v="5"/>
    <x v="4"/>
    <n v="8"/>
  </r>
  <r>
    <s v="Mgue"/>
    <s v="Champion"/>
    <x v="5"/>
    <x v="4"/>
    <n v="10"/>
  </r>
  <r>
    <s v="Mgue"/>
    <s v="Champion"/>
    <x v="5"/>
    <x v="4"/>
    <n v="15"/>
  </r>
  <r>
    <s v="Mgue"/>
    <s v="Champion"/>
    <x v="6"/>
    <x v="1"/>
    <n v="12"/>
  </r>
  <r>
    <s v="Mgue"/>
    <s v="Champion"/>
    <x v="6"/>
    <x v="1"/>
    <n v="11"/>
  </r>
  <r>
    <s v="Mgue"/>
    <s v="Champion"/>
    <x v="6"/>
    <x v="1"/>
    <n v="15"/>
  </r>
  <r>
    <s v="Mgue"/>
    <s v="Champion"/>
    <x v="6"/>
    <x v="1"/>
    <n v="15"/>
  </r>
  <r>
    <s v="Mgue"/>
    <s v="Champion"/>
    <x v="6"/>
    <x v="1"/>
    <n v="15"/>
  </r>
  <r>
    <s v="Mgue"/>
    <s v="Champion"/>
    <x v="6"/>
    <x v="1"/>
    <n v="2.6"/>
  </r>
  <r>
    <s v="Mgue"/>
    <s v="Champion"/>
    <x v="6"/>
    <x v="1"/>
    <n v="3.9"/>
  </r>
  <r>
    <s v="Mgue"/>
    <s v="Champion"/>
    <x v="6"/>
    <x v="1"/>
    <n v="2.6"/>
  </r>
  <r>
    <s v="Mgue"/>
    <s v="Champion"/>
    <x v="6"/>
    <x v="1"/>
    <n v="3"/>
  </r>
  <r>
    <s v="Mgue"/>
    <s v="Champion"/>
    <x v="6"/>
    <x v="1"/>
    <n v="3"/>
  </r>
  <r>
    <s v="Mgue"/>
    <s v="Champion"/>
    <x v="7"/>
    <x v="5"/>
    <n v="15"/>
  </r>
  <r>
    <s v="Mgue"/>
    <s v="Champion"/>
    <x v="7"/>
    <x v="5"/>
    <n v="15"/>
  </r>
  <r>
    <s v="Mgue"/>
    <s v="Champion"/>
    <x v="7"/>
    <x v="5"/>
    <n v="20"/>
  </r>
  <r>
    <s v="Mgue"/>
    <s v="Champion"/>
    <x v="8"/>
    <x v="6"/>
    <n v="10"/>
  </r>
  <r>
    <s v="Mgue"/>
    <s v="Champion"/>
    <x v="9"/>
    <x v="6"/>
    <n v="10"/>
  </r>
  <r>
    <s v="Mgue"/>
    <s v="Champion"/>
    <x v="9"/>
    <x v="6"/>
    <n v="15"/>
  </r>
  <r>
    <s v="Mgue"/>
    <s v="Champion"/>
    <x v="9"/>
    <x v="6"/>
    <n v="12"/>
  </r>
  <r>
    <s v="Mgue"/>
    <s v="Champion"/>
    <x v="9"/>
    <x v="6"/>
    <n v="18"/>
  </r>
  <r>
    <s v="Mgue"/>
    <s v="Champion"/>
    <x v="9"/>
    <x v="6"/>
    <n v="25"/>
  </r>
  <r>
    <s v="Mgue"/>
    <s v="Champion"/>
    <x v="9"/>
    <x v="6"/>
    <n v="25"/>
  </r>
  <r>
    <s v="Mgue"/>
    <s v="Champion"/>
    <x v="9"/>
    <x v="6"/>
    <n v="15"/>
  </r>
  <r>
    <s v="Mgue"/>
    <s v="Champion"/>
    <x v="10"/>
    <x v="7"/>
    <n v="12"/>
  </r>
  <r>
    <s v="Mgue"/>
    <s v="Champion"/>
    <x v="10"/>
    <x v="7"/>
    <n v="20"/>
  </r>
  <r>
    <s v="Mgue"/>
    <s v="Champion"/>
    <x v="10"/>
    <x v="7"/>
    <n v="35"/>
  </r>
  <r>
    <s v="Mgue"/>
    <s v="Champion"/>
    <x v="10"/>
    <x v="7"/>
    <n v="35"/>
  </r>
  <r>
    <s v="Mgue"/>
    <s v="Champion"/>
    <x v="11"/>
    <x v="7"/>
    <n v="20"/>
  </r>
  <r>
    <s v="Mgue"/>
    <s v="Champion"/>
    <x v="11"/>
    <x v="7"/>
    <n v="16"/>
  </r>
  <r>
    <s v="Mgue"/>
    <s v="Champion"/>
    <x v="12"/>
    <x v="8"/>
    <n v="12"/>
  </r>
  <r>
    <s v="Mgue"/>
    <s v="Champion"/>
    <x v="12"/>
    <x v="8"/>
    <n v="12"/>
  </r>
  <r>
    <s v="Mgue"/>
    <s v="Champion"/>
    <x v="12"/>
    <x v="8"/>
    <n v="12"/>
  </r>
  <r>
    <s v="Mgue"/>
    <s v="Champion"/>
    <x v="12"/>
    <x v="8"/>
    <n v="12"/>
  </r>
  <r>
    <s v="Mgue"/>
    <s v="Champion"/>
    <x v="12"/>
    <x v="8"/>
    <n v="9"/>
  </r>
  <r>
    <s v="Mgue"/>
    <s v="Champion"/>
    <x v="12"/>
    <x v="8"/>
    <n v="25"/>
  </r>
  <r>
    <s v="Mgue"/>
    <s v="Champion"/>
    <x v="12"/>
    <x v="8"/>
    <n v="60"/>
  </r>
  <r>
    <s v="Mgue"/>
    <s v="Champion"/>
    <x v="13"/>
    <x v="9"/>
    <n v="50"/>
  </r>
  <r>
    <s v="Mgue"/>
    <s v="Champion"/>
    <x v="13"/>
    <x v="9"/>
    <n v="9"/>
  </r>
  <r>
    <s v="Mgue"/>
    <s v="Champion"/>
    <x v="13"/>
    <x v="9"/>
    <n v="15"/>
  </r>
  <r>
    <s v="Mgue"/>
    <s v="Champion"/>
    <x v="13"/>
    <x v="9"/>
    <n v="20"/>
  </r>
  <r>
    <s v="Mgue"/>
    <s v="Champion"/>
    <x v="13"/>
    <x v="9"/>
    <n v="18"/>
  </r>
  <r>
    <s v="Mgue"/>
    <s v="Champion"/>
    <x v="13"/>
    <x v="9"/>
    <n v="18"/>
  </r>
  <r>
    <s v="Mgue"/>
    <s v="Champion"/>
    <x v="13"/>
    <x v="9"/>
    <n v="15"/>
  </r>
  <r>
    <s v="Mgue"/>
    <s v="Champion"/>
    <x v="13"/>
    <x v="9"/>
    <n v="12"/>
  </r>
  <r>
    <s v="Mgue"/>
    <s v="Champion"/>
    <x v="13"/>
    <x v="9"/>
    <n v="12"/>
  </r>
  <r>
    <s v="Mgue"/>
    <s v="Champion"/>
    <x v="13"/>
    <x v="9"/>
    <n v="10"/>
  </r>
  <r>
    <s v="Mgue"/>
    <s v="Champion"/>
    <x v="13"/>
    <x v="9"/>
    <n v="9"/>
  </r>
  <r>
    <s v="Mgue"/>
    <s v="Champion"/>
    <x v="13"/>
    <x v="9"/>
    <n v="6"/>
  </r>
  <r>
    <s v="Mgue"/>
    <s v="Champion"/>
    <x v="13"/>
    <x v="9"/>
    <n v="12"/>
  </r>
  <r>
    <s v="Mgue"/>
    <s v="Champion"/>
    <x v="14"/>
    <x v="9"/>
    <n v="15"/>
  </r>
  <r>
    <s v="Mgue"/>
    <s v="Champion"/>
    <x v="14"/>
    <x v="9"/>
    <n v="20"/>
  </r>
  <r>
    <s v="Mgue"/>
    <s v="Champion"/>
    <x v="14"/>
    <x v="9"/>
    <n v="15"/>
  </r>
  <r>
    <s v="Mgue"/>
    <s v="Champion"/>
    <x v="14"/>
    <x v="9"/>
    <n v="20"/>
  </r>
  <r>
    <s v="Mgue"/>
    <s v="Champion"/>
    <x v="14"/>
    <x v="9"/>
    <n v="22"/>
  </r>
  <r>
    <s v="Mgue"/>
    <s v="Champion"/>
    <x v="15"/>
    <x v="10"/>
    <n v="15"/>
  </r>
  <r>
    <s v="Mgue"/>
    <s v="Champion"/>
    <x v="15"/>
    <x v="10"/>
    <n v="16"/>
  </r>
  <r>
    <s v="Mgue"/>
    <s v="Champion"/>
    <x v="15"/>
    <x v="10"/>
    <n v="10"/>
  </r>
  <r>
    <s v="Mgue"/>
    <s v="Champion"/>
    <x v="16"/>
    <x v="5"/>
    <n v="3"/>
  </r>
  <r>
    <s v="Mgue"/>
    <s v="Champion"/>
    <x v="17"/>
    <x v="11"/>
    <n v="12"/>
  </r>
  <r>
    <s v="Mgue"/>
    <s v="Champion"/>
    <x v="18"/>
    <x v="11"/>
    <n v="45"/>
  </r>
  <r>
    <s v="Mgue"/>
    <s v="Champion"/>
    <x v="19"/>
    <x v="11"/>
    <n v="25"/>
  </r>
  <r>
    <s v="Mgue"/>
    <s v="Champion"/>
    <x v="19"/>
    <x v="11"/>
    <n v="15"/>
  </r>
  <r>
    <s v="Mgue"/>
    <s v="Champion"/>
    <x v="19"/>
    <x v="11"/>
    <n v="30"/>
  </r>
  <r>
    <s v="Mgue"/>
    <s v="Champion"/>
    <x v="19"/>
    <x v="11"/>
    <n v="15"/>
  </r>
  <r>
    <s v="Mgue"/>
    <s v="Champion"/>
    <x v="19"/>
    <x v="11"/>
    <n v="12"/>
  </r>
  <r>
    <s v="Mgue"/>
    <s v="Champion"/>
    <x v="19"/>
    <x v="11"/>
    <n v="35"/>
  </r>
  <r>
    <s v="Mgue"/>
    <s v="Champion"/>
    <x v="20"/>
    <x v="11"/>
    <n v="6"/>
  </r>
  <r>
    <s v="Mgue"/>
    <s v="Champion"/>
    <x v="20"/>
    <x v="11"/>
    <n v="9"/>
  </r>
  <r>
    <s v="Mgue"/>
    <s v="Champion"/>
    <x v="20"/>
    <x v="11"/>
    <n v="12"/>
  </r>
  <r>
    <s v="Mgue"/>
    <s v="Champion"/>
    <x v="20"/>
    <x v="11"/>
    <n v="15"/>
  </r>
  <r>
    <s v="Mgue"/>
    <s v="Champion"/>
    <x v="20"/>
    <x v="11"/>
    <n v="30"/>
  </r>
  <r>
    <s v="Mgue"/>
    <s v="Champion"/>
    <x v="20"/>
    <x v="11"/>
    <n v="8"/>
  </r>
  <r>
    <s v="Mgue"/>
    <s v="Champion"/>
    <x v="21"/>
    <x v="11"/>
    <n v="30"/>
  </r>
  <r>
    <s v="Mgue"/>
    <s v="Champion"/>
    <x v="22"/>
    <x v="11"/>
    <n v="20"/>
  </r>
  <r>
    <s v="Mgue"/>
    <s v="Champion"/>
    <x v="23"/>
    <x v="11"/>
    <n v="8"/>
  </r>
  <r>
    <s v="Mgue"/>
    <s v="Champion"/>
    <x v="23"/>
    <x v="11"/>
    <n v="5"/>
  </r>
  <r>
    <s v="Mgue"/>
    <s v="Champion"/>
    <x v="23"/>
    <x v="11"/>
    <n v="5"/>
  </r>
  <r>
    <s v="Mgue"/>
    <s v="Champion"/>
    <x v="23"/>
    <x v="11"/>
    <n v="10"/>
  </r>
  <r>
    <s v="Mgue"/>
    <s v="Champion"/>
    <x v="23"/>
    <x v="11"/>
    <n v="30"/>
  </r>
  <r>
    <s v="Mgue"/>
    <s v="Champion"/>
    <x v="23"/>
    <x v="11"/>
    <n v="15"/>
  </r>
  <r>
    <s v="Mgue"/>
    <s v="Champion"/>
    <x v="24"/>
    <x v="11"/>
    <n v="25"/>
  </r>
  <r>
    <s v="Mgue"/>
    <s v="Champion"/>
    <x v="24"/>
    <x v="11"/>
    <n v="10"/>
  </r>
  <r>
    <s v="Mgue"/>
    <s v="Champion"/>
    <x v="24"/>
    <x v="11"/>
    <n v="6"/>
  </r>
  <r>
    <s v="Mgue"/>
    <s v="Champion"/>
    <x v="24"/>
    <x v="11"/>
    <n v="15"/>
  </r>
  <r>
    <s v="Mgue"/>
    <s v="Champion"/>
    <x v="24"/>
    <x v="11"/>
    <n v="8"/>
  </r>
  <r>
    <s v="Mgue"/>
    <s v="Champion"/>
    <x v="24"/>
    <x v="11"/>
    <n v="40"/>
  </r>
  <r>
    <s v="Mgue"/>
    <s v="Champion"/>
    <x v="24"/>
    <x v="11"/>
    <n v="40"/>
  </r>
  <r>
    <s v="Mgue"/>
    <s v="Champion"/>
    <x v="24"/>
    <x v="11"/>
    <n v="40"/>
  </r>
  <r>
    <s v="Mgue"/>
    <s v="Champion"/>
    <x v="25"/>
    <x v="11"/>
    <n v="12"/>
  </r>
  <r>
    <s v="Mgue"/>
    <s v="Champion"/>
    <x v="26"/>
    <x v="11"/>
    <n v="15"/>
  </r>
  <r>
    <s v="Mgue"/>
    <s v="Champion"/>
    <x v="27"/>
    <x v="12"/>
    <n v="40"/>
  </r>
  <r>
    <s v="Mgue"/>
    <s v="Champion"/>
    <x v="27"/>
    <x v="12"/>
    <n v="45"/>
  </r>
  <r>
    <s v="Mgue"/>
    <s v="Champion"/>
    <x v="27"/>
    <x v="12"/>
    <n v="45"/>
  </r>
  <r>
    <s v="Mgue"/>
    <s v="Champion"/>
    <x v="28"/>
    <x v="12"/>
    <n v="55"/>
  </r>
  <r>
    <s v="Mgue"/>
    <s v="Champion"/>
    <x v="28"/>
    <x v="12"/>
    <n v="15"/>
  </r>
  <r>
    <s v="Mgue"/>
    <s v="Champion"/>
    <x v="29"/>
    <x v="8"/>
    <n v="6"/>
  </r>
  <r>
    <s v="Mgue"/>
    <s v="Champion"/>
    <x v="29"/>
    <x v="8"/>
    <n v="8"/>
  </r>
  <r>
    <s v="Mgue"/>
    <s v="Champion"/>
    <x v="29"/>
    <x v="8"/>
    <n v="10"/>
  </r>
  <r>
    <s v="Mgue"/>
    <s v="Champion"/>
    <x v="29"/>
    <x v="8"/>
    <n v="6"/>
  </r>
  <r>
    <s v="Mgue"/>
    <s v="Champion"/>
    <x v="29"/>
    <x v="8"/>
    <n v="6"/>
  </r>
  <r>
    <s v="Mgue"/>
    <s v="Champion"/>
    <x v="29"/>
    <x v="8"/>
    <m/>
  </r>
  <r>
    <s v="Mgue"/>
    <s v="Champion"/>
    <x v="29"/>
    <x v="8"/>
    <n v="5"/>
  </r>
  <r>
    <s v="Mgue"/>
    <s v="Champion"/>
    <x v="30"/>
    <x v="13"/>
    <n v="10"/>
  </r>
  <r>
    <s v="Mgue"/>
    <s v="Champion"/>
    <x v="30"/>
    <x v="13"/>
    <n v="8"/>
  </r>
  <r>
    <s v="Mgue"/>
    <s v="Champion"/>
    <x v="30"/>
    <x v="13"/>
    <n v="10"/>
  </r>
  <r>
    <s v="Mgue"/>
    <s v="Champion"/>
    <x v="30"/>
    <x v="13"/>
    <n v="10"/>
  </r>
  <r>
    <s v="Mgue"/>
    <s v="Champion"/>
    <x v="30"/>
    <x v="13"/>
    <n v="15"/>
  </r>
  <r>
    <s v="Mgue"/>
    <s v="Champion"/>
    <x v="30"/>
    <x v="13"/>
    <n v="30"/>
  </r>
  <r>
    <s v="Mgue"/>
    <s v="Champion"/>
    <x v="30"/>
    <x v="13"/>
    <n v="8"/>
  </r>
  <r>
    <s v="Mgue"/>
    <s v="Champion"/>
    <x v="30"/>
    <x v="13"/>
    <n v="9"/>
  </r>
  <r>
    <s v="Mgue"/>
    <s v="Champion"/>
    <x v="30"/>
    <x v="13"/>
    <n v="8"/>
  </r>
  <r>
    <s v="Mgue"/>
    <s v="Champion"/>
    <x v="30"/>
    <x v="13"/>
    <n v="10"/>
  </r>
  <r>
    <s v="Mgue"/>
    <s v="Champion"/>
    <x v="30"/>
    <x v="13"/>
    <n v="10"/>
  </r>
  <r>
    <s v="Mgue"/>
    <s v="Champion"/>
    <x v="30"/>
    <x v="13"/>
    <n v="10"/>
  </r>
  <r>
    <s v="Mgue"/>
    <s v="Champion"/>
    <x v="30"/>
    <x v="13"/>
    <n v="10"/>
  </r>
  <r>
    <s v="Mgue"/>
    <s v="Champion"/>
    <x v="31"/>
    <x v="13"/>
    <n v="30"/>
  </r>
  <r>
    <s v="Mgue"/>
    <s v="Champion"/>
    <x v="31"/>
    <x v="13"/>
    <n v="30"/>
  </r>
  <r>
    <s v="Mgue"/>
    <s v="Champion"/>
    <x v="31"/>
    <x v="13"/>
    <n v="50"/>
  </r>
  <r>
    <s v="Mgue"/>
    <s v="Champion"/>
    <x v="31"/>
    <x v="13"/>
    <n v="20"/>
  </r>
  <r>
    <s v="Mgue"/>
    <s v="Champion"/>
    <x v="31"/>
    <x v="13"/>
    <n v="40"/>
  </r>
  <r>
    <s v="Mgue"/>
    <s v="Champion"/>
    <x v="31"/>
    <x v="13"/>
    <n v="25"/>
  </r>
  <r>
    <s v="Mgue"/>
    <s v="Champion"/>
    <x v="31"/>
    <x v="13"/>
    <n v="30"/>
  </r>
  <r>
    <s v="Mgue"/>
    <s v="Champion"/>
    <x v="31"/>
    <x v="13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DC1A6B-FA6F-471F-B5F0-5964A1638E6F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50" firstHeaderRow="1" firstDataRow="1" firstDataCol="1"/>
  <pivotFields count="5">
    <pivotField showAll="0"/>
    <pivotField showAll="0"/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15">
        <item x="4"/>
        <item x="1"/>
        <item x="0"/>
        <item x="11"/>
        <item x="2"/>
        <item x="7"/>
        <item x="3"/>
        <item x="8"/>
        <item x="9"/>
        <item x="10"/>
        <item x="13"/>
        <item x="6"/>
        <item x="12"/>
        <item x="5"/>
        <item t="default"/>
      </items>
    </pivotField>
    <pivotField dataField="1" showAll="0"/>
  </pivotFields>
  <rowFields count="2">
    <field x="3"/>
    <field x="2"/>
  </rowFields>
  <rowItems count="47">
    <i>
      <x/>
    </i>
    <i r="1">
      <x v="5"/>
    </i>
    <i>
      <x v="1"/>
    </i>
    <i r="1">
      <x v="1"/>
    </i>
    <i r="1">
      <x v="6"/>
    </i>
    <i>
      <x v="2"/>
    </i>
    <i r="1">
      <x/>
    </i>
    <i>
      <x v="3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4"/>
    </i>
    <i r="1">
      <x v="2"/>
    </i>
    <i>
      <x v="5"/>
    </i>
    <i r="1">
      <x v="10"/>
    </i>
    <i r="1">
      <x v="11"/>
    </i>
    <i>
      <x v="6"/>
    </i>
    <i r="1">
      <x v="3"/>
    </i>
    <i r="1">
      <x v="4"/>
    </i>
    <i>
      <x v="7"/>
    </i>
    <i r="1">
      <x v="12"/>
    </i>
    <i r="1">
      <x v="29"/>
    </i>
    <i>
      <x v="8"/>
    </i>
    <i r="1">
      <x v="13"/>
    </i>
    <i r="1">
      <x v="14"/>
    </i>
    <i>
      <x v="9"/>
    </i>
    <i r="1">
      <x v="15"/>
    </i>
    <i>
      <x v="10"/>
    </i>
    <i r="1">
      <x v="30"/>
    </i>
    <i r="1">
      <x v="31"/>
    </i>
    <i>
      <x v="11"/>
    </i>
    <i r="1">
      <x v="8"/>
    </i>
    <i r="1">
      <x v="9"/>
    </i>
    <i>
      <x v="12"/>
    </i>
    <i r="1">
      <x v="27"/>
    </i>
    <i r="1">
      <x v="28"/>
    </i>
    <i>
      <x v="13"/>
    </i>
    <i r="1">
      <x v="7"/>
    </i>
    <i r="1">
      <x v="16"/>
    </i>
    <i t="grand">
      <x/>
    </i>
  </rowItems>
  <colItems count="1">
    <i/>
  </colItems>
  <dataFields count="1">
    <dataField name="Suma de Dosi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3:H130" totalsRowShown="0" headerRowDxfId="7" dataDxfId="6">
  <tableColumns count="6">
    <tableColumn id="1" xr3:uid="{00000000-0010-0000-0000-000001000000}" name="Etiquetas de fila" dataDxfId="5"/>
    <tableColumn id="6" xr3:uid="{E34157F5-B1DD-45F7-8C13-3BCF02B57D79}" name="Consumo optimizado [l/mes]" dataDxfId="4">
      <calculatedColumnFormula>+Tabla1[[#This Row],[Consumo presentado '[L/mes']]]*(1-'EERR Global'!$E$23)</calculatedColumnFormula>
    </tableColumn>
    <tableColumn id="2" xr3:uid="{00000000-0010-0000-0000-000002000000}" name="Consumo presentado [L/mes]" dataDxfId="3"/>
    <tableColumn id="3" xr3:uid="{00000000-0010-0000-0000-000003000000}" name="Suma de Bacheo B/P " dataDxfId="2"/>
    <tableColumn id="4" xr3:uid="{00000000-0010-0000-0000-000004000000}" name="Suma de Continua" dataDxfId="1"/>
    <tableColumn id="5" xr3:uid="{00000000-0010-0000-0000-000005000000}" name="PQB Antiguo Producto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5" dT="2024-03-12T19:08:42.94" personId="{435462F4-4589-441E-A299-6CB1A09DA7CD}" id="{8AB5D43B-01E2-4E56-AC60-275DD63AE0BE}">
    <text>11 personas Champion + 3 de Baker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61" dT="2024-03-12T13:48:03.00" personId="{435462F4-4589-441E-A299-6CB1A09DA7CD}" id="{6D80A471-93E1-4537-8331-667389F2479A}">
    <text>O Bactron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D080-0F0F-46D6-B0F7-D7CFE2FBE4E7}">
  <dimension ref="A2:L34"/>
  <sheetViews>
    <sheetView showGridLines="0" workbookViewId="0">
      <pane ySplit="2" topLeftCell="A21" activePane="bottomLeft" state="frozen"/>
      <selection pane="bottomLeft" activeCell="A2" sqref="A2:XFD2"/>
    </sheetView>
  </sheetViews>
  <sheetFormatPr baseColWidth="10" defaultColWidth="11.42578125" defaultRowHeight="14.1" customHeight="1"/>
  <cols>
    <col min="1" max="1" width="21.85546875" style="82" bestFit="1" customWidth="1"/>
    <col min="2" max="2" width="33.5703125" style="82" bestFit="1" customWidth="1"/>
    <col min="3" max="3" width="9.85546875" style="82" bestFit="1" customWidth="1"/>
    <col min="4" max="4" width="11.28515625" style="82" bestFit="1" customWidth="1"/>
    <col min="5" max="6" width="13.7109375" style="82" customWidth="1"/>
    <col min="7" max="7" width="10.42578125" style="82" bestFit="1" customWidth="1"/>
    <col min="8" max="8" width="10.42578125" style="82" customWidth="1"/>
    <col min="9" max="9" width="82" style="83" bestFit="1" customWidth="1"/>
    <col min="10" max="10" width="11.42578125" style="82"/>
    <col min="11" max="11" width="3.5703125" style="82" bestFit="1" customWidth="1"/>
    <col min="12" max="16384" width="11.42578125" style="82"/>
  </cols>
  <sheetData>
    <row r="2" spans="1:12" s="78" customFormat="1" ht="45" customHeight="1">
      <c r="A2" s="76" t="s">
        <v>0</v>
      </c>
      <c r="B2" s="76" t="s">
        <v>1</v>
      </c>
      <c r="C2" s="76" t="s">
        <v>2</v>
      </c>
      <c r="D2" s="76" t="s">
        <v>3</v>
      </c>
      <c r="E2" s="76" t="s">
        <v>4</v>
      </c>
      <c r="F2" s="76" t="s">
        <v>5</v>
      </c>
      <c r="G2" s="76" t="s">
        <v>6</v>
      </c>
      <c r="H2" s="76" t="s">
        <v>7</v>
      </c>
      <c r="I2" s="77" t="s">
        <v>8</v>
      </c>
      <c r="J2" s="76" t="s">
        <v>9</v>
      </c>
    </row>
    <row r="3" spans="1:12" ht="14.1" customHeight="1">
      <c r="A3" s="73" t="s">
        <v>10</v>
      </c>
      <c r="B3" s="73" t="str">
        <f>VLOOKUP(A3,[70]Tratamientos!$H:$J,3,0)</f>
        <v>INHIBIDOR DE INCRUSTACIÓN/CORROSIÓN</v>
      </c>
      <c r="C3" s="79">
        <f>0.5*6.94+0.5*10.58</f>
        <v>8.76</v>
      </c>
      <c r="D3" s="79">
        <v>2018</v>
      </c>
      <c r="E3" s="79" t="e">
        <f>COUNTIF([70]Tratamientos!$H$3:$H$259,LP!A3)</f>
        <v>#VALUE!</v>
      </c>
      <c r="F3" s="79" t="s">
        <v>11</v>
      </c>
      <c r="G3" s="80" t="e">
        <f t="shared" ref="G3:G33" si="0">E3/$K$34</f>
        <v>#VALUE!</v>
      </c>
      <c r="H3" s="80" t="e">
        <f>G3</f>
        <v>#VALUE!</v>
      </c>
      <c r="I3" s="81" t="s">
        <v>12</v>
      </c>
      <c r="J3" s="79" t="str">
        <f>VLOOKUP(B3,[70]BCConc!$B:$E,4,0)</f>
        <v>IC/CY</v>
      </c>
    </row>
    <row r="4" spans="1:12" ht="14.1" customHeight="1">
      <c r="A4" s="73" t="s">
        <v>13</v>
      </c>
      <c r="B4" s="73" t="str">
        <f>VLOOKUP(A4,[70]Tratamientos!$H:$J,3,0)</f>
        <v>DISOLVENTE DE PARAFINAS Y ASFALTENOS</v>
      </c>
      <c r="C4" s="79">
        <v>4.38</v>
      </c>
      <c r="D4" s="79">
        <v>2019</v>
      </c>
      <c r="E4" s="79" t="e">
        <f>COUNTIF([70]Tratamientos!$H$3:$H$259,LP!A4)</f>
        <v>#VALUE!</v>
      </c>
      <c r="F4" s="79" t="s">
        <v>14</v>
      </c>
      <c r="G4" s="80" t="e">
        <f t="shared" si="0"/>
        <v>#VALUE!</v>
      </c>
      <c r="H4" s="80" t="e">
        <f t="shared" ref="H4:H34" si="1">G4+H3</f>
        <v>#VALUE!</v>
      </c>
      <c r="I4" s="83" t="s">
        <v>15</v>
      </c>
      <c r="J4" s="79" t="str">
        <f>VLOOKUP(B4,[70]BCConc!$B:$E,4,0)</f>
        <v>DP</v>
      </c>
    </row>
    <row r="5" spans="1:12" ht="14.1" customHeight="1">
      <c r="A5" s="73" t="s">
        <v>16</v>
      </c>
      <c r="B5" s="73" t="str">
        <f>VLOOKUP(A5,[70]Tratamientos!$H:$J,3,0)</f>
        <v>REDUCTOR DE FRICCIÓN</v>
      </c>
      <c r="C5" s="79">
        <v>4.25</v>
      </c>
      <c r="D5" s="79">
        <v>2019</v>
      </c>
      <c r="E5" s="79" t="e">
        <f>COUNTIF([70]Tratamientos!$H$3:$H$259,LP!A5)</f>
        <v>#VALUE!</v>
      </c>
      <c r="F5" s="79" t="s">
        <v>17</v>
      </c>
      <c r="G5" s="80" t="e">
        <f t="shared" si="0"/>
        <v>#VALUE!</v>
      </c>
      <c r="H5" s="80" t="e">
        <f t="shared" si="1"/>
        <v>#VALUE!</v>
      </c>
      <c r="I5" s="81" t="s">
        <v>18</v>
      </c>
      <c r="J5" s="79" t="str">
        <f>VLOOKUP(B5,[70]BCConc!$B:$E,4,0)</f>
        <v>RF</v>
      </c>
    </row>
    <row r="6" spans="1:12" ht="14.1" customHeight="1">
      <c r="A6" s="73" t="s">
        <v>19</v>
      </c>
      <c r="B6" s="73" t="str">
        <f>VLOOKUP(A6,[70]Tratamientos!$H:$J,3,0)</f>
        <v>INHIBIDOR DE INCRUSTACIONES</v>
      </c>
      <c r="C6" s="79">
        <v>4.8099999999999996</v>
      </c>
      <c r="D6" s="79">
        <v>2019</v>
      </c>
      <c r="E6" s="79" t="e">
        <f>COUNTIF([70]Tratamientos!$H$3:$H$259,LP!A6)</f>
        <v>#VALUE!</v>
      </c>
      <c r="F6" s="79" t="s">
        <v>14</v>
      </c>
      <c r="G6" s="80" t="e">
        <f t="shared" si="0"/>
        <v>#VALUE!</v>
      </c>
      <c r="H6" s="80" t="e">
        <f t="shared" si="1"/>
        <v>#VALUE!</v>
      </c>
      <c r="I6" s="83" t="s">
        <v>15</v>
      </c>
      <c r="J6" s="79" t="str">
        <f>VLOOKUP(B6,[70]BCConc!$B:$E,4,0)</f>
        <v>IC</v>
      </c>
      <c r="K6" s="84"/>
      <c r="L6" s="84"/>
    </row>
    <row r="7" spans="1:12" ht="14.1" customHeight="1">
      <c r="A7" s="73" t="s">
        <v>20</v>
      </c>
      <c r="B7" s="73" t="str">
        <f>VLOOKUP(A7,[70]Tratamientos!$H:$J,3,0)</f>
        <v>INHIBIDOR DE INCRUSTACIONES</v>
      </c>
      <c r="C7" s="79">
        <v>2.19</v>
      </c>
      <c r="D7" s="79">
        <v>2017</v>
      </c>
      <c r="E7" s="79" t="e">
        <f>COUNTIF([70]Tratamientos!$H$3:$H$259,LP!A7)</f>
        <v>#VALUE!</v>
      </c>
      <c r="F7" s="79" t="s">
        <v>21</v>
      </c>
      <c r="G7" s="80" t="e">
        <f t="shared" si="0"/>
        <v>#VALUE!</v>
      </c>
      <c r="H7" s="80" t="e">
        <f t="shared" si="1"/>
        <v>#VALUE!</v>
      </c>
      <c r="I7" s="81" t="s">
        <v>22</v>
      </c>
      <c r="J7" s="79" t="str">
        <f>VLOOKUP(B7,[70]BCConc!$B:$E,4,0)</f>
        <v>IC</v>
      </c>
    </row>
    <row r="8" spans="1:12" ht="14.1" customHeight="1">
      <c r="A8" s="73" t="s">
        <v>23</v>
      </c>
      <c r="B8" s="73" t="str">
        <f>VLOOKUP(A8,[70]Tratamientos!$H:$J,3,0)</f>
        <v>ANTIESPUMANTE</v>
      </c>
      <c r="C8" s="79">
        <v>2.5</v>
      </c>
      <c r="D8" s="79"/>
      <c r="E8" s="79" t="e">
        <f>COUNTIF([70]Tratamientos!$H$3:$H$259,LP!A8)</f>
        <v>#VALUE!</v>
      </c>
      <c r="F8" s="79"/>
      <c r="G8" s="80" t="e">
        <f t="shared" si="0"/>
        <v>#VALUE!</v>
      </c>
      <c r="H8" s="80" t="e">
        <f t="shared" si="1"/>
        <v>#VALUE!</v>
      </c>
      <c r="I8" s="81" t="s">
        <v>24</v>
      </c>
      <c r="J8" s="79" t="str">
        <f>VLOOKUP(B8,[70]BCConc!$B:$E,4,0)</f>
        <v>AB</v>
      </c>
    </row>
    <row r="9" spans="1:12" ht="14.1" customHeight="1">
      <c r="A9" s="73" t="s">
        <v>25</v>
      </c>
      <c r="B9" s="73" t="str">
        <f>VLOOKUP(A9,[70]Tratamientos!$H:$J,3,0)</f>
        <v>DESEMULSIONANTE</v>
      </c>
      <c r="C9" s="79">
        <v>3.16</v>
      </c>
      <c r="D9" s="79"/>
      <c r="E9" s="79" t="e">
        <f>COUNTIF([70]Tratamientos!$H$3:$H$259,LP!A9)</f>
        <v>#VALUE!</v>
      </c>
      <c r="F9" s="79" t="s">
        <v>14</v>
      </c>
      <c r="G9" s="80" t="e">
        <f t="shared" si="0"/>
        <v>#VALUE!</v>
      </c>
      <c r="H9" s="80" t="e">
        <f t="shared" si="1"/>
        <v>#VALUE!</v>
      </c>
      <c r="I9" s="81" t="s">
        <v>15</v>
      </c>
      <c r="J9" s="79" t="str">
        <f>VLOOKUP(B9,[70]BCConc!$B:$E,4,0)</f>
        <v>DB</v>
      </c>
    </row>
    <row r="10" spans="1:12" ht="14.1" customHeight="1">
      <c r="A10" s="73" t="s">
        <v>26</v>
      </c>
      <c r="B10" s="73" t="str">
        <f>VLOOKUP(A10,[70]Tratamientos!$H:$J,3,0)</f>
        <v>DESEMULSIONANTE</v>
      </c>
      <c r="C10" s="79">
        <v>4</v>
      </c>
      <c r="D10" s="79"/>
      <c r="E10" s="79" t="e">
        <f>COUNTIF([70]Tratamientos!$H$3:$H$259,LP!A10)</f>
        <v>#VALUE!</v>
      </c>
      <c r="F10" s="79"/>
      <c r="G10" s="80" t="e">
        <f t="shared" si="0"/>
        <v>#VALUE!</v>
      </c>
      <c r="H10" s="80" t="e">
        <f t="shared" si="1"/>
        <v>#VALUE!</v>
      </c>
      <c r="I10" s="81" t="s">
        <v>24</v>
      </c>
      <c r="J10" s="79" t="str">
        <f>VLOOKUP(B10,[70]BCConc!$B:$E,4,0)</f>
        <v>DB</v>
      </c>
    </row>
    <row r="11" spans="1:12" ht="14.1" customHeight="1">
      <c r="A11" s="73" t="s">
        <v>27</v>
      </c>
      <c r="B11" s="73" t="str">
        <f>VLOOKUP(A11,[70]Tratamientos!$H:$J,3,0)</f>
        <v>INHIBIDOR DE INCRUSTACIONES</v>
      </c>
      <c r="C11" s="79">
        <v>10.58</v>
      </c>
      <c r="D11" s="79">
        <v>2018</v>
      </c>
      <c r="E11" s="79" t="e">
        <f>COUNTIF([70]Tratamientos!$H$3:$H$259,LP!A11)</f>
        <v>#VALUE!</v>
      </c>
      <c r="F11" s="79" t="s">
        <v>11</v>
      </c>
      <c r="G11" s="80" t="e">
        <f t="shared" si="0"/>
        <v>#VALUE!</v>
      </c>
      <c r="H11" s="80" t="e">
        <f t="shared" si="1"/>
        <v>#VALUE!</v>
      </c>
      <c r="I11" s="81"/>
      <c r="J11" s="79" t="str">
        <f>VLOOKUP(B11,[70]BCConc!$B:$E,4,0)</f>
        <v>IC</v>
      </c>
    </row>
    <row r="12" spans="1:12" ht="14.1" customHeight="1">
      <c r="A12" s="73" t="s">
        <v>28</v>
      </c>
      <c r="B12" s="73" t="str">
        <f>VLOOKUP(A12,[70]Tratamientos!$H:$J,3,0)</f>
        <v>INHIBIDOR DE CORROSIÓN</v>
      </c>
      <c r="C12" s="79">
        <v>2.65</v>
      </c>
      <c r="D12" s="79">
        <v>2017</v>
      </c>
      <c r="E12" s="79" t="e">
        <f>COUNTIF([70]Tratamientos!$H$3:$H$259,LP!A12)</f>
        <v>#VALUE!</v>
      </c>
      <c r="F12" s="79" t="s">
        <v>29</v>
      </c>
      <c r="G12" s="80" t="e">
        <f t="shared" si="0"/>
        <v>#VALUE!</v>
      </c>
      <c r="H12" s="80" t="e">
        <f t="shared" si="1"/>
        <v>#VALUE!</v>
      </c>
      <c r="I12" s="81"/>
      <c r="J12" s="79" t="str">
        <f>VLOOKUP(B12,[70]BCConc!$B:$E,4,0)</f>
        <v>CY</v>
      </c>
    </row>
    <row r="13" spans="1:12" ht="14.1" customHeight="1">
      <c r="A13" s="73" t="s">
        <v>30</v>
      </c>
      <c r="B13" s="73" t="str">
        <f>VLOOKUP(A13,[70]Tratamientos!$H:$J,3,0)</f>
        <v>DESEMULSIONANTE</v>
      </c>
      <c r="C13" s="79">
        <v>4</v>
      </c>
      <c r="D13" s="79"/>
      <c r="E13" s="79" t="e">
        <f>COUNTIF([70]Tratamientos!$H$3:$H$259,LP!A13)</f>
        <v>#VALUE!</v>
      </c>
      <c r="F13" s="79"/>
      <c r="G13" s="80" t="e">
        <f t="shared" si="0"/>
        <v>#VALUE!</v>
      </c>
      <c r="H13" s="80" t="e">
        <f t="shared" si="1"/>
        <v>#VALUE!</v>
      </c>
      <c r="I13" s="81" t="s">
        <v>24</v>
      </c>
      <c r="J13" s="79" t="str">
        <f>VLOOKUP(B13,[70]BCConc!$B:$E,4,0)</f>
        <v>DB</v>
      </c>
    </row>
    <row r="14" spans="1:12" ht="14.1" customHeight="1">
      <c r="A14" s="73" t="s">
        <v>31</v>
      </c>
      <c r="B14" s="73" t="str">
        <f>VLOOKUP(A14,[70]Tratamientos!$H:$J,3,0)</f>
        <v>INHIBIDOR DE CORROSIÓN</v>
      </c>
      <c r="C14" s="79">
        <v>6.94</v>
      </c>
      <c r="D14" s="79">
        <v>2019</v>
      </c>
      <c r="E14" s="79" t="e">
        <f>COUNTIF([70]Tratamientos!$H$3:$H$259,LP!A14)</f>
        <v>#VALUE!</v>
      </c>
      <c r="F14" s="79" t="s">
        <v>14</v>
      </c>
      <c r="G14" s="80" t="e">
        <f t="shared" si="0"/>
        <v>#VALUE!</v>
      </c>
      <c r="H14" s="80" t="e">
        <f t="shared" si="1"/>
        <v>#VALUE!</v>
      </c>
      <c r="I14" s="81" t="s">
        <v>15</v>
      </c>
      <c r="J14" s="79" t="str">
        <f>VLOOKUP(B14,[70]BCConc!$B:$E,4,0)</f>
        <v>CY</v>
      </c>
    </row>
    <row r="15" spans="1:12" ht="14.1" customHeight="1">
      <c r="A15" s="73" t="s">
        <v>32</v>
      </c>
      <c r="B15" s="73" t="str">
        <f>VLOOKUP(A15,[70]Tratamientos!$H:$J,3,0)</f>
        <v>INHIBIDOR DE PARAFINAS Y ASFALTENOS</v>
      </c>
      <c r="C15" s="79">
        <v>5.47</v>
      </c>
      <c r="D15" s="79">
        <v>2019</v>
      </c>
      <c r="E15" s="79" t="e">
        <f>COUNTIF([70]Tratamientos!$H$3:$H$259,LP!A15)</f>
        <v>#VALUE!</v>
      </c>
      <c r="F15" s="79" t="s">
        <v>33</v>
      </c>
      <c r="G15" s="80" t="e">
        <f t="shared" si="0"/>
        <v>#VALUE!</v>
      </c>
      <c r="H15" s="80" t="e">
        <f t="shared" si="1"/>
        <v>#VALUE!</v>
      </c>
      <c r="I15" s="81" t="s">
        <v>34</v>
      </c>
      <c r="J15" s="79" t="str">
        <f>VLOOKUP(B15,[70]BCConc!$B:$E,4,0)</f>
        <v>IP</v>
      </c>
    </row>
    <row r="16" spans="1:12" ht="14.1" customHeight="1">
      <c r="A16" s="74" t="s">
        <v>35</v>
      </c>
      <c r="B16" s="73" t="str">
        <f>VLOOKUP(A16,[70]Tratamientos!$H:$J,3,0)</f>
        <v>BACTERICIDA</v>
      </c>
      <c r="C16" s="79">
        <v>6.94</v>
      </c>
      <c r="D16" s="85">
        <v>43525</v>
      </c>
      <c r="E16" s="79" t="e">
        <f>COUNTIF([70]Tratamientos!$H$3:$H$259,LP!A16)</f>
        <v>#VALUE!</v>
      </c>
      <c r="F16" s="79" t="s">
        <v>36</v>
      </c>
      <c r="G16" s="80" t="e">
        <f t="shared" si="0"/>
        <v>#VALUE!</v>
      </c>
      <c r="H16" s="80" t="e">
        <f t="shared" si="1"/>
        <v>#VALUE!</v>
      </c>
      <c r="I16" s="81" t="s">
        <v>37</v>
      </c>
      <c r="J16" s="79" t="str">
        <f>VLOOKUP(B16,[70]BCConc!$B:$E,4,0)</f>
        <v>BX</v>
      </c>
    </row>
    <row r="17" spans="1:10" ht="14.1" customHeight="1">
      <c r="A17" s="74" t="s">
        <v>38</v>
      </c>
      <c r="B17" s="73" t="str">
        <f>VLOOKUP(A17,[70]Tratamientos!$H:$J,3,0)</f>
        <v>INHIBIDOR DE CORROSIÓN</v>
      </c>
      <c r="C17" s="79">
        <v>2.66</v>
      </c>
      <c r="D17" s="79">
        <v>2017</v>
      </c>
      <c r="E17" s="79" t="e">
        <f>COUNTIF([70]Tratamientos!$H$3:$H$259,LP!A17)</f>
        <v>#VALUE!</v>
      </c>
      <c r="F17" s="79" t="s">
        <v>29</v>
      </c>
      <c r="G17" s="80" t="e">
        <f t="shared" si="0"/>
        <v>#VALUE!</v>
      </c>
      <c r="H17" s="80" t="e">
        <f t="shared" si="1"/>
        <v>#VALUE!</v>
      </c>
      <c r="I17" s="81"/>
      <c r="J17" s="79" t="str">
        <f>VLOOKUP(B17,[70]BCConc!$B:$E,4,0)</f>
        <v>CY</v>
      </c>
    </row>
    <row r="18" spans="1:10" ht="14.1" customHeight="1">
      <c r="A18" s="74" t="s">
        <v>39</v>
      </c>
      <c r="B18" s="73" t="str">
        <f>VLOOKUP(A18,[70]Tratamientos!$H:$J,3,0)</f>
        <v>SECUESTRANTE DE SULFHÍDRICO</v>
      </c>
      <c r="C18" s="79">
        <v>1.88</v>
      </c>
      <c r="D18" s="79">
        <v>2017</v>
      </c>
      <c r="E18" s="79" t="e">
        <f>COUNTIF([70]Tratamientos!$H$3:$H$259,LP!A18)</f>
        <v>#VALUE!</v>
      </c>
      <c r="F18" s="79" t="s">
        <v>29</v>
      </c>
      <c r="G18" s="80" t="e">
        <f t="shared" si="0"/>
        <v>#VALUE!</v>
      </c>
      <c r="H18" s="80" t="e">
        <f t="shared" si="1"/>
        <v>#VALUE!</v>
      </c>
      <c r="I18" s="81"/>
      <c r="J18" s="79" t="str">
        <f>VLOOKUP(B18,[70]BCConc!$B:$E,4,0)</f>
        <v>BS</v>
      </c>
    </row>
    <row r="19" spans="1:10" ht="14.1" customHeight="1">
      <c r="A19" s="74" t="s">
        <v>40</v>
      </c>
      <c r="B19" s="73" t="str">
        <f>VLOOKUP(A19,[70]Tratamientos!$H:$J,3,0)</f>
        <v>BACTERICIDA</v>
      </c>
      <c r="C19" s="79">
        <v>5.7</v>
      </c>
      <c r="D19" s="79">
        <v>2017</v>
      </c>
      <c r="E19" s="79" t="e">
        <f>COUNTIF([70]Tratamientos!$H$3:$H$259,LP!A19)</f>
        <v>#VALUE!</v>
      </c>
      <c r="F19" s="79" t="s">
        <v>21</v>
      </c>
      <c r="G19" s="80" t="e">
        <f t="shared" si="0"/>
        <v>#VALUE!</v>
      </c>
      <c r="H19" s="80" t="e">
        <f t="shared" si="1"/>
        <v>#VALUE!</v>
      </c>
      <c r="I19" s="81"/>
      <c r="J19" s="79" t="str">
        <f>VLOOKUP(B19,[70]BCConc!$B:$E,4,0)</f>
        <v>BX</v>
      </c>
    </row>
    <row r="20" spans="1:10" ht="14.1" customHeight="1">
      <c r="A20" s="75" t="s">
        <v>41</v>
      </c>
      <c r="B20" s="73" t="str">
        <f>VLOOKUP(A20,[70]Tratamientos!$H:$J,3,0)</f>
        <v>HUMECTANTE DE SOLIDOS</v>
      </c>
      <c r="C20" s="79">
        <v>4.41</v>
      </c>
      <c r="D20" s="79">
        <v>2019</v>
      </c>
      <c r="E20" s="79" t="e">
        <f>COUNTIF([70]Tratamientos!$H$3:$H$259,LP!A20)</f>
        <v>#VALUE!</v>
      </c>
      <c r="F20" s="79" t="s">
        <v>17</v>
      </c>
      <c r="G20" s="80" t="e">
        <f t="shared" si="0"/>
        <v>#VALUE!</v>
      </c>
      <c r="H20" s="80" t="e">
        <f t="shared" si="1"/>
        <v>#VALUE!</v>
      </c>
      <c r="I20" s="81" t="s">
        <v>42</v>
      </c>
      <c r="J20" s="79" t="str">
        <f>VLOOKUP(B20,[70]BCConc!$B:$E,4,0)</f>
        <v>HS</v>
      </c>
    </row>
    <row r="21" spans="1:10" ht="14.1" customHeight="1">
      <c r="A21" s="74" t="s">
        <v>43</v>
      </c>
      <c r="B21" s="73" t="str">
        <f>VLOOKUP(A21,[70]Tratamientos!$H:$J,3,0)</f>
        <v>RUPTOR</v>
      </c>
      <c r="C21" s="79">
        <v>5.44</v>
      </c>
      <c r="D21" s="79">
        <v>2017</v>
      </c>
      <c r="E21" s="79" t="e">
        <f>COUNTIF([70]Tratamientos!$H$3:$H$259,LP!A21)</f>
        <v>#VALUE!</v>
      </c>
      <c r="F21" s="79" t="s">
        <v>21</v>
      </c>
      <c r="G21" s="80" t="e">
        <f t="shared" si="0"/>
        <v>#VALUE!</v>
      </c>
      <c r="H21" s="80" t="e">
        <f t="shared" si="1"/>
        <v>#VALUE!</v>
      </c>
      <c r="I21" s="81"/>
      <c r="J21" s="79" t="str">
        <f>VLOOKUP(B21,[70]BCConc!$B:$E,4,0)</f>
        <v>RT</v>
      </c>
    </row>
    <row r="22" spans="1:10" ht="14.1" customHeight="1">
      <c r="A22" s="75" t="s">
        <v>44</v>
      </c>
      <c r="B22" s="73" t="str">
        <f>VLOOKUP(A22,[70]Tratamientos!$H:$J,3,0)</f>
        <v>FLOCULANTE</v>
      </c>
      <c r="C22" s="79">
        <v>6.04</v>
      </c>
      <c r="D22" s="79">
        <v>2017</v>
      </c>
      <c r="E22" s="79" t="e">
        <f>COUNTIF([70]Tratamientos!$H$3:$H$259,LP!A22)</f>
        <v>#VALUE!</v>
      </c>
      <c r="F22" s="79" t="s">
        <v>21</v>
      </c>
      <c r="G22" s="80" t="e">
        <f t="shared" si="0"/>
        <v>#VALUE!</v>
      </c>
      <c r="H22" s="80" t="e">
        <f t="shared" si="1"/>
        <v>#VALUE!</v>
      </c>
      <c r="I22" s="81" t="s">
        <v>45</v>
      </c>
      <c r="J22" s="79" t="str">
        <f>VLOOKUP(B22,[70]BCConc!$B:$E,4,0)</f>
        <v>FB</v>
      </c>
    </row>
    <row r="23" spans="1:10" ht="14.1" customHeight="1">
      <c r="A23" s="75" t="s">
        <v>46</v>
      </c>
      <c r="B23" s="73" t="str">
        <f>VLOOKUP(A23,[70]Tratamientos!$H:$J,3,0)</f>
        <v>DESEMULSIONANTE</v>
      </c>
      <c r="C23" s="79">
        <v>2.79</v>
      </c>
      <c r="D23" s="79">
        <v>2016</v>
      </c>
      <c r="E23" s="79" t="e">
        <f>COUNTIF([70]Tratamientos!$H$3:$H$259,LP!A23)</f>
        <v>#VALUE!</v>
      </c>
      <c r="F23" s="79" t="s">
        <v>47</v>
      </c>
      <c r="G23" s="80" t="e">
        <f t="shared" si="0"/>
        <v>#VALUE!</v>
      </c>
      <c r="H23" s="80" t="e">
        <f t="shared" si="1"/>
        <v>#VALUE!</v>
      </c>
      <c r="I23" s="81" t="s">
        <v>48</v>
      </c>
      <c r="J23" s="79" t="str">
        <f>VLOOKUP(B23,[70]BCConc!$B:$E,4,0)</f>
        <v>DB</v>
      </c>
    </row>
    <row r="24" spans="1:10" ht="14.1" customHeight="1">
      <c r="A24" s="75" t="s">
        <v>49</v>
      </c>
      <c r="B24" s="73" t="str">
        <f>VLOOKUP(A24,[70]Tratamientos!$H:$J,3,0)</f>
        <v>CLARIFICANTE</v>
      </c>
      <c r="C24" s="79">
        <v>8.3000000000000007</v>
      </c>
      <c r="D24" s="79">
        <v>2017</v>
      </c>
      <c r="E24" s="79" t="e">
        <f>COUNTIF([70]Tratamientos!$H$3:$H$259,LP!A24)</f>
        <v>#VALUE!</v>
      </c>
      <c r="F24" s="79" t="s">
        <v>21</v>
      </c>
      <c r="G24" s="80" t="e">
        <f t="shared" si="0"/>
        <v>#VALUE!</v>
      </c>
      <c r="H24" s="80" t="e">
        <f t="shared" si="1"/>
        <v>#VALUE!</v>
      </c>
      <c r="I24" s="81"/>
      <c r="J24" s="79" t="str">
        <f>VLOOKUP(B24,[70]BCConc!$B:$E,4,0)</f>
        <v>FB</v>
      </c>
    </row>
    <row r="25" spans="1:10" ht="14.1" customHeight="1">
      <c r="A25" s="74" t="s">
        <v>50</v>
      </c>
      <c r="B25" s="73" t="str">
        <f>VLOOKUP(A25,[70]Tratamientos!$H:$J,3,0)</f>
        <v>REDUCTOR DE FRICCIÓN</v>
      </c>
      <c r="C25" s="79">
        <v>2.79</v>
      </c>
      <c r="D25" s="79">
        <v>2017</v>
      </c>
      <c r="E25" s="79" t="e">
        <f>COUNTIF([70]Tratamientos!$H$3:$H$259,LP!A25)</f>
        <v>#VALUE!</v>
      </c>
      <c r="F25" s="79" t="s">
        <v>21</v>
      </c>
      <c r="G25" s="80" t="e">
        <f t="shared" si="0"/>
        <v>#VALUE!</v>
      </c>
      <c r="H25" s="80" t="e">
        <f t="shared" si="1"/>
        <v>#VALUE!</v>
      </c>
      <c r="I25" s="81"/>
      <c r="J25" s="79" t="str">
        <f>VLOOKUP(B25,[70]BCConc!$B:$E,4,0)</f>
        <v>RF</v>
      </c>
    </row>
    <row r="26" spans="1:10" ht="14.1" customHeight="1">
      <c r="A26" s="74" t="s">
        <v>51</v>
      </c>
      <c r="B26" s="74" t="str">
        <f>VLOOKUP(A26,[70]Tratamientos!$H:$J,3,0)</f>
        <v>SECUESTRANTE DE OXIGENO</v>
      </c>
      <c r="C26" s="79">
        <v>1.27</v>
      </c>
      <c r="D26" s="79">
        <v>2017</v>
      </c>
      <c r="E26" s="79" t="e">
        <f>COUNTIF([70]Tratamientos!$H$3:$H$259,LP!A26)</f>
        <v>#VALUE!</v>
      </c>
      <c r="F26" s="79" t="s">
        <v>29</v>
      </c>
      <c r="G26" s="86" t="e">
        <f t="shared" si="0"/>
        <v>#VALUE!</v>
      </c>
      <c r="H26" s="86" t="e">
        <f t="shared" si="1"/>
        <v>#VALUE!</v>
      </c>
      <c r="I26" s="81"/>
      <c r="J26" s="79" t="str">
        <f>VLOOKUP(B26,[70]BCConc!$B:$E,4,0)</f>
        <v>SO</v>
      </c>
    </row>
    <row r="27" spans="1:10" ht="14.1" customHeight="1">
      <c r="A27" s="74" t="s">
        <v>52</v>
      </c>
      <c r="B27" s="74" t="str">
        <f>VLOOKUP(A27,[70]Tratamientos!$H:$J,3,0)</f>
        <v>CLARIFICANTE</v>
      </c>
      <c r="C27" s="79">
        <v>3.9</v>
      </c>
      <c r="D27" s="79">
        <v>2017</v>
      </c>
      <c r="E27" s="79" t="e">
        <f>COUNTIF([70]Tratamientos!$H$3:$H$259,LP!A27)</f>
        <v>#VALUE!</v>
      </c>
      <c r="F27" s="79" t="s">
        <v>21</v>
      </c>
      <c r="G27" s="86" t="e">
        <f t="shared" si="0"/>
        <v>#VALUE!</v>
      </c>
      <c r="H27" s="86" t="e">
        <f t="shared" si="1"/>
        <v>#VALUE!</v>
      </c>
      <c r="I27" s="81"/>
      <c r="J27" s="79" t="str">
        <f>VLOOKUP(B27,[70]BCConc!$B:$E,4,0)</f>
        <v>FB</v>
      </c>
    </row>
    <row r="28" spans="1:10" ht="14.1" customHeight="1">
      <c r="A28" s="74" t="s">
        <v>53</v>
      </c>
      <c r="B28" s="74" t="str">
        <f>VLOOKUP(A28,[70]Tratamientos!$H:$J,3,0)</f>
        <v>DESEMULSIONANTE</v>
      </c>
      <c r="C28" s="79">
        <v>5.07</v>
      </c>
      <c r="D28" s="79">
        <v>2019</v>
      </c>
      <c r="E28" s="79" t="e">
        <f>COUNTIF([70]Tratamientos!$H$3:$H$259,LP!A28)</f>
        <v>#VALUE!</v>
      </c>
      <c r="F28" s="79" t="s">
        <v>33</v>
      </c>
      <c r="G28" s="86" t="e">
        <f t="shared" si="0"/>
        <v>#VALUE!</v>
      </c>
      <c r="H28" s="86" t="e">
        <f t="shared" si="1"/>
        <v>#VALUE!</v>
      </c>
      <c r="I28" s="81" t="s">
        <v>54</v>
      </c>
      <c r="J28" s="79" t="str">
        <f>VLOOKUP(B28,[70]BCConc!$B:$E,4,0)</f>
        <v>DB</v>
      </c>
    </row>
    <row r="29" spans="1:10" ht="14.1" customHeight="1">
      <c r="A29" s="74" t="s">
        <v>55</v>
      </c>
      <c r="B29" s="74" t="str">
        <f>VLOOKUP(A29,[70]Tratamientos!$H:$J,3,0)</f>
        <v>FLOCULANTE</v>
      </c>
      <c r="C29" s="79">
        <v>6</v>
      </c>
      <c r="D29" s="79"/>
      <c r="E29" s="79" t="e">
        <f>COUNTIF([70]Tratamientos!$H$3:$H$259,LP!A29)</f>
        <v>#VALUE!</v>
      </c>
      <c r="F29" s="79"/>
      <c r="G29" s="86" t="e">
        <f t="shared" si="0"/>
        <v>#VALUE!</v>
      </c>
      <c r="H29" s="86" t="e">
        <f t="shared" si="1"/>
        <v>#VALUE!</v>
      </c>
      <c r="I29" s="81" t="s">
        <v>24</v>
      </c>
      <c r="J29" s="79" t="str">
        <f>VLOOKUP(B29,[70]BCConc!$B:$E,4,0)</f>
        <v>FB</v>
      </c>
    </row>
    <row r="30" spans="1:10" ht="14.1" customHeight="1">
      <c r="A30" s="74" t="s">
        <v>56</v>
      </c>
      <c r="B30" s="74" t="str">
        <f>VLOOKUP(A30,[70]Tratamientos!$H:$J,3,0)</f>
        <v>REDUCTOR DE FRICCIÓN</v>
      </c>
      <c r="C30" s="79">
        <v>4</v>
      </c>
      <c r="D30" s="79"/>
      <c r="E30" s="79" t="e">
        <f>COUNTIF([70]Tratamientos!$H$3:$H$259,LP!A30)</f>
        <v>#VALUE!</v>
      </c>
      <c r="F30" s="79"/>
      <c r="G30" s="86" t="e">
        <f t="shared" si="0"/>
        <v>#VALUE!</v>
      </c>
      <c r="H30" s="86" t="e">
        <f t="shared" si="1"/>
        <v>#VALUE!</v>
      </c>
      <c r="I30" s="81" t="s">
        <v>24</v>
      </c>
      <c r="J30" s="79" t="str">
        <f>VLOOKUP(B30,[70]BCConc!$B:$E,4,0)</f>
        <v>RF</v>
      </c>
    </row>
    <row r="31" spans="1:10" ht="14.1" customHeight="1">
      <c r="A31" s="74" t="s">
        <v>57</v>
      </c>
      <c r="B31" s="74" t="str">
        <f>VLOOKUP(A31,[70]Tratamientos!$H:$J,3,0)</f>
        <v>REDUCTOR DE VISCOSIDAD</v>
      </c>
      <c r="C31" s="79">
        <v>10.02</v>
      </c>
      <c r="D31" s="79">
        <v>2019</v>
      </c>
      <c r="E31" s="79" t="e">
        <f>COUNTIF([70]Tratamientos!$H$3:$H$259,LP!A31)</f>
        <v>#VALUE!</v>
      </c>
      <c r="F31" s="79" t="s">
        <v>17</v>
      </c>
      <c r="G31" s="86" t="e">
        <f t="shared" si="0"/>
        <v>#VALUE!</v>
      </c>
      <c r="H31" s="86" t="e">
        <f t="shared" si="1"/>
        <v>#VALUE!</v>
      </c>
      <c r="I31" s="81"/>
      <c r="J31" s="79" t="str">
        <f>VLOOKUP(B31,[70]BCConc!$B:$E,4,0)</f>
        <v>RV</v>
      </c>
    </row>
    <row r="32" spans="1:10" ht="14.1" customHeight="1">
      <c r="A32" s="74" t="s">
        <v>58</v>
      </c>
      <c r="B32" s="74" t="str">
        <f>VLOOKUP(A32,[70]Tratamientos!$H:$J,3,0)</f>
        <v>DISOLVENTE DE PARAFINAS Y ASFALTENOS</v>
      </c>
      <c r="C32" s="79">
        <v>3.74</v>
      </c>
      <c r="D32" s="79">
        <v>2019</v>
      </c>
      <c r="E32" s="79" t="e">
        <f>COUNTIF([70]Tratamientos!$H$3:$H$259,LP!A32)</f>
        <v>#VALUE!</v>
      </c>
      <c r="F32" s="79" t="s">
        <v>33</v>
      </c>
      <c r="G32" s="86" t="e">
        <f t="shared" si="0"/>
        <v>#VALUE!</v>
      </c>
      <c r="H32" s="86" t="e">
        <f t="shared" si="1"/>
        <v>#VALUE!</v>
      </c>
      <c r="I32" s="81" t="s">
        <v>59</v>
      </c>
      <c r="J32" s="79" t="str">
        <f>VLOOKUP(B32,[70]BCConc!$B:$E,4,0)</f>
        <v>DP</v>
      </c>
    </row>
    <row r="33" spans="1:11" ht="14.1" customHeight="1">
      <c r="A33" s="74" t="s">
        <v>60</v>
      </c>
      <c r="B33" s="74" t="str">
        <f>VLOOKUP(A33,[70]Tratamientos!$H:$J,3,0)</f>
        <v>INHIBIDOR DE INCRUSTACIÓN/CORROSIÓN</v>
      </c>
      <c r="C33" s="79">
        <v>10.975</v>
      </c>
      <c r="D33" s="79"/>
      <c r="E33" s="79" t="e">
        <f>COUNTIF([70]Tratamientos!$H$3:$H$259,LP!A33)</f>
        <v>#VALUE!</v>
      </c>
      <c r="F33" s="79"/>
      <c r="G33" s="86" t="e">
        <f t="shared" si="0"/>
        <v>#VALUE!</v>
      </c>
      <c r="H33" s="86" t="e">
        <f t="shared" si="1"/>
        <v>#VALUE!</v>
      </c>
      <c r="I33" s="81" t="s">
        <v>24</v>
      </c>
      <c r="J33" s="79" t="str">
        <f>VLOOKUP(B33,[70]BCConc!$B:$E,4,0)</f>
        <v>IC/CY</v>
      </c>
    </row>
    <row r="34" spans="1:11" ht="14.1" customHeight="1">
      <c r="B34" s="87"/>
      <c r="G34" s="88"/>
      <c r="H34" s="86" t="e">
        <f t="shared" si="1"/>
        <v>#VALUE!</v>
      </c>
      <c r="K34" s="82" t="e">
        <f>SUM(E3:E33)</f>
        <v>#VALUE!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F2E9-5032-4F8C-AE97-A33647AFD2AD}">
  <dimension ref="A3:B50"/>
  <sheetViews>
    <sheetView workbookViewId="0"/>
  </sheetViews>
  <sheetFormatPr baseColWidth="10" defaultColWidth="11.42578125" defaultRowHeight="15"/>
  <cols>
    <col min="1" max="1" width="36.28515625" bestFit="1" customWidth="1"/>
    <col min="2" max="2" width="13.7109375" bestFit="1" customWidth="1"/>
    <col min="3" max="3" width="12.7109375" bestFit="1" customWidth="1"/>
    <col min="4" max="4" width="10.85546875" bestFit="1" customWidth="1"/>
    <col min="5" max="5" width="13.7109375" bestFit="1" customWidth="1"/>
    <col min="6" max="6" width="15.7109375" bestFit="1" customWidth="1"/>
    <col min="7" max="7" width="16.42578125" bestFit="1" customWidth="1"/>
    <col min="8" max="8" width="9.7109375" bestFit="1" customWidth="1"/>
    <col min="9" max="10" width="7.140625" bestFit="1" customWidth="1"/>
    <col min="11" max="13" width="8.42578125" bestFit="1" customWidth="1"/>
    <col min="14" max="14" width="7.140625" bestFit="1" customWidth="1"/>
    <col min="15" max="16" width="8.42578125" bestFit="1" customWidth="1"/>
    <col min="17" max="18" width="7.140625" bestFit="1" customWidth="1"/>
    <col min="19" max="20" width="10" bestFit="1" customWidth="1"/>
    <col min="21" max="22" width="11.28515625" bestFit="1" customWidth="1"/>
    <col min="23" max="24" width="11.140625" bestFit="1" customWidth="1"/>
    <col min="25" max="25" width="12.140625" bestFit="1" customWidth="1"/>
    <col min="26" max="26" width="12.42578125" bestFit="1" customWidth="1"/>
    <col min="27" max="27" width="11.140625" bestFit="1" customWidth="1"/>
    <col min="28" max="28" width="12.140625" bestFit="1" customWidth="1"/>
    <col min="29" max="29" width="9" bestFit="1" customWidth="1"/>
    <col min="30" max="30" width="12.42578125" bestFit="1" customWidth="1"/>
    <col min="31" max="31" width="14.28515625" bestFit="1" customWidth="1"/>
    <col min="32" max="32" width="15" bestFit="1" customWidth="1"/>
    <col min="33" max="33" width="6.85546875" bestFit="1" customWidth="1"/>
    <col min="34" max="34" width="12.5703125" bestFit="1" customWidth="1"/>
  </cols>
  <sheetData>
    <row r="3" spans="1:2">
      <c r="A3" s="103" t="s">
        <v>150</v>
      </c>
      <c r="B3" t="s">
        <v>530</v>
      </c>
    </row>
    <row r="4" spans="1:2">
      <c r="A4" s="104" t="s">
        <v>510</v>
      </c>
      <c r="B4">
        <v>218</v>
      </c>
    </row>
    <row r="5" spans="1:2">
      <c r="A5" s="105" t="s">
        <v>255</v>
      </c>
      <c r="B5">
        <v>218</v>
      </c>
    </row>
    <row r="6" spans="1:2">
      <c r="A6" s="104" t="s">
        <v>508</v>
      </c>
      <c r="B6">
        <v>114.6</v>
      </c>
    </row>
    <row r="7" spans="1:2">
      <c r="A7" s="105" t="s">
        <v>167</v>
      </c>
      <c r="B7">
        <v>31.5</v>
      </c>
    </row>
    <row r="8" spans="1:2">
      <c r="A8" s="105" t="s">
        <v>40</v>
      </c>
      <c r="B8">
        <v>83.1</v>
      </c>
    </row>
    <row r="9" spans="1:2">
      <c r="A9" s="104" t="s">
        <v>489</v>
      </c>
      <c r="B9">
        <v>10</v>
      </c>
    </row>
    <row r="10" spans="1:2">
      <c r="A10" s="105" t="s">
        <v>49</v>
      </c>
      <c r="B10">
        <v>10</v>
      </c>
    </row>
    <row r="11" spans="1:2">
      <c r="A11" s="104" t="s">
        <v>518</v>
      </c>
      <c r="B11">
        <v>603</v>
      </c>
    </row>
    <row r="12" spans="1:2">
      <c r="A12" s="105" t="s">
        <v>517</v>
      </c>
      <c r="B12">
        <v>12</v>
      </c>
    </row>
    <row r="13" spans="1:2">
      <c r="A13" s="105" t="s">
        <v>519</v>
      </c>
      <c r="B13">
        <v>45</v>
      </c>
    </row>
    <row r="14" spans="1:2">
      <c r="A14" s="105" t="s">
        <v>186</v>
      </c>
      <c r="B14">
        <v>132</v>
      </c>
    </row>
    <row r="15" spans="1:2">
      <c r="A15" s="105" t="s">
        <v>520</v>
      </c>
      <c r="B15">
        <v>80</v>
      </c>
    </row>
    <row r="16" spans="1:2">
      <c r="A16" s="105" t="s">
        <v>521</v>
      </c>
      <c r="B16">
        <v>30</v>
      </c>
    </row>
    <row r="17" spans="1:2">
      <c r="A17" s="105" t="s">
        <v>522</v>
      </c>
      <c r="B17">
        <v>20</v>
      </c>
    </row>
    <row r="18" spans="1:2">
      <c r="A18" s="105" t="s">
        <v>523</v>
      </c>
      <c r="B18">
        <v>73</v>
      </c>
    </row>
    <row r="19" spans="1:2">
      <c r="A19" s="105" t="s">
        <v>25</v>
      </c>
      <c r="B19">
        <v>184</v>
      </c>
    </row>
    <row r="20" spans="1:2">
      <c r="A20" s="105" t="s">
        <v>524</v>
      </c>
      <c r="B20">
        <v>12</v>
      </c>
    </row>
    <row r="21" spans="1:2">
      <c r="A21" s="105" t="s">
        <v>525</v>
      </c>
      <c r="B21">
        <v>15</v>
      </c>
    </row>
    <row r="22" spans="1:2">
      <c r="A22" s="104" t="s">
        <v>509</v>
      </c>
      <c r="B22">
        <v>346</v>
      </c>
    </row>
    <row r="23" spans="1:2">
      <c r="A23" s="105" t="s">
        <v>13</v>
      </c>
      <c r="B23">
        <v>346</v>
      </c>
    </row>
    <row r="24" spans="1:2">
      <c r="A24" s="104" t="s">
        <v>513</v>
      </c>
      <c r="B24">
        <v>138</v>
      </c>
    </row>
    <row r="25" spans="1:2">
      <c r="A25" s="105" t="s">
        <v>44</v>
      </c>
      <c r="B25">
        <v>102</v>
      </c>
    </row>
    <row r="26" spans="1:2">
      <c r="A26" s="105" t="s">
        <v>52</v>
      </c>
      <c r="B26">
        <v>36</v>
      </c>
    </row>
    <row r="27" spans="1:2">
      <c r="A27" s="104" t="s">
        <v>494</v>
      </c>
      <c r="B27">
        <v>50</v>
      </c>
    </row>
    <row r="28" spans="1:2">
      <c r="A28" s="105" t="s">
        <v>493</v>
      </c>
      <c r="B28">
        <v>44</v>
      </c>
    </row>
    <row r="29" spans="1:2">
      <c r="A29" s="105" t="s">
        <v>51</v>
      </c>
      <c r="B29">
        <v>6</v>
      </c>
    </row>
    <row r="30" spans="1:2">
      <c r="A30" s="104" t="s">
        <v>498</v>
      </c>
      <c r="B30">
        <v>183</v>
      </c>
    </row>
    <row r="31" spans="1:2">
      <c r="A31" s="105" t="s">
        <v>514</v>
      </c>
      <c r="B31">
        <v>142</v>
      </c>
    </row>
    <row r="32" spans="1:2">
      <c r="A32" s="105" t="s">
        <v>284</v>
      </c>
      <c r="B32">
        <v>41</v>
      </c>
    </row>
    <row r="33" spans="1:2">
      <c r="A33" s="104" t="s">
        <v>515</v>
      </c>
      <c r="B33">
        <v>298</v>
      </c>
    </row>
    <row r="34" spans="1:2">
      <c r="A34" s="105" t="s">
        <v>19</v>
      </c>
      <c r="B34">
        <v>206</v>
      </c>
    </row>
    <row r="35" spans="1:2">
      <c r="A35" s="105" t="s">
        <v>32</v>
      </c>
      <c r="B35">
        <v>92</v>
      </c>
    </row>
    <row r="36" spans="1:2">
      <c r="A36" s="104" t="s">
        <v>516</v>
      </c>
      <c r="B36">
        <v>41</v>
      </c>
    </row>
    <row r="37" spans="1:2">
      <c r="A37" s="105" t="s">
        <v>57</v>
      </c>
      <c r="B37">
        <v>41</v>
      </c>
    </row>
    <row r="38" spans="1:2">
      <c r="A38" s="104" t="s">
        <v>528</v>
      </c>
      <c r="B38">
        <v>393</v>
      </c>
    </row>
    <row r="39" spans="1:2">
      <c r="A39" s="105" t="s">
        <v>290</v>
      </c>
      <c r="B39">
        <v>148</v>
      </c>
    </row>
    <row r="40" spans="1:2">
      <c r="A40" s="105" t="s">
        <v>529</v>
      </c>
      <c r="B40">
        <v>245</v>
      </c>
    </row>
    <row r="41" spans="1:2">
      <c r="A41" s="104" t="s">
        <v>485</v>
      </c>
      <c r="B41">
        <v>130</v>
      </c>
    </row>
    <row r="42" spans="1:2">
      <c r="A42" s="105" t="s">
        <v>512</v>
      </c>
      <c r="B42">
        <v>10</v>
      </c>
    </row>
    <row r="43" spans="1:2">
      <c r="A43" s="105" t="s">
        <v>43</v>
      </c>
      <c r="B43">
        <v>120</v>
      </c>
    </row>
    <row r="44" spans="1:2">
      <c r="A44" s="104" t="s">
        <v>502</v>
      </c>
      <c r="B44">
        <v>200</v>
      </c>
    </row>
    <row r="45" spans="1:2">
      <c r="A45" s="105" t="s">
        <v>526</v>
      </c>
      <c r="B45">
        <v>130</v>
      </c>
    </row>
    <row r="46" spans="1:2">
      <c r="A46" s="105" t="s">
        <v>527</v>
      </c>
      <c r="B46">
        <v>70</v>
      </c>
    </row>
    <row r="47" spans="1:2">
      <c r="A47" s="104" t="s">
        <v>531</v>
      </c>
      <c r="B47">
        <v>53</v>
      </c>
    </row>
    <row r="48" spans="1:2">
      <c r="A48" s="105" t="s">
        <v>511</v>
      </c>
      <c r="B48">
        <v>50</v>
      </c>
    </row>
    <row r="49" spans="1:2">
      <c r="A49" s="105" t="s">
        <v>192</v>
      </c>
      <c r="B49">
        <v>3</v>
      </c>
    </row>
    <row r="50" spans="1:2">
      <c r="A50" s="104" t="s">
        <v>305</v>
      </c>
      <c r="B50">
        <v>2777.6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F81EF-738E-4D8A-A148-A3BF76DCC3FE}">
  <dimension ref="B2:K49"/>
  <sheetViews>
    <sheetView topLeftCell="A2" workbookViewId="0">
      <selection activeCell="K13" sqref="K13:K15"/>
    </sheetView>
  </sheetViews>
  <sheetFormatPr baseColWidth="10" defaultColWidth="11.42578125" defaultRowHeight="15"/>
  <cols>
    <col min="1" max="1" width="4.42578125" customWidth="1"/>
    <col min="2" max="2" width="22.85546875" customWidth="1"/>
    <col min="3" max="3" width="49.7109375" customWidth="1"/>
    <col min="4" max="4" width="11.42578125" style="113"/>
    <col min="5" max="5" width="7.42578125" customWidth="1"/>
    <col min="6" max="6" width="2.7109375" customWidth="1"/>
    <col min="7" max="7" width="13.7109375" customWidth="1"/>
    <col min="8" max="8" width="5" bestFit="1" customWidth="1"/>
    <col min="9" max="10" width="4.5703125" bestFit="1" customWidth="1"/>
  </cols>
  <sheetData>
    <row r="2" spans="2:11" ht="15.75" thickBot="1">
      <c r="B2" t="s">
        <v>150</v>
      </c>
      <c r="C2" t="s">
        <v>530</v>
      </c>
    </row>
    <row r="3" spans="2:11">
      <c r="B3" s="106" t="s">
        <v>510</v>
      </c>
      <c r="C3" s="107">
        <v>218</v>
      </c>
    </row>
    <row r="4" spans="2:11" ht="15.75" thickBot="1">
      <c r="B4" s="110" t="s">
        <v>255</v>
      </c>
      <c r="C4" s="111">
        <v>218</v>
      </c>
    </row>
    <row r="5" spans="2:11">
      <c r="B5" s="112" t="s">
        <v>508</v>
      </c>
      <c r="C5" s="109">
        <v>114.6</v>
      </c>
    </row>
    <row r="6" spans="2:11">
      <c r="B6" s="108" t="s">
        <v>167</v>
      </c>
      <c r="C6" s="109">
        <v>31.5</v>
      </c>
    </row>
    <row r="7" spans="2:11" ht="15.75" thickBot="1">
      <c r="B7" s="108" t="s">
        <v>40</v>
      </c>
      <c r="C7" s="109">
        <v>83.1</v>
      </c>
    </row>
    <row r="8" spans="2:11">
      <c r="B8" s="106" t="s">
        <v>489</v>
      </c>
      <c r="C8" s="107">
        <v>10</v>
      </c>
    </row>
    <row r="9" spans="2:11" ht="15.75" thickBot="1">
      <c r="B9" s="108" t="s">
        <v>49</v>
      </c>
      <c r="C9" s="109">
        <v>10</v>
      </c>
    </row>
    <row r="10" spans="2:11">
      <c r="B10" s="106" t="s">
        <v>518</v>
      </c>
      <c r="C10" s="107">
        <v>603</v>
      </c>
    </row>
    <row r="11" spans="2:11">
      <c r="B11" s="108" t="s">
        <v>517</v>
      </c>
      <c r="C11" s="109">
        <v>12</v>
      </c>
      <c r="D11" s="113">
        <f t="shared" ref="D11:D15" si="0">+C11/$C$10</f>
        <v>1.9900497512437811E-2</v>
      </c>
    </row>
    <row r="12" spans="2:11">
      <c r="B12" s="108" t="s">
        <v>519</v>
      </c>
      <c r="C12" s="109">
        <v>45</v>
      </c>
      <c r="D12" s="113">
        <f>+C12/$C$10</f>
        <v>7.4626865671641784E-2</v>
      </c>
    </row>
    <row r="13" spans="2:11">
      <c r="B13" s="108" t="s">
        <v>186</v>
      </c>
      <c r="C13" s="109">
        <v>132</v>
      </c>
      <c r="D13" s="113">
        <f>+C13/$C$10</f>
        <v>0.21890547263681592</v>
      </c>
      <c r="E13">
        <v>4.71</v>
      </c>
      <c r="G13" s="252" t="s">
        <v>186</v>
      </c>
      <c r="H13" s="2">
        <v>4.71</v>
      </c>
      <c r="I13" s="253">
        <f>+D13+D18</f>
        <v>0.52404643449419575</v>
      </c>
      <c r="J13" s="251">
        <f>+I13/SUM($I$13:$I$15)</f>
        <v>0.59848484848484851</v>
      </c>
      <c r="K13" s="415">
        <f>+H13*J13+H14*J14+H15*J15</f>
        <v>5.4388068181818188</v>
      </c>
    </row>
    <row r="14" spans="2:11">
      <c r="B14" s="108" t="s">
        <v>520</v>
      </c>
      <c r="C14" s="109">
        <v>80</v>
      </c>
      <c r="D14" s="113">
        <f>+C14/$C$10</f>
        <v>0.13266998341625208</v>
      </c>
      <c r="E14">
        <v>5.49</v>
      </c>
      <c r="G14" s="252" t="s">
        <v>520</v>
      </c>
      <c r="H14" s="2">
        <v>5.49</v>
      </c>
      <c r="I14" s="253">
        <f>+D14+D19+D20</f>
        <v>0.17744610281923714</v>
      </c>
      <c r="J14" s="251">
        <f>+I14/SUM($I$13:$I$15)</f>
        <v>0.20265151515151514</v>
      </c>
      <c r="K14" s="416"/>
    </row>
    <row r="15" spans="2:11">
      <c r="B15" s="108" t="s">
        <v>521</v>
      </c>
      <c r="C15" s="109">
        <v>30</v>
      </c>
      <c r="D15" s="113">
        <f t="shared" si="0"/>
        <v>4.975124378109453E-2</v>
      </c>
      <c r="G15" s="252" t="s">
        <v>522</v>
      </c>
      <c r="H15" s="2">
        <v>7.58</v>
      </c>
      <c r="I15" s="253">
        <f>+D16+D17+D11</f>
        <v>0.17412935323383086</v>
      </c>
      <c r="J15" s="251">
        <f>+I15/SUM($I$13:$I$15)</f>
        <v>0.19886363636363638</v>
      </c>
      <c r="K15" s="417"/>
    </row>
    <row r="16" spans="2:11">
      <c r="B16" s="108" t="s">
        <v>522</v>
      </c>
      <c r="C16" s="109">
        <v>20</v>
      </c>
      <c r="D16" s="113">
        <f>+C16/$C$10</f>
        <v>3.316749585406302E-2</v>
      </c>
      <c r="E16">
        <v>7.58</v>
      </c>
    </row>
    <row r="17" spans="2:4">
      <c r="B17" s="108" t="s">
        <v>523</v>
      </c>
      <c r="C17" s="109">
        <v>73</v>
      </c>
      <c r="D17" s="113">
        <f>+C17/$C$10</f>
        <v>0.12106135986733002</v>
      </c>
    </row>
    <row r="18" spans="2:4">
      <c r="B18" s="108" t="s">
        <v>25</v>
      </c>
      <c r="C18" s="109">
        <v>184</v>
      </c>
      <c r="D18" s="113">
        <f>+C18/$C$10</f>
        <v>0.30514096185737977</v>
      </c>
    </row>
    <row r="19" spans="2:4">
      <c r="B19" s="250" t="s">
        <v>524</v>
      </c>
      <c r="C19" s="109">
        <v>12</v>
      </c>
      <c r="D19" s="113">
        <f>+C19/$C$10</f>
        <v>1.9900497512437811E-2</v>
      </c>
    </row>
    <row r="20" spans="2:4" ht="15.75" thickBot="1">
      <c r="B20" s="250" t="s">
        <v>525</v>
      </c>
      <c r="C20" s="109">
        <v>15</v>
      </c>
      <c r="D20" s="113">
        <f>+C20/$C$10</f>
        <v>2.4875621890547265E-2</v>
      </c>
    </row>
    <row r="21" spans="2:4">
      <c r="B21" s="106" t="s">
        <v>509</v>
      </c>
      <c r="C21" s="107">
        <v>346</v>
      </c>
    </row>
    <row r="22" spans="2:4" ht="15.75" thickBot="1">
      <c r="B22" s="108" t="s">
        <v>13</v>
      </c>
      <c r="C22" s="109">
        <v>346</v>
      </c>
    </row>
    <row r="23" spans="2:4">
      <c r="B23" s="106" t="s">
        <v>513</v>
      </c>
      <c r="C23" s="107">
        <v>138</v>
      </c>
    </row>
    <row r="24" spans="2:4">
      <c r="B24" s="108" t="s">
        <v>44</v>
      </c>
      <c r="C24" s="109">
        <v>102</v>
      </c>
      <c r="D24" s="113">
        <f>+C24/$C$23</f>
        <v>0.73913043478260865</v>
      </c>
    </row>
    <row r="25" spans="2:4" ht="15.75" thickBot="1">
      <c r="B25" s="108" t="s">
        <v>52</v>
      </c>
      <c r="C25" s="109">
        <v>36</v>
      </c>
      <c r="D25" s="113">
        <f>+C25/$C$23</f>
        <v>0.2608695652173913</v>
      </c>
    </row>
    <row r="26" spans="2:4">
      <c r="B26" s="106" t="s">
        <v>494</v>
      </c>
      <c r="C26" s="107">
        <v>50</v>
      </c>
    </row>
    <row r="27" spans="2:4">
      <c r="B27" s="108" t="s">
        <v>493</v>
      </c>
      <c r="C27" s="109">
        <v>44</v>
      </c>
      <c r="D27" s="113">
        <f>+C27/$C$26</f>
        <v>0.88</v>
      </c>
    </row>
    <row r="28" spans="2:4" ht="15.75" thickBot="1">
      <c r="B28" s="108" t="s">
        <v>51</v>
      </c>
      <c r="C28" s="109">
        <v>6</v>
      </c>
      <c r="D28" s="113">
        <f>+C28/$C$26</f>
        <v>0.12</v>
      </c>
    </row>
    <row r="29" spans="2:4">
      <c r="B29" s="106" t="s">
        <v>498</v>
      </c>
      <c r="C29" s="107">
        <v>183</v>
      </c>
    </row>
    <row r="30" spans="2:4">
      <c r="B30" s="108" t="s">
        <v>514</v>
      </c>
      <c r="C30" s="109">
        <v>142</v>
      </c>
      <c r="D30" s="113">
        <f>+C30/$C$29</f>
        <v>0.77595628415300544</v>
      </c>
    </row>
    <row r="31" spans="2:4" ht="15.75" thickBot="1">
      <c r="B31" s="108" t="s">
        <v>284</v>
      </c>
      <c r="C31" s="109">
        <v>41</v>
      </c>
      <c r="D31" s="113">
        <f>+C31/$C$29</f>
        <v>0.22404371584699453</v>
      </c>
    </row>
    <row r="32" spans="2:4">
      <c r="B32" s="106" t="s">
        <v>515</v>
      </c>
      <c r="C32" s="107">
        <v>298</v>
      </c>
    </row>
    <row r="33" spans="2:4">
      <c r="B33" s="108" t="s">
        <v>19</v>
      </c>
      <c r="C33" s="109">
        <v>206</v>
      </c>
      <c r="D33" s="113">
        <f>+C33/$C$32</f>
        <v>0.6912751677852349</v>
      </c>
    </row>
    <row r="34" spans="2:4" ht="15.75" thickBot="1">
      <c r="B34" s="108" t="s">
        <v>32</v>
      </c>
      <c r="C34" s="109">
        <v>92</v>
      </c>
      <c r="D34" s="113">
        <f>+C34/$C$32</f>
        <v>0.3087248322147651</v>
      </c>
    </row>
    <row r="35" spans="2:4">
      <c r="B35" s="106" t="s">
        <v>516</v>
      </c>
      <c r="C35" s="107">
        <v>41</v>
      </c>
    </row>
    <row r="36" spans="2:4" ht="15.75" thickBot="1">
      <c r="B36" s="110" t="s">
        <v>57</v>
      </c>
      <c r="C36" s="111">
        <v>41</v>
      </c>
    </row>
    <row r="37" spans="2:4">
      <c r="B37" s="112" t="s">
        <v>528</v>
      </c>
      <c r="C37" s="109">
        <v>393</v>
      </c>
    </row>
    <row r="38" spans="2:4">
      <c r="B38" s="108" t="s">
        <v>290</v>
      </c>
      <c r="C38" s="109">
        <v>148</v>
      </c>
    </row>
    <row r="39" spans="2:4" ht="15.75" thickBot="1">
      <c r="B39" s="108" t="s">
        <v>529</v>
      </c>
      <c r="C39" s="109">
        <v>245</v>
      </c>
    </row>
    <row r="40" spans="2:4">
      <c r="B40" s="106" t="s">
        <v>485</v>
      </c>
      <c r="C40" s="107">
        <v>130</v>
      </c>
    </row>
    <row r="41" spans="2:4">
      <c r="B41" s="108" t="s">
        <v>512</v>
      </c>
      <c r="C41" s="109">
        <v>10</v>
      </c>
    </row>
    <row r="42" spans="2:4" ht="15.75" thickBot="1">
      <c r="B42" s="108" t="s">
        <v>43</v>
      </c>
      <c r="C42" s="109">
        <v>120</v>
      </c>
    </row>
    <row r="43" spans="2:4">
      <c r="B43" s="106" t="s">
        <v>502</v>
      </c>
      <c r="C43" s="107">
        <v>200</v>
      </c>
    </row>
    <row r="44" spans="2:4">
      <c r="B44" s="108" t="s">
        <v>526</v>
      </c>
      <c r="C44" s="109">
        <v>130</v>
      </c>
    </row>
    <row r="45" spans="2:4" ht="15.75" thickBot="1">
      <c r="B45" s="108" t="s">
        <v>527</v>
      </c>
      <c r="C45" s="109">
        <v>70</v>
      </c>
    </row>
    <row r="46" spans="2:4">
      <c r="B46" s="106" t="s">
        <v>531</v>
      </c>
      <c r="C46" s="107">
        <v>53</v>
      </c>
    </row>
    <row r="47" spans="2:4">
      <c r="B47" s="108" t="s">
        <v>511</v>
      </c>
      <c r="C47" s="109">
        <v>50</v>
      </c>
    </row>
    <row r="48" spans="2:4" ht="15.75" thickBot="1">
      <c r="B48" s="110" t="s">
        <v>192</v>
      </c>
      <c r="C48" s="111">
        <v>3</v>
      </c>
    </row>
    <row r="49" spans="2:3">
      <c r="B49" s="104" t="s">
        <v>305</v>
      </c>
      <c r="C49">
        <v>2777.6</v>
      </c>
    </row>
  </sheetData>
  <mergeCells count="1">
    <mergeCell ref="K13:K1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3253-80F3-4ADF-852D-9F2A32A0CB4B}">
  <dimension ref="B2:F173"/>
  <sheetViews>
    <sheetView workbookViewId="0"/>
  </sheetViews>
  <sheetFormatPr baseColWidth="10" defaultColWidth="11.42578125" defaultRowHeight="15"/>
  <sheetData>
    <row r="2" spans="2:6">
      <c r="B2" s="45" t="s">
        <v>476</v>
      </c>
      <c r="C2" s="45" t="s">
        <v>532</v>
      </c>
      <c r="D2" s="45" t="s">
        <v>0</v>
      </c>
      <c r="E2" s="45" t="s">
        <v>1</v>
      </c>
      <c r="F2" s="45" t="s">
        <v>533</v>
      </c>
    </row>
    <row r="3" spans="2:6">
      <c r="B3" s="10" t="s">
        <v>253</v>
      </c>
      <c r="C3" s="10" t="s">
        <v>481</v>
      </c>
      <c r="D3" s="10" t="s">
        <v>49</v>
      </c>
      <c r="E3" s="10" t="s">
        <v>489</v>
      </c>
      <c r="F3" s="10">
        <v>10</v>
      </c>
    </row>
    <row r="4" spans="2:6">
      <c r="B4" s="10" t="s">
        <v>253</v>
      </c>
      <c r="C4" s="10" t="s">
        <v>481</v>
      </c>
      <c r="D4" s="10" t="s">
        <v>167</v>
      </c>
      <c r="E4" s="10" t="s">
        <v>508</v>
      </c>
      <c r="F4" s="10">
        <v>20</v>
      </c>
    </row>
    <row r="5" spans="2:6">
      <c r="B5" s="10" t="s">
        <v>253</v>
      </c>
      <c r="C5" s="10" t="s">
        <v>481</v>
      </c>
      <c r="D5" s="10" t="s">
        <v>167</v>
      </c>
      <c r="E5" s="10" t="s">
        <v>508</v>
      </c>
      <c r="F5" s="10">
        <v>3.9</v>
      </c>
    </row>
    <row r="6" spans="2:6">
      <c r="B6" s="10" t="s">
        <v>253</v>
      </c>
      <c r="C6" s="10" t="s">
        <v>481</v>
      </c>
      <c r="D6" s="10" t="s">
        <v>167</v>
      </c>
      <c r="E6" s="10" t="s">
        <v>508</v>
      </c>
      <c r="F6" s="10">
        <v>2.6</v>
      </c>
    </row>
    <row r="7" spans="2:6">
      <c r="B7" s="10" t="s">
        <v>253</v>
      </c>
      <c r="C7" s="10" t="s">
        <v>481</v>
      </c>
      <c r="D7" s="10" t="s">
        <v>167</v>
      </c>
      <c r="E7" s="10" t="s">
        <v>508</v>
      </c>
      <c r="F7" s="10">
        <v>5</v>
      </c>
    </row>
    <row r="8" spans="2:6">
      <c r="B8" s="10" t="s">
        <v>253</v>
      </c>
      <c r="C8" s="10" t="s">
        <v>481</v>
      </c>
      <c r="D8" s="10" t="s">
        <v>13</v>
      </c>
      <c r="E8" s="10" t="s">
        <v>509</v>
      </c>
      <c r="F8" s="10">
        <v>40</v>
      </c>
    </row>
    <row r="9" spans="2:6">
      <c r="B9" s="10" t="s">
        <v>253</v>
      </c>
      <c r="C9" s="10" t="s">
        <v>481</v>
      </c>
      <c r="D9" s="10" t="s">
        <v>13</v>
      </c>
      <c r="E9" s="10" t="s">
        <v>509</v>
      </c>
      <c r="F9" s="10">
        <v>10</v>
      </c>
    </row>
    <row r="10" spans="2:6">
      <c r="B10" s="10" t="s">
        <v>253</v>
      </c>
      <c r="C10" s="10" t="s">
        <v>481</v>
      </c>
      <c r="D10" s="10" t="s">
        <v>13</v>
      </c>
      <c r="E10" s="10" t="s">
        <v>509</v>
      </c>
      <c r="F10" s="10">
        <v>12</v>
      </c>
    </row>
    <row r="11" spans="2:6">
      <c r="B11" s="10" t="s">
        <v>253</v>
      </c>
      <c r="C11" s="10" t="s">
        <v>481</v>
      </c>
      <c r="D11" s="10" t="s">
        <v>13</v>
      </c>
      <c r="E11" s="10" t="s">
        <v>509</v>
      </c>
      <c r="F11" s="10">
        <v>12</v>
      </c>
    </row>
    <row r="12" spans="2:6">
      <c r="B12" s="10" t="s">
        <v>253</v>
      </c>
      <c r="C12" s="10" t="s">
        <v>481</v>
      </c>
      <c r="D12" s="10" t="s">
        <v>13</v>
      </c>
      <c r="E12" s="10" t="s">
        <v>509</v>
      </c>
      <c r="F12" s="10">
        <v>10</v>
      </c>
    </row>
    <row r="13" spans="2:6">
      <c r="B13" s="10" t="s">
        <v>253</v>
      </c>
      <c r="C13" s="10" t="s">
        <v>481</v>
      </c>
      <c r="D13" s="10" t="s">
        <v>13</v>
      </c>
      <c r="E13" s="10" t="s">
        <v>509</v>
      </c>
      <c r="F13" s="10">
        <v>12</v>
      </c>
    </row>
    <row r="14" spans="2:6">
      <c r="B14" s="10" t="s">
        <v>253</v>
      </c>
      <c r="C14" s="10" t="s">
        <v>481</v>
      </c>
      <c r="D14" s="10" t="s">
        <v>13</v>
      </c>
      <c r="E14" s="10" t="s">
        <v>509</v>
      </c>
      <c r="F14" s="10">
        <v>8</v>
      </c>
    </row>
    <row r="15" spans="2:6">
      <c r="B15" s="10" t="s">
        <v>253</v>
      </c>
      <c r="C15" s="10" t="s">
        <v>481</v>
      </c>
      <c r="D15" s="10" t="s">
        <v>13</v>
      </c>
      <c r="E15" s="10" t="s">
        <v>509</v>
      </c>
      <c r="F15" s="10">
        <v>15</v>
      </c>
    </row>
    <row r="16" spans="2:6">
      <c r="B16" s="10" t="s">
        <v>253</v>
      </c>
      <c r="C16" s="10" t="s">
        <v>481</v>
      </c>
      <c r="D16" s="10" t="s">
        <v>13</v>
      </c>
      <c r="E16" s="10" t="s">
        <v>509</v>
      </c>
      <c r="F16" s="10">
        <v>10</v>
      </c>
    </row>
    <row r="17" spans="2:6">
      <c r="B17" s="10" t="s">
        <v>253</v>
      </c>
      <c r="C17" s="10" t="s">
        <v>481</v>
      </c>
      <c r="D17" s="10" t="s">
        <v>13</v>
      </c>
      <c r="E17" s="10" t="s">
        <v>509</v>
      </c>
      <c r="F17" s="10">
        <v>25</v>
      </c>
    </row>
    <row r="18" spans="2:6">
      <c r="B18" s="10" t="s">
        <v>253</v>
      </c>
      <c r="C18" s="10" t="s">
        <v>481</v>
      </c>
      <c r="D18" s="10" t="s">
        <v>13</v>
      </c>
      <c r="E18" s="10" t="s">
        <v>509</v>
      </c>
      <c r="F18" s="10">
        <v>10</v>
      </c>
    </row>
    <row r="19" spans="2:6">
      <c r="B19" s="10" t="s">
        <v>253</v>
      </c>
      <c r="C19" s="10" t="s">
        <v>481</v>
      </c>
      <c r="D19" s="10" t="s">
        <v>13</v>
      </c>
      <c r="E19" s="10" t="s">
        <v>509</v>
      </c>
      <c r="F19" s="10">
        <v>16</v>
      </c>
    </row>
    <row r="20" spans="2:6">
      <c r="B20" s="10" t="s">
        <v>253</v>
      </c>
      <c r="C20" s="10" t="s">
        <v>481</v>
      </c>
      <c r="D20" s="10" t="s">
        <v>13</v>
      </c>
      <c r="E20" s="10" t="s">
        <v>509</v>
      </c>
      <c r="F20" s="10">
        <v>20</v>
      </c>
    </row>
    <row r="21" spans="2:6">
      <c r="B21" s="10" t="s">
        <v>253</v>
      </c>
      <c r="C21" s="10" t="s">
        <v>481</v>
      </c>
      <c r="D21" s="10" t="s">
        <v>13</v>
      </c>
      <c r="E21" s="10" t="s">
        <v>509</v>
      </c>
      <c r="F21" s="10">
        <v>15</v>
      </c>
    </row>
    <row r="22" spans="2:6">
      <c r="B22" s="10" t="s">
        <v>253</v>
      </c>
      <c r="C22" s="10" t="s">
        <v>481</v>
      </c>
      <c r="D22" s="10" t="s">
        <v>13</v>
      </c>
      <c r="E22" s="10" t="s">
        <v>509</v>
      </c>
      <c r="F22" s="10">
        <v>15</v>
      </c>
    </row>
    <row r="23" spans="2:6">
      <c r="B23" s="10" t="s">
        <v>253</v>
      </c>
      <c r="C23" s="10" t="s">
        <v>481</v>
      </c>
      <c r="D23" s="10" t="s">
        <v>13</v>
      </c>
      <c r="E23" s="10" t="s">
        <v>509</v>
      </c>
      <c r="F23" s="10">
        <v>15</v>
      </c>
    </row>
    <row r="24" spans="2:6">
      <c r="B24" s="10" t="s">
        <v>253</v>
      </c>
      <c r="C24" s="10" t="s">
        <v>481</v>
      </c>
      <c r="D24" s="10" t="s">
        <v>13</v>
      </c>
      <c r="E24" s="10" t="s">
        <v>509</v>
      </c>
      <c r="F24" s="10">
        <v>15</v>
      </c>
    </row>
    <row r="25" spans="2:6">
      <c r="B25" s="10" t="s">
        <v>253</v>
      </c>
      <c r="C25" s="10" t="s">
        <v>481</v>
      </c>
      <c r="D25" s="10" t="s">
        <v>13</v>
      </c>
      <c r="E25" s="10" t="s">
        <v>509</v>
      </c>
      <c r="F25" s="10">
        <v>20</v>
      </c>
    </row>
    <row r="26" spans="2:6">
      <c r="B26" s="10" t="s">
        <v>253</v>
      </c>
      <c r="C26" s="10" t="s">
        <v>481</v>
      </c>
      <c r="D26" s="10" t="s">
        <v>13</v>
      </c>
      <c r="E26" s="10" t="s">
        <v>509</v>
      </c>
      <c r="F26" s="10">
        <v>9</v>
      </c>
    </row>
    <row r="27" spans="2:6">
      <c r="B27" s="10" t="s">
        <v>253</v>
      </c>
      <c r="C27" s="10" t="s">
        <v>481</v>
      </c>
      <c r="D27" s="10" t="s">
        <v>13</v>
      </c>
      <c r="E27" s="10" t="s">
        <v>509</v>
      </c>
      <c r="F27" s="10">
        <v>14</v>
      </c>
    </row>
    <row r="28" spans="2:6">
      <c r="B28" s="10" t="s">
        <v>253</v>
      </c>
      <c r="C28" s="10" t="s">
        <v>481</v>
      </c>
      <c r="D28" s="10" t="s">
        <v>13</v>
      </c>
      <c r="E28" s="10" t="s">
        <v>509</v>
      </c>
      <c r="F28" s="10">
        <v>8</v>
      </c>
    </row>
    <row r="29" spans="2:6">
      <c r="B29" s="10" t="s">
        <v>253</v>
      </c>
      <c r="C29" s="10" t="s">
        <v>481</v>
      </c>
      <c r="D29" s="10" t="s">
        <v>13</v>
      </c>
      <c r="E29" s="10" t="s">
        <v>509</v>
      </c>
      <c r="F29" s="10">
        <v>10</v>
      </c>
    </row>
    <row r="30" spans="2:6">
      <c r="B30" s="10" t="s">
        <v>253</v>
      </c>
      <c r="C30" s="10" t="s">
        <v>481</v>
      </c>
      <c r="D30" s="10" t="s">
        <v>13</v>
      </c>
      <c r="E30" s="10" t="s">
        <v>509</v>
      </c>
      <c r="F30" s="10">
        <v>10</v>
      </c>
    </row>
    <row r="31" spans="2:6">
      <c r="B31" s="10" t="s">
        <v>253</v>
      </c>
      <c r="C31" s="10" t="s">
        <v>481</v>
      </c>
      <c r="D31" s="10" t="s">
        <v>13</v>
      </c>
      <c r="E31" s="10" t="s">
        <v>509</v>
      </c>
      <c r="F31" s="10">
        <v>15</v>
      </c>
    </row>
    <row r="32" spans="2:6">
      <c r="B32" s="10" t="s">
        <v>253</v>
      </c>
      <c r="C32" s="10" t="s">
        <v>481</v>
      </c>
      <c r="D32" s="10" t="s">
        <v>493</v>
      </c>
      <c r="E32" s="10" t="s">
        <v>494</v>
      </c>
      <c r="F32" s="10">
        <v>8</v>
      </c>
    </row>
    <row r="33" spans="2:6">
      <c r="B33" s="10" t="s">
        <v>253</v>
      </c>
      <c r="C33" s="10" t="s">
        <v>481</v>
      </c>
      <c r="D33" s="10" t="s">
        <v>493</v>
      </c>
      <c r="E33" s="10" t="s">
        <v>494</v>
      </c>
      <c r="F33" s="10">
        <v>9</v>
      </c>
    </row>
    <row r="34" spans="2:6">
      <c r="B34" s="10" t="s">
        <v>253</v>
      </c>
      <c r="C34" s="10" t="s">
        <v>481</v>
      </c>
      <c r="D34" s="10" t="s">
        <v>493</v>
      </c>
      <c r="E34" s="10" t="s">
        <v>494</v>
      </c>
      <c r="F34" s="10">
        <v>6</v>
      </c>
    </row>
    <row r="35" spans="2:6">
      <c r="B35" s="10" t="s">
        <v>253</v>
      </c>
      <c r="C35" s="10" t="s">
        <v>481</v>
      </c>
      <c r="D35" s="10" t="s">
        <v>493</v>
      </c>
      <c r="E35" s="10" t="s">
        <v>494</v>
      </c>
      <c r="F35" s="10">
        <v>7</v>
      </c>
    </row>
    <row r="36" spans="2:6">
      <c r="B36" s="10" t="s">
        <v>253</v>
      </c>
      <c r="C36" s="10" t="s">
        <v>481</v>
      </c>
      <c r="D36" s="10" t="s">
        <v>493</v>
      </c>
      <c r="E36" s="10" t="s">
        <v>494</v>
      </c>
      <c r="F36" s="10">
        <v>6</v>
      </c>
    </row>
    <row r="37" spans="2:6">
      <c r="B37" s="10" t="s">
        <v>253</v>
      </c>
      <c r="C37" s="10" t="s">
        <v>481</v>
      </c>
      <c r="D37" s="10" t="s">
        <v>493</v>
      </c>
      <c r="E37" s="10" t="s">
        <v>494</v>
      </c>
      <c r="F37" s="10">
        <v>8</v>
      </c>
    </row>
    <row r="38" spans="2:6">
      <c r="B38" s="10" t="s">
        <v>253</v>
      </c>
      <c r="C38" s="10" t="s">
        <v>481</v>
      </c>
      <c r="D38" s="10" t="s">
        <v>51</v>
      </c>
      <c r="E38" s="10" t="s">
        <v>494</v>
      </c>
      <c r="F38" s="10">
        <v>6</v>
      </c>
    </row>
    <row r="39" spans="2:6">
      <c r="B39" s="10" t="s">
        <v>253</v>
      </c>
      <c r="C39" s="10" t="s">
        <v>481</v>
      </c>
      <c r="D39" s="10" t="s">
        <v>255</v>
      </c>
      <c r="E39" s="10" t="s">
        <v>510</v>
      </c>
      <c r="F39" s="10">
        <v>25</v>
      </c>
    </row>
    <row r="40" spans="2:6">
      <c r="B40" s="10" t="s">
        <v>253</v>
      </c>
      <c r="C40" s="10" t="s">
        <v>481</v>
      </c>
      <c r="D40" s="10" t="s">
        <v>255</v>
      </c>
      <c r="E40" s="10" t="s">
        <v>510</v>
      </c>
      <c r="F40" s="10">
        <v>30</v>
      </c>
    </row>
    <row r="41" spans="2:6">
      <c r="B41" s="10" t="s">
        <v>253</v>
      </c>
      <c r="C41" s="10" t="s">
        <v>481</v>
      </c>
      <c r="D41" s="10" t="s">
        <v>255</v>
      </c>
      <c r="E41" s="10" t="s">
        <v>510</v>
      </c>
      <c r="F41" s="10">
        <v>30</v>
      </c>
    </row>
    <row r="42" spans="2:6">
      <c r="B42" s="10" t="s">
        <v>253</v>
      </c>
      <c r="C42" s="10" t="s">
        <v>481</v>
      </c>
      <c r="D42" s="10" t="s">
        <v>255</v>
      </c>
      <c r="E42" s="10" t="s">
        <v>510</v>
      </c>
      <c r="F42" s="10">
        <v>30</v>
      </c>
    </row>
    <row r="43" spans="2:6">
      <c r="B43" s="10" t="s">
        <v>253</v>
      </c>
      <c r="C43" s="10" t="s">
        <v>481</v>
      </c>
      <c r="D43" s="10" t="s">
        <v>255</v>
      </c>
      <c r="E43" s="10" t="s">
        <v>510</v>
      </c>
      <c r="F43" s="10">
        <v>10</v>
      </c>
    </row>
    <row r="44" spans="2:6">
      <c r="B44" s="10" t="s">
        <v>253</v>
      </c>
      <c r="C44" s="10" t="s">
        <v>481</v>
      </c>
      <c r="D44" s="10" t="s">
        <v>255</v>
      </c>
      <c r="E44" s="10" t="s">
        <v>510</v>
      </c>
      <c r="F44" s="10">
        <v>15</v>
      </c>
    </row>
    <row r="45" spans="2:6">
      <c r="B45" s="10" t="s">
        <v>253</v>
      </c>
      <c r="C45" s="10" t="s">
        <v>481</v>
      </c>
      <c r="D45" s="10" t="s">
        <v>255</v>
      </c>
      <c r="E45" s="10" t="s">
        <v>510</v>
      </c>
      <c r="F45" s="10">
        <v>10</v>
      </c>
    </row>
    <row r="46" spans="2:6">
      <c r="B46" s="10" t="s">
        <v>253</v>
      </c>
      <c r="C46" s="10" t="s">
        <v>481</v>
      </c>
      <c r="D46" s="10" t="s">
        <v>255</v>
      </c>
      <c r="E46" s="10" t="s">
        <v>510</v>
      </c>
      <c r="F46" s="10">
        <v>10</v>
      </c>
    </row>
    <row r="47" spans="2:6">
      <c r="B47" s="10" t="s">
        <v>253</v>
      </c>
      <c r="C47" s="10" t="s">
        <v>481</v>
      </c>
      <c r="D47" s="10" t="s">
        <v>255</v>
      </c>
      <c r="E47" s="10" t="s">
        <v>510</v>
      </c>
      <c r="F47" s="10">
        <v>10</v>
      </c>
    </row>
    <row r="48" spans="2:6">
      <c r="B48" s="10" t="s">
        <v>253</v>
      </c>
      <c r="C48" s="10" t="s">
        <v>481</v>
      </c>
      <c r="D48" s="10" t="s">
        <v>255</v>
      </c>
      <c r="E48" s="10" t="s">
        <v>510</v>
      </c>
      <c r="F48" s="10">
        <v>15</v>
      </c>
    </row>
    <row r="49" spans="2:6">
      <c r="B49" s="10" t="s">
        <v>253</v>
      </c>
      <c r="C49" s="10" t="s">
        <v>481</v>
      </c>
      <c r="D49" s="10" t="s">
        <v>255</v>
      </c>
      <c r="E49" s="10" t="s">
        <v>510</v>
      </c>
      <c r="F49" s="10">
        <v>8</v>
      </c>
    </row>
    <row r="50" spans="2:6">
      <c r="B50" s="10" t="s">
        <v>253</v>
      </c>
      <c r="C50" s="10" t="s">
        <v>481</v>
      </c>
      <c r="D50" s="10" t="s">
        <v>255</v>
      </c>
      <c r="E50" s="10" t="s">
        <v>510</v>
      </c>
      <c r="F50" s="10">
        <v>10</v>
      </c>
    </row>
    <row r="51" spans="2:6">
      <c r="B51" s="10" t="s">
        <v>253</v>
      </c>
      <c r="C51" s="10" t="s">
        <v>481</v>
      </c>
      <c r="D51" s="10" t="s">
        <v>255</v>
      </c>
      <c r="E51" s="10" t="s">
        <v>510</v>
      </c>
      <c r="F51" s="10">
        <v>15</v>
      </c>
    </row>
    <row r="52" spans="2:6">
      <c r="B52" s="10" t="s">
        <v>253</v>
      </c>
      <c r="C52" s="10" t="s">
        <v>481</v>
      </c>
      <c r="D52" s="10" t="s">
        <v>40</v>
      </c>
      <c r="E52" s="10" t="s">
        <v>508</v>
      </c>
      <c r="F52" s="10">
        <v>12</v>
      </c>
    </row>
    <row r="53" spans="2:6">
      <c r="B53" s="10" t="s">
        <v>253</v>
      </c>
      <c r="C53" s="10" t="s">
        <v>481</v>
      </c>
      <c r="D53" s="10" t="s">
        <v>40</v>
      </c>
      <c r="E53" s="10" t="s">
        <v>508</v>
      </c>
      <c r="F53" s="10">
        <v>11</v>
      </c>
    </row>
    <row r="54" spans="2:6">
      <c r="B54" s="10" t="s">
        <v>253</v>
      </c>
      <c r="C54" s="10" t="s">
        <v>481</v>
      </c>
      <c r="D54" s="10" t="s">
        <v>40</v>
      </c>
      <c r="E54" s="10" t="s">
        <v>508</v>
      </c>
      <c r="F54" s="10">
        <v>15</v>
      </c>
    </row>
    <row r="55" spans="2:6">
      <c r="B55" s="10" t="s">
        <v>253</v>
      </c>
      <c r="C55" s="10" t="s">
        <v>481</v>
      </c>
      <c r="D55" s="10" t="s">
        <v>40</v>
      </c>
      <c r="E55" s="10" t="s">
        <v>508</v>
      </c>
      <c r="F55" s="10">
        <v>15</v>
      </c>
    </row>
    <row r="56" spans="2:6">
      <c r="B56" s="10" t="s">
        <v>253</v>
      </c>
      <c r="C56" s="10" t="s">
        <v>481</v>
      </c>
      <c r="D56" s="10" t="s">
        <v>40</v>
      </c>
      <c r="E56" s="10" t="s">
        <v>508</v>
      </c>
      <c r="F56" s="10">
        <v>15</v>
      </c>
    </row>
    <row r="57" spans="2:6">
      <c r="B57" s="10" t="s">
        <v>253</v>
      </c>
      <c r="C57" s="10" t="s">
        <v>481</v>
      </c>
      <c r="D57" s="10" t="s">
        <v>40</v>
      </c>
      <c r="E57" s="10" t="s">
        <v>508</v>
      </c>
      <c r="F57" s="10">
        <v>2.6</v>
      </c>
    </row>
    <row r="58" spans="2:6">
      <c r="B58" s="10" t="s">
        <v>253</v>
      </c>
      <c r="C58" s="10" t="s">
        <v>481</v>
      </c>
      <c r="D58" s="10" t="s">
        <v>40</v>
      </c>
      <c r="E58" s="10" t="s">
        <v>508</v>
      </c>
      <c r="F58" s="10">
        <v>3.9</v>
      </c>
    </row>
    <row r="59" spans="2:6">
      <c r="B59" s="10" t="s">
        <v>253</v>
      </c>
      <c r="C59" s="10" t="s">
        <v>481</v>
      </c>
      <c r="D59" s="10" t="s">
        <v>40</v>
      </c>
      <c r="E59" s="10" t="s">
        <v>508</v>
      </c>
      <c r="F59" s="10">
        <v>2.6</v>
      </c>
    </row>
    <row r="60" spans="2:6">
      <c r="B60" s="10" t="s">
        <v>253</v>
      </c>
      <c r="C60" s="10" t="s">
        <v>481</v>
      </c>
      <c r="D60" s="10" t="s">
        <v>40</v>
      </c>
      <c r="E60" s="10" t="s">
        <v>508</v>
      </c>
      <c r="F60" s="10">
        <v>3</v>
      </c>
    </row>
    <row r="61" spans="2:6">
      <c r="B61" s="10" t="s">
        <v>253</v>
      </c>
      <c r="C61" s="10" t="s">
        <v>481</v>
      </c>
      <c r="D61" s="10" t="s">
        <v>40</v>
      </c>
      <c r="E61" s="10" t="s">
        <v>508</v>
      </c>
      <c r="F61" s="10">
        <v>3</v>
      </c>
    </row>
    <row r="62" spans="2:6">
      <c r="B62" s="10" t="s">
        <v>253</v>
      </c>
      <c r="C62" s="10" t="s">
        <v>481</v>
      </c>
      <c r="D62" s="10" t="s">
        <v>511</v>
      </c>
      <c r="E62" s="10"/>
      <c r="F62" s="10">
        <v>15</v>
      </c>
    </row>
    <row r="63" spans="2:6">
      <c r="B63" s="10" t="s">
        <v>253</v>
      </c>
      <c r="C63" s="10" t="s">
        <v>481</v>
      </c>
      <c r="D63" s="10" t="s">
        <v>511</v>
      </c>
      <c r="E63" s="10"/>
      <c r="F63" s="10">
        <v>15</v>
      </c>
    </row>
    <row r="64" spans="2:6">
      <c r="B64" s="10" t="s">
        <v>253</v>
      </c>
      <c r="C64" s="10" t="s">
        <v>481</v>
      </c>
      <c r="D64" s="10" t="s">
        <v>511</v>
      </c>
      <c r="E64" s="10"/>
      <c r="F64" s="10">
        <v>20</v>
      </c>
    </row>
    <row r="65" spans="2:6">
      <c r="B65" s="10" t="s">
        <v>253</v>
      </c>
      <c r="C65" s="10" t="s">
        <v>481</v>
      </c>
      <c r="D65" s="10" t="s">
        <v>512</v>
      </c>
      <c r="E65" s="10" t="s">
        <v>485</v>
      </c>
      <c r="F65" s="10">
        <v>10</v>
      </c>
    </row>
    <row r="66" spans="2:6">
      <c r="B66" s="10" t="s">
        <v>253</v>
      </c>
      <c r="C66" s="10" t="s">
        <v>481</v>
      </c>
      <c r="D66" s="10" t="s">
        <v>43</v>
      </c>
      <c r="E66" s="10" t="s">
        <v>485</v>
      </c>
      <c r="F66" s="10">
        <v>10</v>
      </c>
    </row>
    <row r="67" spans="2:6">
      <c r="B67" s="10" t="s">
        <v>253</v>
      </c>
      <c r="C67" s="10" t="s">
        <v>481</v>
      </c>
      <c r="D67" s="10" t="s">
        <v>43</v>
      </c>
      <c r="E67" s="10" t="s">
        <v>485</v>
      </c>
      <c r="F67" s="10">
        <v>15</v>
      </c>
    </row>
    <row r="68" spans="2:6">
      <c r="B68" s="10" t="s">
        <v>253</v>
      </c>
      <c r="C68" s="10" t="s">
        <v>481</v>
      </c>
      <c r="D68" s="10" t="s">
        <v>43</v>
      </c>
      <c r="E68" s="10" t="s">
        <v>485</v>
      </c>
      <c r="F68" s="10">
        <v>12</v>
      </c>
    </row>
    <row r="69" spans="2:6">
      <c r="B69" s="10" t="s">
        <v>253</v>
      </c>
      <c r="C69" s="10" t="s">
        <v>481</v>
      </c>
      <c r="D69" s="10" t="s">
        <v>43</v>
      </c>
      <c r="E69" s="10" t="s">
        <v>485</v>
      </c>
      <c r="F69" s="10">
        <v>18</v>
      </c>
    </row>
    <row r="70" spans="2:6">
      <c r="B70" s="10" t="s">
        <v>253</v>
      </c>
      <c r="C70" s="10" t="s">
        <v>481</v>
      </c>
      <c r="D70" s="10" t="s">
        <v>43</v>
      </c>
      <c r="E70" s="10" t="s">
        <v>485</v>
      </c>
      <c r="F70" s="10">
        <v>25</v>
      </c>
    </row>
    <row r="71" spans="2:6">
      <c r="B71" s="10" t="s">
        <v>253</v>
      </c>
      <c r="C71" s="10" t="s">
        <v>481</v>
      </c>
      <c r="D71" s="10" t="s">
        <v>43</v>
      </c>
      <c r="E71" s="10" t="s">
        <v>485</v>
      </c>
      <c r="F71" s="10">
        <v>25</v>
      </c>
    </row>
    <row r="72" spans="2:6">
      <c r="B72" s="10" t="s">
        <v>253</v>
      </c>
      <c r="C72" s="10" t="s">
        <v>481</v>
      </c>
      <c r="D72" s="10" t="s">
        <v>43</v>
      </c>
      <c r="E72" s="10" t="s">
        <v>485</v>
      </c>
      <c r="F72" s="10">
        <v>15</v>
      </c>
    </row>
    <row r="73" spans="2:6">
      <c r="B73" s="10" t="s">
        <v>253</v>
      </c>
      <c r="C73" s="10" t="s">
        <v>481</v>
      </c>
      <c r="D73" s="10" t="s">
        <v>44</v>
      </c>
      <c r="E73" s="10" t="s">
        <v>513</v>
      </c>
      <c r="F73" s="10">
        <v>12</v>
      </c>
    </row>
    <row r="74" spans="2:6">
      <c r="B74" s="10" t="s">
        <v>253</v>
      </c>
      <c r="C74" s="10" t="s">
        <v>481</v>
      </c>
      <c r="D74" s="10" t="s">
        <v>44</v>
      </c>
      <c r="E74" s="10" t="s">
        <v>513</v>
      </c>
      <c r="F74" s="10">
        <v>20</v>
      </c>
    </row>
    <row r="75" spans="2:6">
      <c r="B75" s="10" t="s">
        <v>253</v>
      </c>
      <c r="C75" s="10" t="s">
        <v>481</v>
      </c>
      <c r="D75" s="10" t="s">
        <v>44</v>
      </c>
      <c r="E75" s="10" t="s">
        <v>513</v>
      </c>
      <c r="F75" s="10">
        <v>35</v>
      </c>
    </row>
    <row r="76" spans="2:6">
      <c r="B76" s="10" t="s">
        <v>253</v>
      </c>
      <c r="C76" s="10" t="s">
        <v>481</v>
      </c>
      <c r="D76" s="10" t="s">
        <v>44</v>
      </c>
      <c r="E76" s="10" t="s">
        <v>513</v>
      </c>
      <c r="F76" s="10">
        <v>35</v>
      </c>
    </row>
    <row r="77" spans="2:6">
      <c r="B77" s="10" t="s">
        <v>253</v>
      </c>
      <c r="C77" s="10" t="s">
        <v>481</v>
      </c>
      <c r="D77" s="10" t="s">
        <v>52</v>
      </c>
      <c r="E77" s="10" t="s">
        <v>513</v>
      </c>
      <c r="F77" s="10">
        <v>20</v>
      </c>
    </row>
    <row r="78" spans="2:6">
      <c r="B78" s="10" t="s">
        <v>253</v>
      </c>
      <c r="C78" s="10" t="s">
        <v>481</v>
      </c>
      <c r="D78" s="10" t="s">
        <v>52</v>
      </c>
      <c r="E78" s="10" t="s">
        <v>513</v>
      </c>
      <c r="F78" s="10">
        <v>16</v>
      </c>
    </row>
    <row r="79" spans="2:6">
      <c r="B79" s="10" t="s">
        <v>253</v>
      </c>
      <c r="C79" s="10" t="s">
        <v>481</v>
      </c>
      <c r="D79" s="10" t="s">
        <v>514</v>
      </c>
      <c r="E79" s="10" t="s">
        <v>498</v>
      </c>
      <c r="F79" s="10">
        <v>12</v>
      </c>
    </row>
    <row r="80" spans="2:6">
      <c r="B80" s="10" t="s">
        <v>253</v>
      </c>
      <c r="C80" s="10" t="s">
        <v>481</v>
      </c>
      <c r="D80" s="10" t="s">
        <v>514</v>
      </c>
      <c r="E80" s="10" t="s">
        <v>498</v>
      </c>
      <c r="F80" s="10">
        <v>12</v>
      </c>
    </row>
    <row r="81" spans="2:6">
      <c r="B81" s="10" t="s">
        <v>253</v>
      </c>
      <c r="C81" s="10" t="s">
        <v>481</v>
      </c>
      <c r="D81" s="10" t="s">
        <v>514</v>
      </c>
      <c r="E81" s="10" t="s">
        <v>498</v>
      </c>
      <c r="F81" s="10">
        <v>12</v>
      </c>
    </row>
    <row r="82" spans="2:6">
      <c r="B82" s="10" t="s">
        <v>253</v>
      </c>
      <c r="C82" s="10" t="s">
        <v>481</v>
      </c>
      <c r="D82" s="10" t="s">
        <v>514</v>
      </c>
      <c r="E82" s="10" t="s">
        <v>498</v>
      </c>
      <c r="F82" s="10">
        <v>12</v>
      </c>
    </row>
    <row r="83" spans="2:6">
      <c r="B83" s="10" t="s">
        <v>253</v>
      </c>
      <c r="C83" s="10" t="s">
        <v>481</v>
      </c>
      <c r="D83" s="10" t="s">
        <v>514</v>
      </c>
      <c r="E83" s="10" t="s">
        <v>498</v>
      </c>
      <c r="F83" s="10">
        <v>9</v>
      </c>
    </row>
    <row r="84" spans="2:6">
      <c r="B84" s="10" t="s">
        <v>253</v>
      </c>
      <c r="C84" s="10" t="s">
        <v>481</v>
      </c>
      <c r="D84" s="10" t="s">
        <v>514</v>
      </c>
      <c r="E84" s="10" t="s">
        <v>498</v>
      </c>
      <c r="F84" s="10">
        <v>25</v>
      </c>
    </row>
    <row r="85" spans="2:6">
      <c r="B85" s="10" t="s">
        <v>253</v>
      </c>
      <c r="C85" s="10" t="s">
        <v>481</v>
      </c>
      <c r="D85" s="10" t="s">
        <v>514</v>
      </c>
      <c r="E85" s="10" t="s">
        <v>498</v>
      </c>
      <c r="F85" s="10">
        <v>60</v>
      </c>
    </row>
    <row r="86" spans="2:6">
      <c r="B86" s="10" t="s">
        <v>253</v>
      </c>
      <c r="C86" s="10" t="s">
        <v>481</v>
      </c>
      <c r="D86" s="10" t="s">
        <v>19</v>
      </c>
      <c r="E86" s="10" t="s">
        <v>515</v>
      </c>
      <c r="F86" s="10">
        <v>50</v>
      </c>
    </row>
    <row r="87" spans="2:6">
      <c r="B87" s="10" t="s">
        <v>253</v>
      </c>
      <c r="C87" s="10" t="s">
        <v>481</v>
      </c>
      <c r="D87" s="10" t="s">
        <v>19</v>
      </c>
      <c r="E87" s="10" t="s">
        <v>515</v>
      </c>
      <c r="F87" s="10">
        <v>9</v>
      </c>
    </row>
    <row r="88" spans="2:6">
      <c r="B88" s="10" t="s">
        <v>253</v>
      </c>
      <c r="C88" s="10" t="s">
        <v>481</v>
      </c>
      <c r="D88" s="10" t="s">
        <v>19</v>
      </c>
      <c r="E88" s="10" t="s">
        <v>515</v>
      </c>
      <c r="F88" s="10">
        <v>15</v>
      </c>
    </row>
    <row r="89" spans="2:6">
      <c r="B89" s="10" t="s">
        <v>253</v>
      </c>
      <c r="C89" s="10" t="s">
        <v>481</v>
      </c>
      <c r="D89" s="10" t="s">
        <v>19</v>
      </c>
      <c r="E89" s="10" t="s">
        <v>515</v>
      </c>
      <c r="F89" s="10">
        <v>20</v>
      </c>
    </row>
    <row r="90" spans="2:6">
      <c r="B90" s="10" t="s">
        <v>253</v>
      </c>
      <c r="C90" s="10" t="s">
        <v>481</v>
      </c>
      <c r="D90" s="10" t="s">
        <v>19</v>
      </c>
      <c r="E90" s="10" t="s">
        <v>515</v>
      </c>
      <c r="F90" s="10">
        <v>18</v>
      </c>
    </row>
    <row r="91" spans="2:6">
      <c r="B91" s="10" t="s">
        <v>253</v>
      </c>
      <c r="C91" s="10" t="s">
        <v>481</v>
      </c>
      <c r="D91" s="10" t="s">
        <v>19</v>
      </c>
      <c r="E91" s="10" t="s">
        <v>515</v>
      </c>
      <c r="F91" s="10">
        <v>18</v>
      </c>
    </row>
    <row r="92" spans="2:6">
      <c r="B92" s="10" t="s">
        <v>253</v>
      </c>
      <c r="C92" s="10" t="s">
        <v>481</v>
      </c>
      <c r="D92" s="10" t="s">
        <v>19</v>
      </c>
      <c r="E92" s="10" t="s">
        <v>515</v>
      </c>
      <c r="F92" s="10">
        <v>15</v>
      </c>
    </row>
    <row r="93" spans="2:6">
      <c r="B93" s="10" t="s">
        <v>253</v>
      </c>
      <c r="C93" s="10" t="s">
        <v>481</v>
      </c>
      <c r="D93" s="10" t="s">
        <v>19</v>
      </c>
      <c r="E93" s="10" t="s">
        <v>515</v>
      </c>
      <c r="F93" s="10">
        <v>12</v>
      </c>
    </row>
    <row r="94" spans="2:6">
      <c r="B94" s="10" t="s">
        <v>253</v>
      </c>
      <c r="C94" s="10" t="s">
        <v>481</v>
      </c>
      <c r="D94" s="10" t="s">
        <v>19</v>
      </c>
      <c r="E94" s="10" t="s">
        <v>515</v>
      </c>
      <c r="F94" s="10">
        <v>12</v>
      </c>
    </row>
    <row r="95" spans="2:6">
      <c r="B95" s="10" t="s">
        <v>253</v>
      </c>
      <c r="C95" s="10" t="s">
        <v>481</v>
      </c>
      <c r="D95" s="10" t="s">
        <v>19</v>
      </c>
      <c r="E95" s="10" t="s">
        <v>515</v>
      </c>
      <c r="F95" s="10">
        <v>10</v>
      </c>
    </row>
    <row r="96" spans="2:6">
      <c r="B96" s="10" t="s">
        <v>253</v>
      </c>
      <c r="C96" s="10" t="s">
        <v>481</v>
      </c>
      <c r="D96" s="10" t="s">
        <v>19</v>
      </c>
      <c r="E96" s="10" t="s">
        <v>515</v>
      </c>
      <c r="F96" s="10">
        <v>9</v>
      </c>
    </row>
    <row r="97" spans="2:6">
      <c r="B97" s="10" t="s">
        <v>253</v>
      </c>
      <c r="C97" s="10" t="s">
        <v>481</v>
      </c>
      <c r="D97" s="10" t="s">
        <v>19</v>
      </c>
      <c r="E97" s="10" t="s">
        <v>515</v>
      </c>
      <c r="F97" s="10">
        <v>6</v>
      </c>
    </row>
    <row r="98" spans="2:6">
      <c r="B98" s="10" t="s">
        <v>253</v>
      </c>
      <c r="C98" s="10" t="s">
        <v>481</v>
      </c>
      <c r="D98" s="10" t="s">
        <v>19</v>
      </c>
      <c r="E98" s="10" t="s">
        <v>515</v>
      </c>
      <c r="F98" s="10">
        <v>12</v>
      </c>
    </row>
    <row r="99" spans="2:6">
      <c r="B99" s="10" t="s">
        <v>253</v>
      </c>
      <c r="C99" s="10" t="s">
        <v>481</v>
      </c>
      <c r="D99" s="10" t="s">
        <v>32</v>
      </c>
      <c r="E99" s="10" t="s">
        <v>515</v>
      </c>
      <c r="F99" s="10">
        <v>15</v>
      </c>
    </row>
    <row r="100" spans="2:6">
      <c r="B100" s="10" t="s">
        <v>253</v>
      </c>
      <c r="C100" s="10" t="s">
        <v>481</v>
      </c>
      <c r="D100" s="10" t="s">
        <v>32</v>
      </c>
      <c r="E100" s="10" t="s">
        <v>515</v>
      </c>
      <c r="F100" s="10">
        <v>20</v>
      </c>
    </row>
    <row r="101" spans="2:6">
      <c r="B101" s="10" t="s">
        <v>253</v>
      </c>
      <c r="C101" s="10" t="s">
        <v>481</v>
      </c>
      <c r="D101" s="10" t="s">
        <v>32</v>
      </c>
      <c r="E101" s="10" t="s">
        <v>515</v>
      </c>
      <c r="F101" s="10">
        <v>15</v>
      </c>
    </row>
    <row r="102" spans="2:6">
      <c r="B102" s="10" t="s">
        <v>253</v>
      </c>
      <c r="C102" s="10" t="s">
        <v>481</v>
      </c>
      <c r="D102" s="10" t="s">
        <v>32</v>
      </c>
      <c r="E102" s="10" t="s">
        <v>515</v>
      </c>
      <c r="F102" s="10">
        <v>20</v>
      </c>
    </row>
    <row r="103" spans="2:6">
      <c r="B103" s="10" t="s">
        <v>253</v>
      </c>
      <c r="C103" s="10" t="s">
        <v>481</v>
      </c>
      <c r="D103" s="10" t="s">
        <v>32</v>
      </c>
      <c r="E103" s="10" t="s">
        <v>515</v>
      </c>
      <c r="F103" s="10">
        <v>22</v>
      </c>
    </row>
    <row r="104" spans="2:6">
      <c r="B104" s="10" t="s">
        <v>253</v>
      </c>
      <c r="C104" s="10" t="s">
        <v>481</v>
      </c>
      <c r="D104" s="10" t="s">
        <v>57</v>
      </c>
      <c r="E104" s="10" t="s">
        <v>516</v>
      </c>
      <c r="F104" s="10">
        <v>15</v>
      </c>
    </row>
    <row r="105" spans="2:6">
      <c r="B105" s="10" t="s">
        <v>253</v>
      </c>
      <c r="C105" s="10" t="s">
        <v>481</v>
      </c>
      <c r="D105" s="10" t="s">
        <v>57</v>
      </c>
      <c r="E105" s="10" t="s">
        <v>516</v>
      </c>
      <c r="F105" s="10">
        <v>16</v>
      </c>
    </row>
    <row r="106" spans="2:6">
      <c r="B106" s="10" t="s">
        <v>253</v>
      </c>
      <c r="C106" s="10" t="s">
        <v>481</v>
      </c>
      <c r="D106" s="10" t="s">
        <v>57</v>
      </c>
      <c r="E106" s="10" t="s">
        <v>516</v>
      </c>
      <c r="F106" s="10">
        <v>10</v>
      </c>
    </row>
    <row r="107" spans="2:6">
      <c r="B107" s="10" t="s">
        <v>253</v>
      </c>
      <c r="C107" s="10" t="s">
        <v>481</v>
      </c>
      <c r="D107" s="10" t="s">
        <v>192</v>
      </c>
      <c r="E107" s="10"/>
      <c r="F107" s="10">
        <v>3</v>
      </c>
    </row>
    <row r="108" spans="2:6">
      <c r="B108" s="10" t="s">
        <v>253</v>
      </c>
      <c r="C108" s="10" t="s">
        <v>481</v>
      </c>
      <c r="D108" s="10" t="s">
        <v>517</v>
      </c>
      <c r="E108" s="10" t="s">
        <v>518</v>
      </c>
      <c r="F108" s="10">
        <v>12</v>
      </c>
    </row>
    <row r="109" spans="2:6">
      <c r="B109" s="10" t="s">
        <v>253</v>
      </c>
      <c r="C109" s="10" t="s">
        <v>481</v>
      </c>
      <c r="D109" s="10" t="s">
        <v>519</v>
      </c>
      <c r="E109" s="10" t="s">
        <v>518</v>
      </c>
      <c r="F109" s="10">
        <v>45</v>
      </c>
    </row>
    <row r="110" spans="2:6">
      <c r="B110" s="10" t="s">
        <v>253</v>
      </c>
      <c r="C110" s="10" t="s">
        <v>481</v>
      </c>
      <c r="D110" s="10" t="s">
        <v>186</v>
      </c>
      <c r="E110" s="10" t="s">
        <v>518</v>
      </c>
      <c r="F110" s="10">
        <v>25</v>
      </c>
    </row>
    <row r="111" spans="2:6">
      <c r="B111" s="10" t="s">
        <v>253</v>
      </c>
      <c r="C111" s="10" t="s">
        <v>481</v>
      </c>
      <c r="D111" s="10" t="s">
        <v>186</v>
      </c>
      <c r="E111" s="10" t="s">
        <v>518</v>
      </c>
      <c r="F111" s="10">
        <v>15</v>
      </c>
    </row>
    <row r="112" spans="2:6">
      <c r="B112" s="10" t="s">
        <v>253</v>
      </c>
      <c r="C112" s="10" t="s">
        <v>481</v>
      </c>
      <c r="D112" s="10" t="s">
        <v>186</v>
      </c>
      <c r="E112" s="10" t="s">
        <v>518</v>
      </c>
      <c r="F112" s="10">
        <v>30</v>
      </c>
    </row>
    <row r="113" spans="2:6">
      <c r="B113" s="10" t="s">
        <v>253</v>
      </c>
      <c r="C113" s="10" t="s">
        <v>481</v>
      </c>
      <c r="D113" s="10" t="s">
        <v>186</v>
      </c>
      <c r="E113" s="10" t="s">
        <v>518</v>
      </c>
      <c r="F113" s="10">
        <v>15</v>
      </c>
    </row>
    <row r="114" spans="2:6">
      <c r="B114" s="10" t="s">
        <v>253</v>
      </c>
      <c r="C114" s="10" t="s">
        <v>481</v>
      </c>
      <c r="D114" s="10" t="s">
        <v>186</v>
      </c>
      <c r="E114" s="10" t="s">
        <v>518</v>
      </c>
      <c r="F114" s="10">
        <v>12</v>
      </c>
    </row>
    <row r="115" spans="2:6">
      <c r="B115" s="10" t="s">
        <v>253</v>
      </c>
      <c r="C115" s="10" t="s">
        <v>481</v>
      </c>
      <c r="D115" s="10" t="s">
        <v>186</v>
      </c>
      <c r="E115" s="10" t="s">
        <v>518</v>
      </c>
      <c r="F115" s="10">
        <v>35</v>
      </c>
    </row>
    <row r="116" spans="2:6">
      <c r="B116" s="10" t="s">
        <v>253</v>
      </c>
      <c r="C116" s="10" t="s">
        <v>481</v>
      </c>
      <c r="D116" s="10" t="s">
        <v>520</v>
      </c>
      <c r="E116" s="10" t="s">
        <v>518</v>
      </c>
      <c r="F116" s="10">
        <v>6</v>
      </c>
    </row>
    <row r="117" spans="2:6">
      <c r="B117" s="10" t="s">
        <v>253</v>
      </c>
      <c r="C117" s="10" t="s">
        <v>481</v>
      </c>
      <c r="D117" s="10" t="s">
        <v>520</v>
      </c>
      <c r="E117" s="10" t="s">
        <v>518</v>
      </c>
      <c r="F117" s="10">
        <v>9</v>
      </c>
    </row>
    <row r="118" spans="2:6">
      <c r="B118" s="10" t="s">
        <v>253</v>
      </c>
      <c r="C118" s="10" t="s">
        <v>481</v>
      </c>
      <c r="D118" s="10" t="s">
        <v>520</v>
      </c>
      <c r="E118" s="10" t="s">
        <v>518</v>
      </c>
      <c r="F118" s="10">
        <v>12</v>
      </c>
    </row>
    <row r="119" spans="2:6">
      <c r="B119" s="10" t="s">
        <v>253</v>
      </c>
      <c r="C119" s="10" t="s">
        <v>481</v>
      </c>
      <c r="D119" s="10" t="s">
        <v>520</v>
      </c>
      <c r="E119" s="10" t="s">
        <v>518</v>
      </c>
      <c r="F119" s="10">
        <v>15</v>
      </c>
    </row>
    <row r="120" spans="2:6">
      <c r="B120" s="10" t="s">
        <v>253</v>
      </c>
      <c r="C120" s="10" t="s">
        <v>481</v>
      </c>
      <c r="D120" s="10" t="s">
        <v>520</v>
      </c>
      <c r="E120" s="10" t="s">
        <v>518</v>
      </c>
      <c r="F120" s="10">
        <v>30</v>
      </c>
    </row>
    <row r="121" spans="2:6">
      <c r="B121" s="10" t="s">
        <v>253</v>
      </c>
      <c r="C121" s="10" t="s">
        <v>481</v>
      </c>
      <c r="D121" s="10" t="s">
        <v>520</v>
      </c>
      <c r="E121" s="10" t="s">
        <v>518</v>
      </c>
      <c r="F121" s="10">
        <v>8</v>
      </c>
    </row>
    <row r="122" spans="2:6">
      <c r="B122" s="10" t="s">
        <v>253</v>
      </c>
      <c r="C122" s="10" t="s">
        <v>481</v>
      </c>
      <c r="D122" s="10" t="s">
        <v>521</v>
      </c>
      <c r="E122" s="10" t="s">
        <v>518</v>
      </c>
      <c r="F122" s="10">
        <v>30</v>
      </c>
    </row>
    <row r="123" spans="2:6">
      <c r="B123" s="10" t="s">
        <v>253</v>
      </c>
      <c r="C123" s="10" t="s">
        <v>481</v>
      </c>
      <c r="D123" s="10" t="s">
        <v>522</v>
      </c>
      <c r="E123" s="10" t="s">
        <v>518</v>
      </c>
      <c r="F123" s="10">
        <v>20</v>
      </c>
    </row>
    <row r="124" spans="2:6">
      <c r="B124" s="10" t="s">
        <v>253</v>
      </c>
      <c r="C124" s="10" t="s">
        <v>481</v>
      </c>
      <c r="D124" s="10" t="s">
        <v>523</v>
      </c>
      <c r="E124" s="10" t="s">
        <v>518</v>
      </c>
      <c r="F124" s="10">
        <v>8</v>
      </c>
    </row>
    <row r="125" spans="2:6">
      <c r="B125" s="10" t="s">
        <v>253</v>
      </c>
      <c r="C125" s="10" t="s">
        <v>481</v>
      </c>
      <c r="D125" s="10" t="s">
        <v>30</v>
      </c>
      <c r="E125" s="10" t="s">
        <v>518</v>
      </c>
      <c r="F125" s="10">
        <v>5</v>
      </c>
    </row>
    <row r="126" spans="2:6">
      <c r="B126" s="10" t="s">
        <v>253</v>
      </c>
      <c r="C126" s="10" t="s">
        <v>481</v>
      </c>
      <c r="D126" s="10" t="s">
        <v>30</v>
      </c>
      <c r="E126" s="10" t="s">
        <v>518</v>
      </c>
      <c r="F126" s="10">
        <v>5</v>
      </c>
    </row>
    <row r="127" spans="2:6">
      <c r="B127" s="10" t="s">
        <v>253</v>
      </c>
      <c r="C127" s="10" t="s">
        <v>481</v>
      </c>
      <c r="D127" s="10" t="s">
        <v>30</v>
      </c>
      <c r="E127" s="10" t="s">
        <v>518</v>
      </c>
      <c r="F127" s="10">
        <v>10</v>
      </c>
    </row>
    <row r="128" spans="2:6">
      <c r="B128" s="10" t="s">
        <v>253</v>
      </c>
      <c r="C128" s="10" t="s">
        <v>481</v>
      </c>
      <c r="D128" s="10" t="s">
        <v>30</v>
      </c>
      <c r="E128" s="10" t="s">
        <v>518</v>
      </c>
      <c r="F128" s="10">
        <v>30</v>
      </c>
    </row>
    <row r="129" spans="2:6">
      <c r="B129" s="10" t="s">
        <v>253</v>
      </c>
      <c r="C129" s="10" t="s">
        <v>481</v>
      </c>
      <c r="D129" s="10" t="s">
        <v>30</v>
      </c>
      <c r="E129" s="10" t="s">
        <v>518</v>
      </c>
      <c r="F129" s="10">
        <v>15</v>
      </c>
    </row>
    <row r="130" spans="2:6">
      <c r="B130" s="10" t="s">
        <v>253</v>
      </c>
      <c r="C130" s="10" t="s">
        <v>481</v>
      </c>
      <c r="D130" s="10" t="s">
        <v>25</v>
      </c>
      <c r="E130" s="10" t="s">
        <v>518</v>
      </c>
      <c r="F130" s="10">
        <v>25</v>
      </c>
    </row>
    <row r="131" spans="2:6">
      <c r="B131" s="10" t="s">
        <v>253</v>
      </c>
      <c r="C131" s="10" t="s">
        <v>481</v>
      </c>
      <c r="D131" s="10" t="s">
        <v>25</v>
      </c>
      <c r="E131" s="10" t="s">
        <v>518</v>
      </c>
      <c r="F131" s="10">
        <v>10</v>
      </c>
    </row>
    <row r="132" spans="2:6">
      <c r="B132" s="10" t="s">
        <v>253</v>
      </c>
      <c r="C132" s="10" t="s">
        <v>481</v>
      </c>
      <c r="D132" s="10" t="s">
        <v>25</v>
      </c>
      <c r="E132" s="10" t="s">
        <v>518</v>
      </c>
      <c r="F132" s="10">
        <v>6</v>
      </c>
    </row>
    <row r="133" spans="2:6">
      <c r="B133" s="10" t="s">
        <v>253</v>
      </c>
      <c r="C133" s="10" t="s">
        <v>481</v>
      </c>
      <c r="D133" s="10" t="s">
        <v>25</v>
      </c>
      <c r="E133" s="10" t="s">
        <v>518</v>
      </c>
      <c r="F133" s="10">
        <v>15</v>
      </c>
    </row>
    <row r="134" spans="2:6">
      <c r="B134" s="10" t="s">
        <v>253</v>
      </c>
      <c r="C134" s="10" t="s">
        <v>481</v>
      </c>
      <c r="D134" s="10" t="s">
        <v>25</v>
      </c>
      <c r="E134" s="10" t="s">
        <v>518</v>
      </c>
      <c r="F134" s="10">
        <v>8</v>
      </c>
    </row>
    <row r="135" spans="2:6">
      <c r="B135" s="10" t="s">
        <v>253</v>
      </c>
      <c r="C135" s="10" t="s">
        <v>481</v>
      </c>
      <c r="D135" s="10" t="s">
        <v>25</v>
      </c>
      <c r="E135" s="10" t="s">
        <v>518</v>
      </c>
      <c r="F135" s="10">
        <v>40</v>
      </c>
    </row>
    <row r="136" spans="2:6">
      <c r="B136" s="10" t="s">
        <v>253</v>
      </c>
      <c r="C136" s="10" t="s">
        <v>481</v>
      </c>
      <c r="D136" s="10" t="s">
        <v>25</v>
      </c>
      <c r="E136" s="10" t="s">
        <v>518</v>
      </c>
      <c r="F136" s="10">
        <v>40</v>
      </c>
    </row>
    <row r="137" spans="2:6">
      <c r="B137" s="10" t="s">
        <v>253</v>
      </c>
      <c r="C137" s="10" t="s">
        <v>481</v>
      </c>
      <c r="D137" s="10" t="s">
        <v>25</v>
      </c>
      <c r="E137" s="10" t="s">
        <v>518</v>
      </c>
      <c r="F137" s="10">
        <v>40</v>
      </c>
    </row>
    <row r="138" spans="2:6">
      <c r="B138" s="10" t="s">
        <v>253</v>
      </c>
      <c r="C138" s="10" t="s">
        <v>481</v>
      </c>
      <c r="D138" s="10" t="s">
        <v>524</v>
      </c>
      <c r="E138" s="10" t="s">
        <v>518</v>
      </c>
      <c r="F138" s="10">
        <v>12</v>
      </c>
    </row>
    <row r="139" spans="2:6">
      <c r="B139" s="10" t="s">
        <v>253</v>
      </c>
      <c r="C139" s="10" t="s">
        <v>481</v>
      </c>
      <c r="D139" s="10" t="s">
        <v>525</v>
      </c>
      <c r="E139" s="10" t="s">
        <v>518</v>
      </c>
      <c r="F139" s="10">
        <v>15</v>
      </c>
    </row>
    <row r="140" spans="2:6">
      <c r="B140" s="10" t="s">
        <v>253</v>
      </c>
      <c r="C140" s="10" t="s">
        <v>481</v>
      </c>
      <c r="D140" s="10" t="s">
        <v>526</v>
      </c>
      <c r="E140" s="10" t="s">
        <v>502</v>
      </c>
      <c r="F140" s="10">
        <v>40</v>
      </c>
    </row>
    <row r="141" spans="2:6">
      <c r="B141" s="10" t="s">
        <v>253</v>
      </c>
      <c r="C141" s="10" t="s">
        <v>481</v>
      </c>
      <c r="D141" s="10" t="s">
        <v>526</v>
      </c>
      <c r="E141" s="10" t="s">
        <v>502</v>
      </c>
      <c r="F141" s="10">
        <v>45</v>
      </c>
    </row>
    <row r="142" spans="2:6">
      <c r="B142" s="10" t="s">
        <v>253</v>
      </c>
      <c r="C142" s="10" t="s">
        <v>481</v>
      </c>
      <c r="D142" s="10" t="s">
        <v>526</v>
      </c>
      <c r="E142" s="10" t="s">
        <v>502</v>
      </c>
      <c r="F142" s="10">
        <v>45</v>
      </c>
    </row>
    <row r="143" spans="2:6">
      <c r="B143" s="10" t="s">
        <v>253</v>
      </c>
      <c r="C143" s="10" t="s">
        <v>481</v>
      </c>
      <c r="D143" s="10" t="s">
        <v>527</v>
      </c>
      <c r="E143" s="10" t="s">
        <v>502</v>
      </c>
      <c r="F143" s="10">
        <v>55</v>
      </c>
    </row>
    <row r="144" spans="2:6">
      <c r="B144" s="10" t="s">
        <v>253</v>
      </c>
      <c r="C144" s="10" t="s">
        <v>481</v>
      </c>
      <c r="D144" s="10" t="s">
        <v>527</v>
      </c>
      <c r="E144" s="10" t="s">
        <v>502</v>
      </c>
      <c r="F144" s="10">
        <v>15</v>
      </c>
    </row>
    <row r="145" spans="2:6">
      <c r="B145" s="10" t="s">
        <v>253</v>
      </c>
      <c r="C145" s="10" t="s">
        <v>481</v>
      </c>
      <c r="D145" s="10" t="s">
        <v>284</v>
      </c>
      <c r="E145" s="10" t="s">
        <v>498</v>
      </c>
      <c r="F145" s="10">
        <v>6</v>
      </c>
    </row>
    <row r="146" spans="2:6">
      <c r="B146" s="10" t="s">
        <v>253</v>
      </c>
      <c r="C146" s="10" t="s">
        <v>481</v>
      </c>
      <c r="D146" s="10" t="s">
        <v>284</v>
      </c>
      <c r="E146" s="10" t="s">
        <v>498</v>
      </c>
      <c r="F146" s="10">
        <v>8</v>
      </c>
    </row>
    <row r="147" spans="2:6">
      <c r="B147" s="10" t="s">
        <v>253</v>
      </c>
      <c r="C147" s="10" t="s">
        <v>481</v>
      </c>
      <c r="D147" s="10" t="s">
        <v>284</v>
      </c>
      <c r="E147" s="10" t="s">
        <v>498</v>
      </c>
      <c r="F147" s="10">
        <v>10</v>
      </c>
    </row>
    <row r="148" spans="2:6">
      <c r="B148" s="10" t="s">
        <v>253</v>
      </c>
      <c r="C148" s="10" t="s">
        <v>481</v>
      </c>
      <c r="D148" s="10" t="s">
        <v>284</v>
      </c>
      <c r="E148" s="10" t="s">
        <v>498</v>
      </c>
      <c r="F148" s="10">
        <v>6</v>
      </c>
    </row>
    <row r="149" spans="2:6">
      <c r="B149" s="10" t="s">
        <v>253</v>
      </c>
      <c r="C149" s="10" t="s">
        <v>481</v>
      </c>
      <c r="D149" s="10" t="s">
        <v>284</v>
      </c>
      <c r="E149" s="10" t="s">
        <v>498</v>
      </c>
      <c r="F149" s="10">
        <v>6</v>
      </c>
    </row>
    <row r="150" spans="2:6">
      <c r="B150" s="10" t="s">
        <v>253</v>
      </c>
      <c r="C150" s="10" t="s">
        <v>481</v>
      </c>
      <c r="D150" s="10" t="s">
        <v>284</v>
      </c>
      <c r="E150" s="10" t="s">
        <v>498</v>
      </c>
      <c r="F150" s="10"/>
    </row>
    <row r="151" spans="2:6">
      <c r="B151" s="10" t="s">
        <v>253</v>
      </c>
      <c r="C151" s="10" t="s">
        <v>481</v>
      </c>
      <c r="D151" s="10" t="s">
        <v>284</v>
      </c>
      <c r="E151" s="10" t="s">
        <v>498</v>
      </c>
      <c r="F151" s="10">
        <v>5</v>
      </c>
    </row>
    <row r="152" spans="2:6">
      <c r="B152" s="10" t="s">
        <v>253</v>
      </c>
      <c r="C152" s="10" t="s">
        <v>481</v>
      </c>
      <c r="D152" s="10" t="s">
        <v>290</v>
      </c>
      <c r="E152" s="10" t="s">
        <v>528</v>
      </c>
      <c r="F152" s="10">
        <v>10</v>
      </c>
    </row>
    <row r="153" spans="2:6">
      <c r="B153" s="10" t="s">
        <v>253</v>
      </c>
      <c r="C153" s="10" t="s">
        <v>481</v>
      </c>
      <c r="D153" s="10" t="s">
        <v>290</v>
      </c>
      <c r="E153" s="10" t="s">
        <v>528</v>
      </c>
      <c r="F153" s="10">
        <v>8</v>
      </c>
    </row>
    <row r="154" spans="2:6">
      <c r="B154" s="10" t="s">
        <v>253</v>
      </c>
      <c r="C154" s="10" t="s">
        <v>481</v>
      </c>
      <c r="D154" s="10" t="s">
        <v>290</v>
      </c>
      <c r="E154" s="10" t="s">
        <v>528</v>
      </c>
      <c r="F154" s="10">
        <v>10</v>
      </c>
    </row>
    <row r="155" spans="2:6">
      <c r="B155" s="10" t="s">
        <v>253</v>
      </c>
      <c r="C155" s="10" t="s">
        <v>481</v>
      </c>
      <c r="D155" s="10" t="s">
        <v>290</v>
      </c>
      <c r="E155" s="10" t="s">
        <v>528</v>
      </c>
      <c r="F155" s="10">
        <v>10</v>
      </c>
    </row>
    <row r="156" spans="2:6">
      <c r="B156" s="10" t="s">
        <v>253</v>
      </c>
      <c r="C156" s="10" t="s">
        <v>481</v>
      </c>
      <c r="D156" s="10" t="s">
        <v>290</v>
      </c>
      <c r="E156" s="10" t="s">
        <v>528</v>
      </c>
      <c r="F156" s="10">
        <v>15</v>
      </c>
    </row>
    <row r="157" spans="2:6">
      <c r="B157" s="10" t="s">
        <v>253</v>
      </c>
      <c r="C157" s="10" t="s">
        <v>481</v>
      </c>
      <c r="D157" s="10" t="s">
        <v>290</v>
      </c>
      <c r="E157" s="10" t="s">
        <v>528</v>
      </c>
      <c r="F157" s="10">
        <v>30</v>
      </c>
    </row>
    <row r="158" spans="2:6">
      <c r="B158" s="10" t="s">
        <v>253</v>
      </c>
      <c r="C158" s="10" t="s">
        <v>481</v>
      </c>
      <c r="D158" s="10" t="s">
        <v>290</v>
      </c>
      <c r="E158" s="10" t="s">
        <v>528</v>
      </c>
      <c r="F158" s="10">
        <v>8</v>
      </c>
    </row>
    <row r="159" spans="2:6">
      <c r="B159" s="10" t="s">
        <v>253</v>
      </c>
      <c r="C159" s="10" t="s">
        <v>481</v>
      </c>
      <c r="D159" s="10" t="s">
        <v>290</v>
      </c>
      <c r="E159" s="10" t="s">
        <v>528</v>
      </c>
      <c r="F159" s="10">
        <v>9</v>
      </c>
    </row>
    <row r="160" spans="2:6">
      <c r="B160" s="10" t="s">
        <v>253</v>
      </c>
      <c r="C160" s="10" t="s">
        <v>481</v>
      </c>
      <c r="D160" s="10" t="s">
        <v>290</v>
      </c>
      <c r="E160" s="10" t="s">
        <v>528</v>
      </c>
      <c r="F160" s="10">
        <v>8</v>
      </c>
    </row>
    <row r="161" spans="2:6">
      <c r="B161" s="10" t="s">
        <v>253</v>
      </c>
      <c r="C161" s="10" t="s">
        <v>481</v>
      </c>
      <c r="D161" s="10" t="s">
        <v>290</v>
      </c>
      <c r="E161" s="10" t="s">
        <v>528</v>
      </c>
      <c r="F161" s="10">
        <v>10</v>
      </c>
    </row>
    <row r="162" spans="2:6">
      <c r="B162" s="10" t="s">
        <v>253</v>
      </c>
      <c r="C162" s="10" t="s">
        <v>481</v>
      </c>
      <c r="D162" s="10" t="s">
        <v>290</v>
      </c>
      <c r="E162" s="10" t="s">
        <v>528</v>
      </c>
      <c r="F162" s="10">
        <v>10</v>
      </c>
    </row>
    <row r="163" spans="2:6">
      <c r="B163" s="10" t="s">
        <v>253</v>
      </c>
      <c r="C163" s="10" t="s">
        <v>481</v>
      </c>
      <c r="D163" s="10" t="s">
        <v>290</v>
      </c>
      <c r="E163" s="10" t="s">
        <v>528</v>
      </c>
      <c r="F163" s="10">
        <v>10</v>
      </c>
    </row>
    <row r="164" spans="2:6">
      <c r="B164" s="10" t="s">
        <v>253</v>
      </c>
      <c r="C164" s="10" t="s">
        <v>481</v>
      </c>
      <c r="D164" s="10" t="s">
        <v>290</v>
      </c>
      <c r="E164" s="10" t="s">
        <v>528</v>
      </c>
      <c r="F164" s="10">
        <v>10</v>
      </c>
    </row>
    <row r="165" spans="2:6">
      <c r="B165" s="10" t="s">
        <v>253</v>
      </c>
      <c r="C165" s="10" t="s">
        <v>481</v>
      </c>
      <c r="D165" s="10" t="s">
        <v>529</v>
      </c>
      <c r="E165" s="10" t="s">
        <v>528</v>
      </c>
      <c r="F165" s="10">
        <v>30</v>
      </c>
    </row>
    <row r="166" spans="2:6">
      <c r="B166" s="10" t="s">
        <v>253</v>
      </c>
      <c r="C166" s="10" t="s">
        <v>481</v>
      </c>
      <c r="D166" s="10" t="s">
        <v>529</v>
      </c>
      <c r="E166" s="10" t="s">
        <v>528</v>
      </c>
      <c r="F166" s="10">
        <v>30</v>
      </c>
    </row>
    <row r="167" spans="2:6">
      <c r="B167" s="10" t="s">
        <v>253</v>
      </c>
      <c r="C167" s="10" t="s">
        <v>481</v>
      </c>
      <c r="D167" s="10" t="s">
        <v>529</v>
      </c>
      <c r="E167" s="10" t="s">
        <v>528</v>
      </c>
      <c r="F167" s="10">
        <v>50</v>
      </c>
    </row>
    <row r="168" spans="2:6">
      <c r="B168" s="10" t="s">
        <v>253</v>
      </c>
      <c r="C168" s="10" t="s">
        <v>481</v>
      </c>
      <c r="D168" s="10" t="s">
        <v>529</v>
      </c>
      <c r="E168" s="10" t="s">
        <v>528</v>
      </c>
      <c r="F168" s="10">
        <v>20</v>
      </c>
    </row>
    <row r="169" spans="2:6">
      <c r="B169" s="10" t="s">
        <v>253</v>
      </c>
      <c r="C169" s="10" t="s">
        <v>481</v>
      </c>
      <c r="D169" s="10" t="s">
        <v>529</v>
      </c>
      <c r="E169" s="10" t="s">
        <v>528</v>
      </c>
      <c r="F169" s="10">
        <v>40</v>
      </c>
    </row>
    <row r="170" spans="2:6">
      <c r="B170" s="10" t="s">
        <v>253</v>
      </c>
      <c r="C170" s="10" t="s">
        <v>481</v>
      </c>
      <c r="D170" s="10" t="s">
        <v>529</v>
      </c>
      <c r="E170" s="10" t="s">
        <v>528</v>
      </c>
      <c r="F170" s="10">
        <v>25</v>
      </c>
    </row>
    <row r="171" spans="2:6">
      <c r="B171" s="10" t="s">
        <v>253</v>
      </c>
      <c r="C171" s="10" t="s">
        <v>481</v>
      </c>
      <c r="D171" s="10" t="s">
        <v>529</v>
      </c>
      <c r="E171" s="10" t="s">
        <v>528</v>
      </c>
      <c r="F171" s="10">
        <v>30</v>
      </c>
    </row>
    <row r="172" spans="2:6">
      <c r="B172" s="10" t="s">
        <v>253</v>
      </c>
      <c r="C172" s="10" t="s">
        <v>481</v>
      </c>
      <c r="D172" s="10" t="s">
        <v>529</v>
      </c>
      <c r="E172" s="10" t="s">
        <v>528</v>
      </c>
      <c r="F172" s="10">
        <v>20</v>
      </c>
    </row>
    <row r="173" spans="2:6">
      <c r="B173" s="10"/>
      <c r="C173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89A39-E1A3-4AD4-A971-8A0AB989E80E}">
  <dimension ref="B2:I76"/>
  <sheetViews>
    <sheetView showGridLines="0" topLeftCell="A52" workbookViewId="0">
      <selection activeCell="F44" sqref="F44"/>
    </sheetView>
  </sheetViews>
  <sheetFormatPr baseColWidth="10" defaultColWidth="11.42578125" defaultRowHeight="15"/>
  <cols>
    <col min="1" max="1" width="11.42578125" style="7"/>
    <col min="2" max="2" width="12.85546875" style="7" bestFit="1" customWidth="1"/>
    <col min="3" max="3" width="14.42578125" style="7" bestFit="1" customWidth="1"/>
    <col min="4" max="4" width="24.42578125" style="7" customWidth="1"/>
    <col min="5" max="5" width="31.28515625" style="7" customWidth="1"/>
    <col min="6" max="7" width="11.42578125" style="7"/>
    <col min="8" max="8" width="28.5703125" style="7" customWidth="1"/>
    <col min="9" max="16384" width="11.42578125" style="7"/>
  </cols>
  <sheetData>
    <row r="2" spans="2:9" ht="15" customHeight="1">
      <c r="B2" s="72" t="s">
        <v>534</v>
      </c>
      <c r="C2" s="72" t="s">
        <v>157</v>
      </c>
      <c r="D2" s="72" t="s">
        <v>0</v>
      </c>
      <c r="E2" s="72" t="s">
        <v>1</v>
      </c>
      <c r="F2" s="72" t="s">
        <v>2</v>
      </c>
      <c r="H2" s="100" t="s">
        <v>535</v>
      </c>
      <c r="I2" s="101"/>
    </row>
    <row r="3" spans="2:9" ht="15" customHeight="1">
      <c r="B3" s="10">
        <v>1</v>
      </c>
      <c r="C3" s="10" t="s">
        <v>481</v>
      </c>
      <c r="D3" s="10" t="s">
        <v>49</v>
      </c>
      <c r="E3" s="10" t="s">
        <v>536</v>
      </c>
      <c r="F3" s="102">
        <v>8.6199999999999992</v>
      </c>
      <c r="H3" s="100" t="s">
        <v>255</v>
      </c>
    </row>
    <row r="4" spans="2:9" ht="15" customHeight="1">
      <c r="B4" s="10">
        <v>2</v>
      </c>
      <c r="C4" s="10" t="s">
        <v>481</v>
      </c>
      <c r="D4" s="10" t="s">
        <v>167</v>
      </c>
      <c r="E4" s="10" t="s">
        <v>166</v>
      </c>
      <c r="F4" s="102">
        <v>8.08</v>
      </c>
      <c r="H4" s="100" t="s">
        <v>229</v>
      </c>
    </row>
    <row r="5" spans="2:9" ht="15" customHeight="1">
      <c r="B5" s="10">
        <v>3</v>
      </c>
      <c r="C5" s="10" t="s">
        <v>481</v>
      </c>
      <c r="D5" s="10" t="s">
        <v>482</v>
      </c>
      <c r="E5" s="10" t="s">
        <v>166</v>
      </c>
      <c r="F5" s="10"/>
      <c r="H5" s="100" t="s">
        <v>167</v>
      </c>
    </row>
    <row r="6" spans="2:9" ht="15" customHeight="1">
      <c r="B6" s="10">
        <v>4</v>
      </c>
      <c r="C6" s="10" t="s">
        <v>481</v>
      </c>
      <c r="D6" s="10" t="s">
        <v>483</v>
      </c>
      <c r="E6" s="10" t="s">
        <v>166</v>
      </c>
      <c r="F6" s="10"/>
      <c r="H6" s="100" t="s">
        <v>537</v>
      </c>
    </row>
    <row r="7" spans="2:9" ht="15" customHeight="1">
      <c r="B7" s="10">
        <v>5</v>
      </c>
      <c r="C7" s="10" t="s">
        <v>172</v>
      </c>
      <c r="D7" s="4" t="s">
        <v>171</v>
      </c>
      <c r="E7" s="10" t="s">
        <v>166</v>
      </c>
      <c r="F7" s="114">
        <v>8</v>
      </c>
      <c r="H7" s="100" t="s">
        <v>538</v>
      </c>
    </row>
    <row r="8" spans="2:9" ht="15" customHeight="1">
      <c r="B8" s="10">
        <v>6</v>
      </c>
      <c r="C8" s="10" t="s">
        <v>172</v>
      </c>
      <c r="D8" s="4" t="s">
        <v>236</v>
      </c>
      <c r="E8" s="10" t="s">
        <v>166</v>
      </c>
      <c r="F8" s="102">
        <v>9.4700000000000006</v>
      </c>
      <c r="H8" s="100" t="s">
        <v>501</v>
      </c>
    </row>
    <row r="9" spans="2:9" ht="15" customHeight="1">
      <c r="B9" s="10">
        <v>7</v>
      </c>
      <c r="C9" s="10" t="s">
        <v>172</v>
      </c>
      <c r="D9" s="4" t="s">
        <v>539</v>
      </c>
      <c r="E9" s="10" t="s">
        <v>166</v>
      </c>
      <c r="F9" s="102">
        <v>5.41</v>
      </c>
      <c r="H9" s="100" t="s">
        <v>540</v>
      </c>
    </row>
    <row r="10" spans="2:9" ht="15" customHeight="1">
      <c r="B10" s="10">
        <v>8</v>
      </c>
      <c r="C10" s="10" t="s">
        <v>481</v>
      </c>
      <c r="D10" s="10" t="s">
        <v>484</v>
      </c>
      <c r="E10" s="10" t="s">
        <v>541</v>
      </c>
      <c r="F10" s="102">
        <v>7.59</v>
      </c>
      <c r="H10" s="100" t="s">
        <v>542</v>
      </c>
    </row>
    <row r="11" spans="2:9" ht="15" customHeight="1">
      <c r="B11" s="10">
        <v>9</v>
      </c>
      <c r="C11" s="10" t="s">
        <v>481</v>
      </c>
      <c r="D11" s="10" t="s">
        <v>486</v>
      </c>
      <c r="E11" s="10" t="s">
        <v>205</v>
      </c>
      <c r="F11" s="10"/>
      <c r="H11" s="100" t="s">
        <v>543</v>
      </c>
    </row>
    <row r="12" spans="2:9" ht="15" customHeight="1">
      <c r="B12" s="10">
        <v>75</v>
      </c>
      <c r="C12" s="10" t="s">
        <v>481</v>
      </c>
      <c r="D12" s="102" t="s">
        <v>544</v>
      </c>
      <c r="E12" s="10" t="s">
        <v>205</v>
      </c>
      <c r="F12" s="102">
        <v>12.51</v>
      </c>
      <c r="H12" s="100" t="s">
        <v>25</v>
      </c>
    </row>
    <row r="13" spans="2:9" ht="15" customHeight="1">
      <c r="B13" s="10">
        <v>10</v>
      </c>
      <c r="C13" s="10" t="s">
        <v>481</v>
      </c>
      <c r="D13" s="4" t="s">
        <v>196</v>
      </c>
      <c r="E13" s="10"/>
      <c r="F13" s="114">
        <v>4.5</v>
      </c>
      <c r="H13" s="100" t="s">
        <v>26</v>
      </c>
    </row>
    <row r="14" spans="2:9" ht="15" customHeight="1">
      <c r="B14" s="10">
        <v>11</v>
      </c>
      <c r="C14" s="10" t="s">
        <v>481</v>
      </c>
      <c r="D14" s="10" t="s">
        <v>488</v>
      </c>
      <c r="E14" s="10" t="s">
        <v>489</v>
      </c>
      <c r="F14" s="10"/>
      <c r="H14" s="100" t="s">
        <v>30</v>
      </c>
    </row>
    <row r="15" spans="2:9" ht="15" customHeight="1">
      <c r="B15" s="10">
        <v>12</v>
      </c>
      <c r="C15" s="10" t="s">
        <v>481</v>
      </c>
      <c r="D15" s="10" t="s">
        <v>490</v>
      </c>
      <c r="E15" s="10" t="s">
        <v>489</v>
      </c>
      <c r="F15" s="10"/>
      <c r="H15" s="100" t="s">
        <v>13</v>
      </c>
    </row>
    <row r="16" spans="2:9" ht="15" customHeight="1">
      <c r="B16" s="10">
        <v>13</v>
      </c>
      <c r="C16" s="10" t="s">
        <v>481</v>
      </c>
      <c r="D16" s="10" t="s">
        <v>491</v>
      </c>
      <c r="E16" s="10" t="s">
        <v>489</v>
      </c>
      <c r="F16" s="10"/>
      <c r="H16" s="100" t="s">
        <v>545</v>
      </c>
    </row>
    <row r="17" spans="2:8" ht="15" customHeight="1">
      <c r="B17" s="10">
        <v>14</v>
      </c>
      <c r="C17" s="10" t="s">
        <v>481</v>
      </c>
      <c r="D17" s="10" t="s">
        <v>13</v>
      </c>
      <c r="E17" s="73" t="str">
        <f>VLOOKUP(D17,[70]Tratamientos!$H:$J,3,0)</f>
        <v>DISOLVENTE DE PARAFINAS Y ASFALTENOS</v>
      </c>
      <c r="F17" s="102">
        <v>6.08</v>
      </c>
      <c r="H17" s="100" t="s">
        <v>49</v>
      </c>
    </row>
    <row r="18" spans="2:8" ht="15" customHeight="1">
      <c r="B18" s="10">
        <v>15</v>
      </c>
      <c r="C18" s="10" t="s">
        <v>481</v>
      </c>
      <c r="D18" s="4" t="s">
        <v>546</v>
      </c>
      <c r="E18" s="10" t="s">
        <v>494</v>
      </c>
      <c r="F18" s="102">
        <v>4.12</v>
      </c>
      <c r="H18" s="100" t="s">
        <v>52</v>
      </c>
    </row>
    <row r="19" spans="2:8" ht="15" customHeight="1">
      <c r="B19" s="10">
        <v>16</v>
      </c>
      <c r="C19" s="10" t="s">
        <v>481</v>
      </c>
      <c r="D19" s="10" t="s">
        <v>493</v>
      </c>
      <c r="E19" s="10" t="s">
        <v>494</v>
      </c>
      <c r="F19" s="102">
        <v>2.93</v>
      </c>
      <c r="H19" s="100" t="s">
        <v>547</v>
      </c>
    </row>
    <row r="20" spans="2:8" ht="15" customHeight="1">
      <c r="B20" s="10">
        <v>17</v>
      </c>
      <c r="C20" s="10" t="s">
        <v>481</v>
      </c>
      <c r="D20" s="10" t="s">
        <v>51</v>
      </c>
      <c r="E20" s="10" t="s">
        <v>494</v>
      </c>
      <c r="F20" s="102">
        <v>1.77</v>
      </c>
      <c r="H20" s="100" t="s">
        <v>44</v>
      </c>
    </row>
    <row r="21" spans="2:8" ht="15" customHeight="1">
      <c r="B21" s="10">
        <v>18</v>
      </c>
      <c r="C21" s="10" t="s">
        <v>481</v>
      </c>
      <c r="D21" s="10" t="s">
        <v>495</v>
      </c>
      <c r="E21" s="10" t="s">
        <v>494</v>
      </c>
      <c r="F21" s="10"/>
      <c r="H21" s="100" t="s">
        <v>548</v>
      </c>
    </row>
    <row r="22" spans="2:8" ht="15" customHeight="1">
      <c r="B22" s="10">
        <v>19</v>
      </c>
      <c r="C22" s="10" t="s">
        <v>481</v>
      </c>
      <c r="D22" s="10" t="s">
        <v>255</v>
      </c>
      <c r="E22" s="10" t="s">
        <v>549</v>
      </c>
      <c r="F22" s="102">
        <v>4.37</v>
      </c>
      <c r="H22" s="100" t="s">
        <v>550</v>
      </c>
    </row>
    <row r="23" spans="2:8" ht="15" customHeight="1">
      <c r="B23" s="10">
        <v>20</v>
      </c>
      <c r="C23" s="10" t="s">
        <v>481</v>
      </c>
      <c r="D23" s="4" t="s">
        <v>257</v>
      </c>
      <c r="E23" s="10" t="s">
        <v>508</v>
      </c>
      <c r="F23" s="102">
        <v>8.7899999999999991</v>
      </c>
      <c r="H23" s="100" t="s">
        <v>19</v>
      </c>
    </row>
    <row r="24" spans="2:8" ht="15" customHeight="1">
      <c r="B24" s="10">
        <v>21</v>
      </c>
      <c r="C24" s="10" t="s">
        <v>481</v>
      </c>
      <c r="D24" s="10" t="s">
        <v>40</v>
      </c>
      <c r="E24" s="10" t="s">
        <v>508</v>
      </c>
      <c r="F24" s="10"/>
      <c r="H24" s="100" t="s">
        <v>32</v>
      </c>
    </row>
    <row r="25" spans="2:8" ht="15" customHeight="1">
      <c r="B25" s="10">
        <v>22</v>
      </c>
      <c r="C25" s="10" t="s">
        <v>481</v>
      </c>
      <c r="D25" s="10" t="s">
        <v>497</v>
      </c>
      <c r="E25" s="10" t="s">
        <v>551</v>
      </c>
      <c r="F25" s="10"/>
      <c r="H25" s="100" t="s">
        <v>552</v>
      </c>
    </row>
    <row r="26" spans="2:8" ht="15" customHeight="1">
      <c r="B26" s="10">
        <v>23</v>
      </c>
      <c r="C26" s="10" t="s">
        <v>481</v>
      </c>
      <c r="D26" s="10" t="s">
        <v>499</v>
      </c>
      <c r="E26" s="10"/>
      <c r="F26" s="10"/>
      <c r="H26" s="100" t="s">
        <v>292</v>
      </c>
    </row>
    <row r="27" spans="2:8" ht="15" customHeight="1">
      <c r="B27" s="10">
        <v>24</v>
      </c>
      <c r="C27" s="10" t="s">
        <v>481</v>
      </c>
      <c r="D27" s="10" t="s">
        <v>511</v>
      </c>
      <c r="E27" s="10"/>
      <c r="F27" s="10"/>
      <c r="H27" s="100" t="s">
        <v>553</v>
      </c>
    </row>
    <row r="28" spans="2:8" ht="15" customHeight="1">
      <c r="B28" s="10">
        <v>25</v>
      </c>
      <c r="C28" s="10" t="s">
        <v>481</v>
      </c>
      <c r="D28" s="10" t="s">
        <v>500</v>
      </c>
      <c r="E28" s="10"/>
      <c r="F28" s="10"/>
      <c r="H28" s="100" t="s">
        <v>554</v>
      </c>
    </row>
    <row r="29" spans="2:8" ht="15" customHeight="1">
      <c r="B29" s="10">
        <v>26</v>
      </c>
      <c r="C29" s="10" t="s">
        <v>481</v>
      </c>
      <c r="D29" s="10" t="s">
        <v>512</v>
      </c>
      <c r="E29" s="10" t="s">
        <v>485</v>
      </c>
      <c r="F29" s="10">
        <v>4.76</v>
      </c>
      <c r="H29" s="100" t="s">
        <v>555</v>
      </c>
    </row>
    <row r="30" spans="2:8" ht="15" customHeight="1">
      <c r="B30" s="10">
        <v>27</v>
      </c>
      <c r="C30" s="10" t="s">
        <v>481</v>
      </c>
      <c r="D30" s="10" t="s">
        <v>43</v>
      </c>
      <c r="E30" s="10" t="s">
        <v>485</v>
      </c>
      <c r="F30" s="102">
        <v>6.19</v>
      </c>
      <c r="H30" s="100" t="s">
        <v>556</v>
      </c>
    </row>
    <row r="31" spans="2:8" ht="15" customHeight="1">
      <c r="B31" s="10">
        <v>28</v>
      </c>
      <c r="C31" s="10" t="s">
        <v>481</v>
      </c>
      <c r="D31" s="4" t="s">
        <v>43</v>
      </c>
      <c r="E31" s="10" t="s">
        <v>557</v>
      </c>
      <c r="F31" s="10"/>
      <c r="H31" s="100" t="s">
        <v>558</v>
      </c>
    </row>
    <row r="32" spans="2:8" ht="15" customHeight="1">
      <c r="B32" s="10">
        <v>74</v>
      </c>
      <c r="C32" s="10" t="s">
        <v>481</v>
      </c>
      <c r="D32" s="102" t="s">
        <v>559</v>
      </c>
      <c r="E32" s="10" t="s">
        <v>549</v>
      </c>
      <c r="F32" s="102">
        <v>6.66</v>
      </c>
    </row>
    <row r="33" spans="2:9" ht="15" customHeight="1">
      <c r="B33" s="10">
        <v>29</v>
      </c>
      <c r="C33" s="10" t="s">
        <v>481</v>
      </c>
      <c r="D33" s="10" t="s">
        <v>44</v>
      </c>
      <c r="E33" s="10" t="s">
        <v>513</v>
      </c>
      <c r="F33" s="102">
        <v>10.11</v>
      </c>
    </row>
    <row r="34" spans="2:9" ht="15" customHeight="1">
      <c r="B34" s="10">
        <v>30</v>
      </c>
      <c r="C34" s="10" t="s">
        <v>481</v>
      </c>
      <c r="D34" s="10" t="s">
        <v>52</v>
      </c>
      <c r="E34" s="10" t="s">
        <v>489</v>
      </c>
      <c r="F34" s="102">
        <v>5.12</v>
      </c>
    </row>
    <row r="35" spans="2:9" ht="15" customHeight="1">
      <c r="B35" s="10">
        <v>31</v>
      </c>
      <c r="C35" s="10" t="s">
        <v>481</v>
      </c>
      <c r="D35" s="4" t="s">
        <v>276</v>
      </c>
      <c r="E35" s="10"/>
      <c r="F35" s="10">
        <v>4.13</v>
      </c>
    </row>
    <row r="36" spans="2:9" ht="15" customHeight="1">
      <c r="B36" s="10">
        <v>32</v>
      </c>
      <c r="C36" s="10" t="s">
        <v>481</v>
      </c>
      <c r="D36" s="4" t="s">
        <v>273</v>
      </c>
      <c r="E36" s="10"/>
      <c r="F36" s="102">
        <v>9.15</v>
      </c>
    </row>
    <row r="37" spans="2:9" ht="15" customHeight="1">
      <c r="B37" s="10">
        <v>33</v>
      </c>
      <c r="C37" s="10" t="s">
        <v>481</v>
      </c>
      <c r="D37" s="10" t="s">
        <v>514</v>
      </c>
      <c r="E37" s="10" t="s">
        <v>205</v>
      </c>
      <c r="F37" s="10"/>
    </row>
    <row r="38" spans="2:9" ht="15" customHeight="1">
      <c r="B38" s="10">
        <v>34</v>
      </c>
      <c r="C38" s="10" t="s">
        <v>481</v>
      </c>
      <c r="D38" s="10" t="s">
        <v>19</v>
      </c>
      <c r="E38" s="10" t="s">
        <v>551</v>
      </c>
      <c r="F38" s="102">
        <v>6.67</v>
      </c>
    </row>
    <row r="39" spans="2:9" ht="15" customHeight="1">
      <c r="B39" s="10">
        <v>35</v>
      </c>
      <c r="C39" s="10" t="s">
        <v>481</v>
      </c>
      <c r="D39" s="10" t="s">
        <v>281</v>
      </c>
      <c r="E39" s="10"/>
      <c r="F39" s="10">
        <v>5.13</v>
      </c>
    </row>
    <row r="40" spans="2:9" ht="15" customHeight="1">
      <c r="B40" s="10">
        <v>36</v>
      </c>
      <c r="C40" s="10" t="s">
        <v>481</v>
      </c>
      <c r="D40" s="10" t="s">
        <v>32</v>
      </c>
      <c r="E40" s="10" t="s">
        <v>205</v>
      </c>
      <c r="F40" s="102">
        <v>7.84</v>
      </c>
    </row>
    <row r="41" spans="2:9" ht="15" customHeight="1">
      <c r="B41" s="10">
        <v>37</v>
      </c>
      <c r="C41" s="10" t="s">
        <v>481</v>
      </c>
      <c r="D41" s="10" t="s">
        <v>57</v>
      </c>
      <c r="E41" s="10" t="s">
        <v>560</v>
      </c>
      <c r="F41" s="114">
        <v>10</v>
      </c>
    </row>
    <row r="42" spans="2:9" ht="15" customHeight="1">
      <c r="B42" s="10">
        <v>38</v>
      </c>
      <c r="C42" s="10" t="s">
        <v>481</v>
      </c>
      <c r="D42" s="4" t="s">
        <v>292</v>
      </c>
      <c r="E42" s="10" t="s">
        <v>560</v>
      </c>
      <c r="F42" s="102">
        <v>11.22</v>
      </c>
    </row>
    <row r="43" spans="2:9" ht="15" customHeight="1">
      <c r="B43" s="10">
        <v>39</v>
      </c>
      <c r="C43" s="10" t="s">
        <v>481</v>
      </c>
      <c r="D43" s="10" t="s">
        <v>192</v>
      </c>
      <c r="E43" s="10"/>
      <c r="F43" s="114">
        <v>4.5</v>
      </c>
    </row>
    <row r="44" spans="2:9" ht="15" customHeight="1">
      <c r="B44" s="10">
        <v>40</v>
      </c>
      <c r="C44" s="10" t="s">
        <v>481</v>
      </c>
      <c r="D44" s="10" t="s">
        <v>517</v>
      </c>
      <c r="E44" s="10" t="s">
        <v>541</v>
      </c>
      <c r="F44" s="10">
        <v>5.7</v>
      </c>
    </row>
    <row r="45" spans="2:9" ht="15" customHeight="1">
      <c r="B45" s="10">
        <v>41</v>
      </c>
      <c r="C45" s="10" t="s">
        <v>481</v>
      </c>
      <c r="D45" s="10" t="s">
        <v>519</v>
      </c>
      <c r="E45" s="10" t="s">
        <v>541</v>
      </c>
      <c r="F45" s="114">
        <v>4.71</v>
      </c>
    </row>
    <row r="46" spans="2:9" ht="15" customHeight="1">
      <c r="B46" s="10">
        <v>42</v>
      </c>
      <c r="C46" s="10" t="s">
        <v>481</v>
      </c>
      <c r="D46" s="114" t="s">
        <v>186</v>
      </c>
      <c r="E46" s="10" t="s">
        <v>541</v>
      </c>
      <c r="F46" s="102">
        <v>4.71</v>
      </c>
      <c r="H46" s="100" t="s">
        <v>561</v>
      </c>
    </row>
    <row r="47" spans="2:9" ht="15" customHeight="1">
      <c r="B47" s="10">
        <v>43</v>
      </c>
      <c r="C47" s="10" t="s">
        <v>481</v>
      </c>
      <c r="D47" s="114" t="s">
        <v>520</v>
      </c>
      <c r="E47" s="10" t="s">
        <v>541</v>
      </c>
      <c r="F47" s="102">
        <v>5.49</v>
      </c>
      <c r="H47" s="100"/>
      <c r="I47" s="100"/>
    </row>
    <row r="48" spans="2:9" ht="15" customHeight="1">
      <c r="B48" s="10">
        <v>44</v>
      </c>
      <c r="C48" s="10" t="s">
        <v>481</v>
      </c>
      <c r="D48" s="115" t="s">
        <v>562</v>
      </c>
      <c r="E48" s="10" t="s">
        <v>541</v>
      </c>
      <c r="F48" s="102">
        <v>7.58</v>
      </c>
      <c r="H48" s="100"/>
      <c r="I48" s="100"/>
    </row>
    <row r="49" spans="2:9" ht="15" customHeight="1">
      <c r="B49" s="10">
        <v>45</v>
      </c>
      <c r="C49" s="10" t="s">
        <v>481</v>
      </c>
      <c r="D49" s="115" t="s">
        <v>563</v>
      </c>
      <c r="E49" s="10" t="s">
        <v>541</v>
      </c>
      <c r="F49" s="10">
        <v>3.5</v>
      </c>
      <c r="H49" s="100"/>
      <c r="I49" s="100"/>
    </row>
    <row r="50" spans="2:9" ht="15" customHeight="1">
      <c r="B50" s="10">
        <v>46</v>
      </c>
      <c r="C50" s="10" t="s">
        <v>481</v>
      </c>
      <c r="D50" s="10" t="s">
        <v>521</v>
      </c>
      <c r="E50" s="10" t="s">
        <v>541</v>
      </c>
      <c r="F50" s="114">
        <v>5.5</v>
      </c>
      <c r="H50" s="100"/>
      <c r="I50" s="100"/>
    </row>
    <row r="51" spans="2:9" ht="15" customHeight="1">
      <c r="B51" s="10">
        <v>47</v>
      </c>
      <c r="C51" s="10" t="s">
        <v>481</v>
      </c>
      <c r="D51" s="10" t="s">
        <v>522</v>
      </c>
      <c r="E51" s="10" t="s">
        <v>541</v>
      </c>
      <c r="F51" s="10">
        <v>5.7</v>
      </c>
      <c r="H51" s="100"/>
      <c r="I51" s="100"/>
    </row>
    <row r="52" spans="2:9" ht="15" customHeight="1">
      <c r="B52" s="10">
        <v>48</v>
      </c>
      <c r="C52" s="10" t="s">
        <v>481</v>
      </c>
      <c r="D52" s="10" t="s">
        <v>523</v>
      </c>
      <c r="E52" s="10" t="s">
        <v>541</v>
      </c>
      <c r="F52" s="114">
        <v>4.5</v>
      </c>
      <c r="H52" s="100"/>
      <c r="I52" s="100"/>
    </row>
    <row r="53" spans="2:9" ht="15" customHeight="1">
      <c r="B53" s="10">
        <v>52</v>
      </c>
      <c r="C53" s="10" t="s">
        <v>481</v>
      </c>
      <c r="D53" s="4" t="s">
        <v>564</v>
      </c>
      <c r="E53" s="10" t="s">
        <v>528</v>
      </c>
      <c r="F53" s="102">
        <v>6.45</v>
      </c>
    </row>
    <row r="54" spans="2:9" ht="15" customHeight="1">
      <c r="B54" s="10">
        <v>53</v>
      </c>
      <c r="C54" s="10" t="s">
        <v>481</v>
      </c>
      <c r="D54" s="4" t="s">
        <v>565</v>
      </c>
      <c r="E54" s="10" t="s">
        <v>528</v>
      </c>
      <c r="F54" s="102">
        <v>6.02</v>
      </c>
    </row>
    <row r="55" spans="2:9" ht="15" customHeight="1">
      <c r="B55" s="10">
        <v>54</v>
      </c>
      <c r="C55" s="10" t="s">
        <v>481</v>
      </c>
      <c r="D55" s="10" t="s">
        <v>501</v>
      </c>
      <c r="E55" s="10" t="s">
        <v>494</v>
      </c>
      <c r="F55" s="102">
        <v>14.56</v>
      </c>
    </row>
    <row r="56" spans="2:9" ht="15" customHeight="1">
      <c r="B56" s="10">
        <v>55</v>
      </c>
      <c r="C56" s="10" t="s">
        <v>172</v>
      </c>
      <c r="D56" s="4" t="s">
        <v>203</v>
      </c>
      <c r="E56" s="10" t="s">
        <v>494</v>
      </c>
      <c r="F56" s="102">
        <v>2.97</v>
      </c>
    </row>
    <row r="57" spans="2:9" ht="15" customHeight="1">
      <c r="B57" s="10">
        <v>73</v>
      </c>
      <c r="C57" s="10" t="s">
        <v>172</v>
      </c>
      <c r="D57" s="10" t="s">
        <v>566</v>
      </c>
      <c r="E57" s="10" t="s">
        <v>205</v>
      </c>
      <c r="F57" s="10">
        <v>4.9400000000000004</v>
      </c>
    </row>
    <row r="58" spans="2:9" ht="15" customHeight="1">
      <c r="B58" s="10">
        <v>56</v>
      </c>
      <c r="C58" s="10" t="s">
        <v>172</v>
      </c>
      <c r="D58" s="4" t="s">
        <v>250</v>
      </c>
      <c r="E58" s="10" t="s">
        <v>205</v>
      </c>
      <c r="F58" s="10">
        <v>5.58</v>
      </c>
    </row>
    <row r="59" spans="2:9" ht="15" customHeight="1">
      <c r="B59" s="10">
        <v>57</v>
      </c>
      <c r="C59" s="10" t="s">
        <v>481</v>
      </c>
      <c r="D59" s="10" t="s">
        <v>526</v>
      </c>
      <c r="E59" s="10" t="s">
        <v>502</v>
      </c>
      <c r="F59" s="10">
        <f>+F60</f>
        <v>2.64</v>
      </c>
    </row>
    <row r="60" spans="2:9" ht="15" customHeight="1">
      <c r="B60" s="10">
        <v>58</v>
      </c>
      <c r="C60" s="10" t="s">
        <v>481</v>
      </c>
      <c r="D60" s="10" t="s">
        <v>229</v>
      </c>
      <c r="E60" s="10" t="s">
        <v>502</v>
      </c>
      <c r="F60" s="102">
        <v>2.64</v>
      </c>
      <c r="G60" s="100"/>
    </row>
    <row r="61" spans="2:9" ht="15" customHeight="1">
      <c r="B61" s="10">
        <v>59</v>
      </c>
      <c r="C61" s="10" t="s">
        <v>481</v>
      </c>
      <c r="D61" s="4" t="s">
        <v>294</v>
      </c>
      <c r="E61" s="10" t="s">
        <v>205</v>
      </c>
      <c r="F61" s="102">
        <v>2.65</v>
      </c>
      <c r="G61" s="100"/>
    </row>
    <row r="62" spans="2:9" ht="15" customHeight="1">
      <c r="B62" s="10">
        <v>60</v>
      </c>
      <c r="C62" s="10" t="s">
        <v>481</v>
      </c>
      <c r="D62" s="10" t="s">
        <v>284</v>
      </c>
      <c r="E62" s="73" t="s">
        <v>205</v>
      </c>
      <c r="F62" s="102">
        <v>3.13</v>
      </c>
    </row>
    <row r="63" spans="2:9" ht="15" customHeight="1">
      <c r="B63" s="10">
        <v>62</v>
      </c>
      <c r="C63" s="10" t="s">
        <v>172</v>
      </c>
      <c r="D63" s="4" t="s">
        <v>567</v>
      </c>
      <c r="E63" s="10" t="s">
        <v>568</v>
      </c>
      <c r="F63" s="10">
        <v>4.78</v>
      </c>
    </row>
    <row r="64" spans="2:9" ht="15" customHeight="1">
      <c r="B64" s="10">
        <v>61</v>
      </c>
      <c r="C64" s="10" t="s">
        <v>172</v>
      </c>
      <c r="D64" s="4" t="s">
        <v>211</v>
      </c>
      <c r="E64" s="10" t="s">
        <v>568</v>
      </c>
      <c r="F64" s="114">
        <v>4.5</v>
      </c>
    </row>
    <row r="65" spans="2:6" ht="15" customHeight="1">
      <c r="B65" s="10">
        <v>63</v>
      </c>
      <c r="C65" s="10" t="s">
        <v>481</v>
      </c>
      <c r="D65" s="10" t="s">
        <v>503</v>
      </c>
      <c r="E65" s="10" t="s">
        <v>569</v>
      </c>
      <c r="F65" s="10"/>
    </row>
    <row r="66" spans="2:6" ht="15" customHeight="1">
      <c r="B66" s="10">
        <v>64</v>
      </c>
      <c r="C66" s="10" t="s">
        <v>481</v>
      </c>
      <c r="D66" s="4" t="s">
        <v>232</v>
      </c>
      <c r="E66" s="10" t="s">
        <v>510</v>
      </c>
      <c r="F66" s="114">
        <v>4.5</v>
      </c>
    </row>
    <row r="67" spans="2:6" ht="15" customHeight="1">
      <c r="B67" s="10">
        <v>72</v>
      </c>
      <c r="C67" s="10" t="s">
        <v>172</v>
      </c>
      <c r="D67" s="10" t="s">
        <v>570</v>
      </c>
      <c r="E67" s="10" t="s">
        <v>541</v>
      </c>
      <c r="F67" s="10">
        <v>6.15</v>
      </c>
    </row>
    <row r="68" spans="2:6" ht="15" customHeight="1">
      <c r="B68" s="10">
        <v>65</v>
      </c>
      <c r="C68" s="10" t="s">
        <v>172</v>
      </c>
      <c r="D68" s="4" t="s">
        <v>181</v>
      </c>
      <c r="E68" s="10" t="s">
        <v>541</v>
      </c>
      <c r="F68" s="114">
        <v>5.5</v>
      </c>
    </row>
    <row r="69" spans="2:6" ht="15" customHeight="1">
      <c r="B69" s="10">
        <v>66</v>
      </c>
      <c r="C69" s="10" t="s">
        <v>172</v>
      </c>
      <c r="D69" s="4" t="s">
        <v>176</v>
      </c>
      <c r="E69" s="10" t="s">
        <v>485</v>
      </c>
      <c r="F69" s="114">
        <v>4.5</v>
      </c>
    </row>
    <row r="70" spans="2:6" ht="15" customHeight="1">
      <c r="B70" s="10">
        <v>67</v>
      </c>
      <c r="C70" s="10" t="s">
        <v>172</v>
      </c>
      <c r="D70" s="4" t="s">
        <v>240</v>
      </c>
      <c r="E70" s="10" t="s">
        <v>541</v>
      </c>
      <c r="F70" s="10">
        <v>6.46</v>
      </c>
    </row>
    <row r="71" spans="2:6" ht="15" customHeight="1">
      <c r="B71" s="10">
        <v>68</v>
      </c>
      <c r="C71" s="10" t="s">
        <v>172</v>
      </c>
      <c r="D71" s="4" t="s">
        <v>207</v>
      </c>
      <c r="E71" s="10" t="s">
        <v>205</v>
      </c>
      <c r="F71" s="10">
        <v>5.31</v>
      </c>
    </row>
    <row r="72" spans="2:6" ht="15" customHeight="1">
      <c r="B72" s="10">
        <v>69</v>
      </c>
      <c r="C72" s="10" t="s">
        <v>481</v>
      </c>
      <c r="D72" s="10" t="s">
        <v>505</v>
      </c>
      <c r="E72" s="10" t="s">
        <v>494</v>
      </c>
      <c r="F72" s="114">
        <v>3.5</v>
      </c>
    </row>
    <row r="73" spans="2:6" ht="15" customHeight="1">
      <c r="B73" s="10">
        <v>70</v>
      </c>
      <c r="C73" s="10" t="s">
        <v>481</v>
      </c>
      <c r="D73" s="10" t="s">
        <v>506</v>
      </c>
      <c r="E73" s="10" t="s">
        <v>571</v>
      </c>
      <c r="F73" s="114">
        <v>4</v>
      </c>
    </row>
    <row r="74" spans="2:6" ht="15" customHeight="1">
      <c r="B74" s="10">
        <v>71</v>
      </c>
      <c r="C74" s="10" t="s">
        <v>481</v>
      </c>
      <c r="D74" s="10" t="s">
        <v>290</v>
      </c>
      <c r="E74" s="10" t="s">
        <v>528</v>
      </c>
      <c r="F74" s="102">
        <v>5.76</v>
      </c>
    </row>
    <row r="75" spans="2:6" ht="15" customHeight="1">
      <c r="B75" s="10"/>
      <c r="C75" s="10"/>
      <c r="D75" s="10" t="s">
        <v>259</v>
      </c>
      <c r="E75" s="10"/>
      <c r="F75" s="10">
        <v>5.44</v>
      </c>
    </row>
    <row r="76" spans="2:6" ht="15" customHeight="1">
      <c r="B76" s="10"/>
      <c r="C76" s="10"/>
      <c r="D76" s="10"/>
      <c r="E76" s="10"/>
      <c r="F76" s="102"/>
    </row>
  </sheetData>
  <autoFilter ref="B2:F76" xr:uid="{8D989A39-E1A3-4AD4-A971-8A0AB989E80E}">
    <sortState xmlns:xlrd2="http://schemas.microsoft.com/office/spreadsheetml/2017/richdata2" ref="B3:F76">
      <sortCondition ref="D2:D76"/>
    </sortState>
  </autoFilter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3CF46-08F9-4649-88DF-E7D7348EC133}">
  <sheetPr filterMode="1"/>
  <dimension ref="B1:R285"/>
  <sheetViews>
    <sheetView showGridLines="0" topLeftCell="A70" workbookViewId="0">
      <selection activeCell="G115" sqref="G115"/>
    </sheetView>
  </sheetViews>
  <sheetFormatPr baseColWidth="10" defaultColWidth="11.42578125" defaultRowHeight="15"/>
  <sheetData>
    <row r="1" spans="2:17" ht="15" customHeight="1"/>
    <row r="2" spans="2:17" ht="45">
      <c r="B2" s="93" t="s">
        <v>572</v>
      </c>
      <c r="C2" s="93" t="s">
        <v>573</v>
      </c>
      <c r="D2" s="93" t="s">
        <v>574</v>
      </c>
      <c r="E2" s="93" t="s">
        <v>575</v>
      </c>
      <c r="F2" s="93" t="s">
        <v>576</v>
      </c>
      <c r="G2" s="93" t="s">
        <v>577</v>
      </c>
      <c r="H2" s="93" t="s">
        <v>578</v>
      </c>
      <c r="I2" s="93" t="s">
        <v>579</v>
      </c>
      <c r="J2" s="93" t="s">
        <v>2</v>
      </c>
      <c r="K2" s="93" t="s">
        <v>580</v>
      </c>
      <c r="L2" s="93" t="s">
        <v>139</v>
      </c>
      <c r="M2" s="93" t="s">
        <v>581</v>
      </c>
      <c r="N2" s="93" t="s">
        <v>582</v>
      </c>
      <c r="O2" s="93" t="s">
        <v>583</v>
      </c>
      <c r="P2" s="93" t="s">
        <v>584</v>
      </c>
      <c r="Q2" s="136"/>
    </row>
    <row r="3" spans="2:17" hidden="1">
      <c r="B3" s="94" t="s">
        <v>585</v>
      </c>
      <c r="C3" s="94">
        <v>976</v>
      </c>
      <c r="D3" s="94" t="s">
        <v>586</v>
      </c>
      <c r="E3" s="94">
        <v>20</v>
      </c>
      <c r="F3" s="94">
        <v>70</v>
      </c>
      <c r="G3" s="94" t="s">
        <v>587</v>
      </c>
      <c r="H3" s="94">
        <v>40001411</v>
      </c>
      <c r="I3" s="94" t="s">
        <v>233</v>
      </c>
      <c r="J3" s="94">
        <v>818</v>
      </c>
      <c r="K3" s="94" t="s">
        <v>587</v>
      </c>
      <c r="L3" s="94">
        <v>1</v>
      </c>
      <c r="M3" s="94" t="s">
        <v>588</v>
      </c>
      <c r="N3" s="94" t="s">
        <v>589</v>
      </c>
      <c r="O3" s="94" t="s">
        <v>590</v>
      </c>
      <c r="P3" s="94">
        <f>+IF(M3="tam",J3/200,J3)</f>
        <v>4.09</v>
      </c>
    </row>
    <row r="4" spans="2:17">
      <c r="B4" s="94" t="s">
        <v>585</v>
      </c>
      <c r="C4" s="94">
        <v>976</v>
      </c>
      <c r="D4" s="94" t="s">
        <v>586</v>
      </c>
      <c r="E4" s="94">
        <v>20</v>
      </c>
      <c r="F4" s="94">
        <v>70</v>
      </c>
      <c r="G4" s="94" t="s">
        <v>587</v>
      </c>
      <c r="H4" s="94">
        <v>40001411</v>
      </c>
      <c r="I4" s="94" t="s">
        <v>591</v>
      </c>
      <c r="J4" s="94">
        <v>4.09</v>
      </c>
      <c r="K4" s="94" t="s">
        <v>587</v>
      </c>
      <c r="L4" s="94">
        <v>1</v>
      </c>
      <c r="M4" s="94" t="s">
        <v>592</v>
      </c>
      <c r="N4" s="94" t="s">
        <v>589</v>
      </c>
      <c r="O4" s="94" t="s">
        <v>590</v>
      </c>
      <c r="P4" s="94">
        <f t="shared" ref="P4:P67" si="0">+IF(M4="tam",J4/200,J4)</f>
        <v>4.09</v>
      </c>
    </row>
    <row r="5" spans="2:17" hidden="1">
      <c r="B5" s="94" t="s">
        <v>585</v>
      </c>
      <c r="C5" s="94">
        <v>976</v>
      </c>
      <c r="D5" s="94" t="s">
        <v>586</v>
      </c>
      <c r="E5" s="94">
        <v>20</v>
      </c>
      <c r="F5" s="94">
        <v>70</v>
      </c>
      <c r="G5" s="94" t="s">
        <v>587</v>
      </c>
      <c r="H5" s="94">
        <v>40001411</v>
      </c>
      <c r="I5" s="94" t="s">
        <v>593</v>
      </c>
      <c r="J5" s="94">
        <v>796</v>
      </c>
      <c r="K5" s="94" t="s">
        <v>587</v>
      </c>
      <c r="L5" s="94">
        <v>1</v>
      </c>
      <c r="M5" s="94" t="s">
        <v>588</v>
      </c>
      <c r="N5" s="94" t="s">
        <v>589</v>
      </c>
      <c r="O5" s="94" t="s">
        <v>590</v>
      </c>
      <c r="P5" s="94">
        <f t="shared" si="0"/>
        <v>3.98</v>
      </c>
    </row>
    <row r="6" spans="2:17">
      <c r="B6" s="94" t="s">
        <v>585</v>
      </c>
      <c r="C6" s="94">
        <v>976</v>
      </c>
      <c r="D6" s="94" t="s">
        <v>586</v>
      </c>
      <c r="E6" s="94">
        <v>20</v>
      </c>
      <c r="F6" s="94">
        <v>70</v>
      </c>
      <c r="G6" s="94" t="s">
        <v>587</v>
      </c>
      <c r="H6" s="94">
        <v>40001411</v>
      </c>
      <c r="I6" s="94" t="s">
        <v>594</v>
      </c>
      <c r="J6" s="94">
        <v>3.98</v>
      </c>
      <c r="K6" s="94" t="s">
        <v>587</v>
      </c>
      <c r="L6" s="94">
        <v>1</v>
      </c>
      <c r="M6" s="94" t="s">
        <v>592</v>
      </c>
      <c r="N6" s="94" t="s">
        <v>589</v>
      </c>
      <c r="O6" s="94" t="s">
        <v>590</v>
      </c>
      <c r="P6" s="94">
        <f t="shared" si="0"/>
        <v>3.98</v>
      </c>
    </row>
    <row r="7" spans="2:17" hidden="1">
      <c r="B7" s="94" t="s">
        <v>585</v>
      </c>
      <c r="C7" s="94">
        <v>976</v>
      </c>
      <c r="D7" s="94" t="s">
        <v>586</v>
      </c>
      <c r="E7" s="94">
        <v>20</v>
      </c>
      <c r="F7" s="94">
        <v>70</v>
      </c>
      <c r="G7" s="94" t="s">
        <v>587</v>
      </c>
      <c r="H7" s="94">
        <v>40001411</v>
      </c>
      <c r="I7" s="94" t="s">
        <v>595</v>
      </c>
      <c r="J7" s="94">
        <v>968</v>
      </c>
      <c r="K7" s="94" t="s">
        <v>587</v>
      </c>
      <c r="L7" s="94">
        <v>1</v>
      </c>
      <c r="M7" s="94" t="s">
        <v>588</v>
      </c>
      <c r="N7" s="94" t="s">
        <v>589</v>
      </c>
      <c r="O7" s="94" t="s">
        <v>590</v>
      </c>
      <c r="P7" s="94">
        <f t="shared" si="0"/>
        <v>4.84</v>
      </c>
    </row>
    <row r="8" spans="2:17">
      <c r="B8" s="94" t="s">
        <v>585</v>
      </c>
      <c r="C8" s="94">
        <v>976</v>
      </c>
      <c r="D8" s="94" t="s">
        <v>586</v>
      </c>
      <c r="E8" s="94">
        <v>20</v>
      </c>
      <c r="F8" s="94">
        <v>70</v>
      </c>
      <c r="G8" s="94" t="s">
        <v>587</v>
      </c>
      <c r="H8" s="94">
        <v>40001411</v>
      </c>
      <c r="I8" s="94" t="s">
        <v>596</v>
      </c>
      <c r="J8" s="94">
        <v>4.84</v>
      </c>
      <c r="K8" s="94" t="s">
        <v>587</v>
      </c>
      <c r="L8" s="94">
        <v>1</v>
      </c>
      <c r="M8" s="94" t="s">
        <v>592</v>
      </c>
      <c r="N8" s="94" t="s">
        <v>589</v>
      </c>
      <c r="O8" s="94" t="s">
        <v>590</v>
      </c>
      <c r="P8" s="94">
        <f t="shared" si="0"/>
        <v>4.84</v>
      </c>
    </row>
    <row r="9" spans="2:17" hidden="1">
      <c r="B9" s="94" t="s">
        <v>585</v>
      </c>
      <c r="C9" s="94">
        <v>976</v>
      </c>
      <c r="D9" s="94" t="s">
        <v>586</v>
      </c>
      <c r="E9" s="94">
        <v>20</v>
      </c>
      <c r="F9" s="94">
        <v>70</v>
      </c>
      <c r="G9" s="94" t="s">
        <v>587</v>
      </c>
      <c r="H9" s="94">
        <v>40001411</v>
      </c>
      <c r="I9" s="94" t="s">
        <v>597</v>
      </c>
      <c r="J9" s="94">
        <v>932</v>
      </c>
      <c r="K9" s="94" t="s">
        <v>587</v>
      </c>
      <c r="L9" s="94">
        <v>1</v>
      </c>
      <c r="M9" s="94" t="s">
        <v>588</v>
      </c>
      <c r="N9" s="94" t="s">
        <v>589</v>
      </c>
      <c r="O9" s="94" t="s">
        <v>590</v>
      </c>
      <c r="P9" s="94">
        <f t="shared" si="0"/>
        <v>4.66</v>
      </c>
    </row>
    <row r="10" spans="2:17">
      <c r="B10" s="94" t="s">
        <v>585</v>
      </c>
      <c r="C10" s="94">
        <v>976</v>
      </c>
      <c r="D10" s="94" t="s">
        <v>586</v>
      </c>
      <c r="E10" s="94">
        <v>20</v>
      </c>
      <c r="F10" s="94">
        <v>70</v>
      </c>
      <c r="G10" s="94" t="s">
        <v>587</v>
      </c>
      <c r="H10" s="94">
        <v>40001411</v>
      </c>
      <c r="I10" s="94" t="s">
        <v>598</v>
      </c>
      <c r="J10" s="94">
        <v>4.66</v>
      </c>
      <c r="K10" s="94" t="s">
        <v>587</v>
      </c>
      <c r="L10" s="94">
        <v>1</v>
      </c>
      <c r="M10" s="94" t="s">
        <v>592</v>
      </c>
      <c r="N10" s="94" t="s">
        <v>589</v>
      </c>
      <c r="O10" s="94" t="s">
        <v>590</v>
      </c>
      <c r="P10" s="94">
        <f t="shared" si="0"/>
        <v>4.66</v>
      </c>
    </row>
    <row r="11" spans="2:17" hidden="1">
      <c r="B11" s="94" t="s">
        <v>585</v>
      </c>
      <c r="C11" s="94">
        <v>976</v>
      </c>
      <c r="D11" s="94" t="s">
        <v>586</v>
      </c>
      <c r="E11" s="94">
        <v>20</v>
      </c>
      <c r="F11" s="94">
        <v>70</v>
      </c>
      <c r="G11" s="94" t="s">
        <v>587</v>
      </c>
      <c r="H11" s="94">
        <v>40001411</v>
      </c>
      <c r="I11" s="94" t="s">
        <v>599</v>
      </c>
      <c r="J11" s="94">
        <v>764</v>
      </c>
      <c r="K11" s="94" t="s">
        <v>587</v>
      </c>
      <c r="L11" s="94">
        <v>1</v>
      </c>
      <c r="M11" s="94" t="s">
        <v>588</v>
      </c>
      <c r="N11" s="94" t="s">
        <v>589</v>
      </c>
      <c r="O11" s="94" t="s">
        <v>590</v>
      </c>
      <c r="P11" s="94">
        <f t="shared" si="0"/>
        <v>3.82</v>
      </c>
    </row>
    <row r="12" spans="2:17">
      <c r="B12" s="94" t="s">
        <v>585</v>
      </c>
      <c r="C12" s="94">
        <v>976</v>
      </c>
      <c r="D12" s="94" t="s">
        <v>586</v>
      </c>
      <c r="E12" s="94">
        <v>20</v>
      </c>
      <c r="F12" s="94">
        <v>70</v>
      </c>
      <c r="G12" s="94" t="s">
        <v>587</v>
      </c>
      <c r="H12" s="94">
        <v>40001411</v>
      </c>
      <c r="I12" s="94" t="s">
        <v>600</v>
      </c>
      <c r="J12" s="94">
        <v>3.82</v>
      </c>
      <c r="K12" s="94" t="s">
        <v>587</v>
      </c>
      <c r="L12" s="94">
        <v>1</v>
      </c>
      <c r="M12" s="94" t="s">
        <v>592</v>
      </c>
      <c r="N12" s="94" t="s">
        <v>589</v>
      </c>
      <c r="O12" s="94" t="s">
        <v>590</v>
      </c>
      <c r="P12" s="94">
        <f t="shared" si="0"/>
        <v>3.82</v>
      </c>
    </row>
    <row r="13" spans="2:17" hidden="1">
      <c r="B13" s="94" t="s">
        <v>585</v>
      </c>
      <c r="C13" s="94">
        <v>976</v>
      </c>
      <c r="D13" s="94" t="s">
        <v>586</v>
      </c>
      <c r="E13" s="94">
        <v>20</v>
      </c>
      <c r="F13" s="94">
        <v>70</v>
      </c>
      <c r="G13" s="94" t="s">
        <v>587</v>
      </c>
      <c r="H13" s="94">
        <v>40001411</v>
      </c>
      <c r="I13" s="94" t="s">
        <v>601</v>
      </c>
      <c r="J13" s="94">
        <v>742</v>
      </c>
      <c r="K13" s="94" t="s">
        <v>587</v>
      </c>
      <c r="L13" s="94">
        <v>1</v>
      </c>
      <c r="M13" s="94" t="s">
        <v>588</v>
      </c>
      <c r="N13" s="94" t="s">
        <v>589</v>
      </c>
      <c r="O13" s="94" t="s">
        <v>590</v>
      </c>
      <c r="P13" s="94">
        <f t="shared" si="0"/>
        <v>3.71</v>
      </c>
    </row>
    <row r="14" spans="2:17">
      <c r="B14" s="94" t="s">
        <v>585</v>
      </c>
      <c r="C14" s="94">
        <v>976</v>
      </c>
      <c r="D14" s="94" t="s">
        <v>586</v>
      </c>
      <c r="E14" s="94">
        <v>20</v>
      </c>
      <c r="F14" s="94">
        <v>70</v>
      </c>
      <c r="G14" s="94" t="s">
        <v>587</v>
      </c>
      <c r="H14" s="94">
        <v>40001411</v>
      </c>
      <c r="I14" s="94" t="s">
        <v>602</v>
      </c>
      <c r="J14" s="94">
        <v>3.71</v>
      </c>
      <c r="K14" s="94" t="s">
        <v>587</v>
      </c>
      <c r="L14" s="94">
        <v>1</v>
      </c>
      <c r="M14" s="94" t="s">
        <v>592</v>
      </c>
      <c r="N14" s="94" t="s">
        <v>589</v>
      </c>
      <c r="O14" s="94" t="s">
        <v>590</v>
      </c>
      <c r="P14" s="94">
        <f t="shared" si="0"/>
        <v>3.71</v>
      </c>
    </row>
    <row r="15" spans="2:17" hidden="1">
      <c r="B15" s="94" t="s">
        <v>585</v>
      </c>
      <c r="C15" s="94">
        <v>976</v>
      </c>
      <c r="D15" s="94" t="s">
        <v>586</v>
      </c>
      <c r="E15" s="94">
        <v>20</v>
      </c>
      <c r="F15" s="94">
        <v>70</v>
      </c>
      <c r="G15" s="94" t="s">
        <v>587</v>
      </c>
      <c r="H15" s="94">
        <v>40001411</v>
      </c>
      <c r="I15" s="94" t="s">
        <v>603</v>
      </c>
      <c r="J15" s="94">
        <v>856</v>
      </c>
      <c r="K15" s="94" t="s">
        <v>587</v>
      </c>
      <c r="L15" s="94">
        <v>1</v>
      </c>
      <c r="M15" s="94" t="s">
        <v>588</v>
      </c>
      <c r="N15" s="94" t="s">
        <v>589</v>
      </c>
      <c r="O15" s="94" t="s">
        <v>590</v>
      </c>
      <c r="P15" s="94">
        <f t="shared" si="0"/>
        <v>4.28</v>
      </c>
    </row>
    <row r="16" spans="2:17">
      <c r="B16" s="94" t="s">
        <v>585</v>
      </c>
      <c r="C16" s="94">
        <v>976</v>
      </c>
      <c r="D16" s="94" t="s">
        <v>586</v>
      </c>
      <c r="E16" s="94">
        <v>20</v>
      </c>
      <c r="F16" s="94">
        <v>70</v>
      </c>
      <c r="G16" s="94" t="s">
        <v>587</v>
      </c>
      <c r="H16" s="94">
        <v>40001411</v>
      </c>
      <c r="I16" s="94" t="s">
        <v>604</v>
      </c>
      <c r="J16" s="94">
        <v>4.28</v>
      </c>
      <c r="K16" s="94" t="s">
        <v>587</v>
      </c>
      <c r="L16" s="94">
        <v>1</v>
      </c>
      <c r="M16" s="94" t="s">
        <v>592</v>
      </c>
      <c r="N16" s="94" t="s">
        <v>589</v>
      </c>
      <c r="O16" s="94" t="s">
        <v>590</v>
      </c>
      <c r="P16" s="94">
        <f t="shared" si="0"/>
        <v>4.28</v>
      </c>
    </row>
    <row r="17" spans="2:16" hidden="1">
      <c r="B17" s="94" t="s">
        <v>585</v>
      </c>
      <c r="C17" s="94">
        <v>976</v>
      </c>
      <c r="D17" s="94" t="s">
        <v>586</v>
      </c>
      <c r="E17" s="94">
        <v>20</v>
      </c>
      <c r="F17" s="94">
        <v>70</v>
      </c>
      <c r="G17" s="94" t="s">
        <v>587</v>
      </c>
      <c r="H17" s="94">
        <v>40001411</v>
      </c>
      <c r="I17" s="94" t="s">
        <v>605</v>
      </c>
      <c r="J17" s="94">
        <v>832</v>
      </c>
      <c r="K17" s="94" t="s">
        <v>587</v>
      </c>
      <c r="L17" s="94">
        <v>1</v>
      </c>
      <c r="M17" s="94" t="s">
        <v>588</v>
      </c>
      <c r="N17" s="94" t="s">
        <v>589</v>
      </c>
      <c r="O17" s="94" t="s">
        <v>590</v>
      </c>
      <c r="P17" s="94">
        <f t="shared" si="0"/>
        <v>4.16</v>
      </c>
    </row>
    <row r="18" spans="2:16">
      <c r="B18" s="94" t="s">
        <v>585</v>
      </c>
      <c r="C18" s="94">
        <v>976</v>
      </c>
      <c r="D18" s="94" t="s">
        <v>586</v>
      </c>
      <c r="E18" s="94">
        <v>20</v>
      </c>
      <c r="F18" s="94">
        <v>70</v>
      </c>
      <c r="G18" s="94" t="s">
        <v>587</v>
      </c>
      <c r="H18" s="94">
        <v>40001411</v>
      </c>
      <c r="I18" s="94" t="s">
        <v>606</v>
      </c>
      <c r="J18" s="94">
        <v>4.16</v>
      </c>
      <c r="K18" s="94" t="s">
        <v>587</v>
      </c>
      <c r="L18" s="94">
        <v>1</v>
      </c>
      <c r="M18" s="94" t="s">
        <v>592</v>
      </c>
      <c r="N18" s="94" t="s">
        <v>589</v>
      </c>
      <c r="O18" s="94" t="s">
        <v>590</v>
      </c>
      <c r="P18" s="94">
        <f t="shared" si="0"/>
        <v>4.16</v>
      </c>
    </row>
    <row r="19" spans="2:16" hidden="1">
      <c r="B19" s="94" t="s">
        <v>585</v>
      </c>
      <c r="C19" s="94">
        <v>976</v>
      </c>
      <c r="D19" s="94" t="s">
        <v>586</v>
      </c>
      <c r="E19" s="94">
        <v>20</v>
      </c>
      <c r="F19" s="94">
        <v>70</v>
      </c>
      <c r="G19" s="94" t="s">
        <v>587</v>
      </c>
      <c r="H19" s="94">
        <v>40001411</v>
      </c>
      <c r="I19" s="94" t="s">
        <v>607</v>
      </c>
      <c r="J19" s="94">
        <v>546</v>
      </c>
      <c r="K19" s="94" t="s">
        <v>587</v>
      </c>
      <c r="L19" s="94">
        <v>1</v>
      </c>
      <c r="M19" s="94" t="s">
        <v>588</v>
      </c>
      <c r="N19" s="94" t="s">
        <v>589</v>
      </c>
      <c r="O19" s="94" t="s">
        <v>590</v>
      </c>
      <c r="P19" s="94">
        <f t="shared" si="0"/>
        <v>2.73</v>
      </c>
    </row>
    <row r="20" spans="2:16">
      <c r="B20" s="94" t="s">
        <v>585</v>
      </c>
      <c r="C20" s="94">
        <v>976</v>
      </c>
      <c r="D20" s="94" t="s">
        <v>586</v>
      </c>
      <c r="E20" s="94">
        <v>20</v>
      </c>
      <c r="F20" s="94">
        <v>70</v>
      </c>
      <c r="G20" s="94" t="s">
        <v>587</v>
      </c>
      <c r="H20" s="94">
        <v>40001411</v>
      </c>
      <c r="I20" s="94" t="s">
        <v>608</v>
      </c>
      <c r="J20" s="94">
        <v>2.73</v>
      </c>
      <c r="K20" s="94" t="s">
        <v>587</v>
      </c>
      <c r="L20" s="94">
        <v>1</v>
      </c>
      <c r="M20" s="94" t="s">
        <v>592</v>
      </c>
      <c r="N20" s="94" t="s">
        <v>589</v>
      </c>
      <c r="O20" s="94" t="s">
        <v>590</v>
      </c>
      <c r="P20" s="94">
        <f t="shared" si="0"/>
        <v>2.73</v>
      </c>
    </row>
    <row r="21" spans="2:16" hidden="1">
      <c r="B21" s="94" t="s">
        <v>585</v>
      </c>
      <c r="C21" s="94">
        <v>976</v>
      </c>
      <c r="D21" s="94" t="s">
        <v>586</v>
      </c>
      <c r="E21" s="94">
        <v>20</v>
      </c>
      <c r="F21" s="94">
        <v>70</v>
      </c>
      <c r="G21" s="94" t="s">
        <v>587</v>
      </c>
      <c r="H21" s="94">
        <v>40001411</v>
      </c>
      <c r="I21" s="94" t="s">
        <v>609</v>
      </c>
      <c r="J21" s="94">
        <v>490</v>
      </c>
      <c r="K21" s="94" t="s">
        <v>587</v>
      </c>
      <c r="L21" s="94">
        <v>1</v>
      </c>
      <c r="M21" s="94" t="s">
        <v>588</v>
      </c>
      <c r="N21" s="94" t="s">
        <v>589</v>
      </c>
      <c r="O21" s="94" t="s">
        <v>590</v>
      </c>
      <c r="P21" s="94">
        <f t="shared" si="0"/>
        <v>2.4500000000000002</v>
      </c>
    </row>
    <row r="22" spans="2:16">
      <c r="B22" s="94" t="s">
        <v>585</v>
      </c>
      <c r="C22" s="94">
        <v>976</v>
      </c>
      <c r="D22" s="94" t="s">
        <v>586</v>
      </c>
      <c r="E22" s="94">
        <v>20</v>
      </c>
      <c r="F22" s="94">
        <v>70</v>
      </c>
      <c r="G22" s="94" t="s">
        <v>587</v>
      </c>
      <c r="H22" s="94">
        <v>40001411</v>
      </c>
      <c r="I22" s="94" t="s">
        <v>610</v>
      </c>
      <c r="J22" s="94">
        <v>2.4500000000000002</v>
      </c>
      <c r="K22" s="94" t="s">
        <v>587</v>
      </c>
      <c r="L22" s="94">
        <v>1</v>
      </c>
      <c r="M22" s="94" t="s">
        <v>592</v>
      </c>
      <c r="N22" s="94" t="s">
        <v>589</v>
      </c>
      <c r="O22" s="94" t="s">
        <v>590</v>
      </c>
      <c r="P22" s="94">
        <f t="shared" si="0"/>
        <v>2.4500000000000002</v>
      </c>
    </row>
    <row r="23" spans="2:16" hidden="1">
      <c r="B23" s="94" t="s">
        <v>585</v>
      </c>
      <c r="C23" s="94">
        <v>976</v>
      </c>
      <c r="D23" s="94" t="s">
        <v>586</v>
      </c>
      <c r="E23" s="94">
        <v>20</v>
      </c>
      <c r="F23" s="94">
        <v>70</v>
      </c>
      <c r="G23" s="94" t="s">
        <v>587</v>
      </c>
      <c r="H23" s="94">
        <v>40001411</v>
      </c>
      <c r="I23" s="94" t="s">
        <v>298</v>
      </c>
      <c r="J23" s="94">
        <v>822</v>
      </c>
      <c r="K23" s="94" t="s">
        <v>587</v>
      </c>
      <c r="L23" s="94">
        <v>1</v>
      </c>
      <c r="M23" s="94" t="s">
        <v>588</v>
      </c>
      <c r="N23" s="94" t="s">
        <v>589</v>
      </c>
      <c r="O23" s="94" t="s">
        <v>590</v>
      </c>
      <c r="P23" s="94">
        <f t="shared" si="0"/>
        <v>4.1100000000000003</v>
      </c>
    </row>
    <row r="24" spans="2:16">
      <c r="B24" s="94" t="s">
        <v>585</v>
      </c>
      <c r="C24" s="94">
        <v>976</v>
      </c>
      <c r="D24" s="94" t="s">
        <v>586</v>
      </c>
      <c r="E24" s="94">
        <v>20</v>
      </c>
      <c r="F24" s="94">
        <v>70</v>
      </c>
      <c r="G24" s="94" t="s">
        <v>587</v>
      </c>
      <c r="H24" s="94">
        <v>40001411</v>
      </c>
      <c r="I24" s="94" t="s">
        <v>230</v>
      </c>
      <c r="J24" s="94">
        <v>4.1100000000000003</v>
      </c>
      <c r="K24" s="94" t="s">
        <v>587</v>
      </c>
      <c r="L24" s="94">
        <v>1</v>
      </c>
      <c r="M24" s="94" t="s">
        <v>592</v>
      </c>
      <c r="N24" s="94" t="s">
        <v>589</v>
      </c>
      <c r="O24" s="94" t="s">
        <v>590</v>
      </c>
      <c r="P24" s="94">
        <f t="shared" si="0"/>
        <v>4.1100000000000003</v>
      </c>
    </row>
    <row r="25" spans="2:16" hidden="1">
      <c r="B25" s="94" t="s">
        <v>585</v>
      </c>
      <c r="C25" s="94">
        <v>976</v>
      </c>
      <c r="D25" s="94" t="s">
        <v>586</v>
      </c>
      <c r="E25" s="94">
        <v>20</v>
      </c>
      <c r="F25" s="94">
        <v>70</v>
      </c>
      <c r="G25" s="94" t="s">
        <v>587</v>
      </c>
      <c r="H25" s="94">
        <v>40001411</v>
      </c>
      <c r="I25" s="94" t="s">
        <v>611</v>
      </c>
      <c r="J25" s="94">
        <v>232</v>
      </c>
      <c r="K25" s="94" t="s">
        <v>587</v>
      </c>
      <c r="L25" s="94">
        <v>1</v>
      </c>
      <c r="M25" s="94" t="s">
        <v>588</v>
      </c>
      <c r="N25" s="94" t="s">
        <v>589</v>
      </c>
      <c r="O25" s="94" t="s">
        <v>590</v>
      </c>
      <c r="P25" s="94">
        <f t="shared" si="0"/>
        <v>1.1599999999999999</v>
      </c>
    </row>
    <row r="26" spans="2:16">
      <c r="B26" s="94" t="s">
        <v>585</v>
      </c>
      <c r="C26" s="94">
        <v>976</v>
      </c>
      <c r="D26" s="94" t="s">
        <v>586</v>
      </c>
      <c r="E26" s="94">
        <v>20</v>
      </c>
      <c r="F26" s="94">
        <v>70</v>
      </c>
      <c r="G26" s="94" t="s">
        <v>587</v>
      </c>
      <c r="H26" s="94">
        <v>40001411</v>
      </c>
      <c r="I26" s="94" t="s">
        <v>612</v>
      </c>
      <c r="J26" s="94">
        <v>1.1599999999999999</v>
      </c>
      <c r="K26" s="94" t="s">
        <v>587</v>
      </c>
      <c r="L26" s="94">
        <v>1</v>
      </c>
      <c r="M26" s="94" t="s">
        <v>592</v>
      </c>
      <c r="N26" s="94" t="s">
        <v>589</v>
      </c>
      <c r="O26" s="94" t="s">
        <v>590</v>
      </c>
      <c r="P26" s="94">
        <f t="shared" si="0"/>
        <v>1.1599999999999999</v>
      </c>
    </row>
    <row r="27" spans="2:16" hidden="1">
      <c r="B27" s="94" t="s">
        <v>585</v>
      </c>
      <c r="C27" s="94">
        <v>976</v>
      </c>
      <c r="D27" s="94" t="s">
        <v>586</v>
      </c>
      <c r="E27" s="94">
        <v>20</v>
      </c>
      <c r="F27" s="94">
        <v>70</v>
      </c>
      <c r="G27" s="94" t="s">
        <v>587</v>
      </c>
      <c r="H27" s="94">
        <v>40001411</v>
      </c>
      <c r="I27" s="94" t="s">
        <v>613</v>
      </c>
      <c r="J27" s="94">
        <v>606</v>
      </c>
      <c r="K27" s="94" t="s">
        <v>587</v>
      </c>
      <c r="L27" s="94">
        <v>1</v>
      </c>
      <c r="M27" s="94" t="s">
        <v>588</v>
      </c>
      <c r="N27" s="94" t="s">
        <v>589</v>
      </c>
      <c r="O27" s="94" t="s">
        <v>590</v>
      </c>
      <c r="P27" s="94">
        <f t="shared" si="0"/>
        <v>3.03</v>
      </c>
    </row>
    <row r="28" spans="2:16">
      <c r="B28" s="94" t="s">
        <v>585</v>
      </c>
      <c r="C28" s="94">
        <v>976</v>
      </c>
      <c r="D28" s="94" t="s">
        <v>586</v>
      </c>
      <c r="E28" s="94">
        <v>20</v>
      </c>
      <c r="F28" s="94">
        <v>70</v>
      </c>
      <c r="G28" s="94" t="s">
        <v>587</v>
      </c>
      <c r="H28" s="94">
        <v>40001411</v>
      </c>
      <c r="I28" s="94" t="s">
        <v>614</v>
      </c>
      <c r="J28" s="94">
        <v>3.03</v>
      </c>
      <c r="K28" s="94" t="s">
        <v>587</v>
      </c>
      <c r="L28" s="94">
        <v>1</v>
      </c>
      <c r="M28" s="94" t="s">
        <v>592</v>
      </c>
      <c r="N28" s="94" t="s">
        <v>589</v>
      </c>
      <c r="O28" s="94" t="s">
        <v>590</v>
      </c>
      <c r="P28" s="94">
        <f t="shared" si="0"/>
        <v>3.03</v>
      </c>
    </row>
    <row r="29" spans="2:16" hidden="1">
      <c r="B29" s="94" t="s">
        <v>585</v>
      </c>
      <c r="C29" s="94">
        <v>976</v>
      </c>
      <c r="D29" s="94" t="s">
        <v>586</v>
      </c>
      <c r="E29" s="94">
        <v>20</v>
      </c>
      <c r="F29" s="94">
        <v>70</v>
      </c>
      <c r="G29" s="94" t="s">
        <v>587</v>
      </c>
      <c r="H29" s="94">
        <v>40001411</v>
      </c>
      <c r="I29" s="94" t="s">
        <v>216</v>
      </c>
      <c r="J29" s="94">
        <v>754</v>
      </c>
      <c r="K29" s="94" t="s">
        <v>587</v>
      </c>
      <c r="L29" s="94">
        <v>1</v>
      </c>
      <c r="M29" s="94" t="s">
        <v>588</v>
      </c>
      <c r="N29" s="94" t="s">
        <v>589</v>
      </c>
      <c r="O29" s="94" t="s">
        <v>590</v>
      </c>
      <c r="P29" s="94">
        <f t="shared" si="0"/>
        <v>3.77</v>
      </c>
    </row>
    <row r="30" spans="2:16">
      <c r="B30" s="94" t="s">
        <v>585</v>
      </c>
      <c r="C30" s="94">
        <v>976</v>
      </c>
      <c r="D30" s="94" t="s">
        <v>586</v>
      </c>
      <c r="E30" s="94">
        <v>20</v>
      </c>
      <c r="F30" s="94">
        <v>70</v>
      </c>
      <c r="G30" s="94" t="s">
        <v>587</v>
      </c>
      <c r="H30" s="94">
        <v>40001411</v>
      </c>
      <c r="I30" s="94" t="s">
        <v>615</v>
      </c>
      <c r="J30" s="94">
        <v>3.77</v>
      </c>
      <c r="K30" s="94" t="s">
        <v>587</v>
      </c>
      <c r="L30" s="94">
        <v>1</v>
      </c>
      <c r="M30" s="94" t="s">
        <v>592</v>
      </c>
      <c r="N30" s="94" t="s">
        <v>589</v>
      </c>
      <c r="O30" s="94" t="s">
        <v>590</v>
      </c>
      <c r="P30" s="94">
        <f t="shared" si="0"/>
        <v>3.77</v>
      </c>
    </row>
    <row r="31" spans="2:16" hidden="1">
      <c r="B31" s="94" t="s">
        <v>585</v>
      </c>
      <c r="C31" s="94">
        <v>976</v>
      </c>
      <c r="D31" s="94" t="s">
        <v>586</v>
      </c>
      <c r="E31" s="94">
        <v>20</v>
      </c>
      <c r="F31" s="94">
        <v>70</v>
      </c>
      <c r="G31" s="94" t="s">
        <v>587</v>
      </c>
      <c r="H31" s="94">
        <v>40001411</v>
      </c>
      <c r="I31" s="94" t="s">
        <v>616</v>
      </c>
      <c r="J31" s="94">
        <v>734</v>
      </c>
      <c r="K31" s="94" t="s">
        <v>587</v>
      </c>
      <c r="L31" s="94">
        <v>1</v>
      </c>
      <c r="M31" s="94" t="s">
        <v>588</v>
      </c>
      <c r="N31" s="94" t="s">
        <v>589</v>
      </c>
      <c r="O31" s="94" t="s">
        <v>590</v>
      </c>
      <c r="P31" s="94">
        <f t="shared" si="0"/>
        <v>3.67</v>
      </c>
    </row>
    <row r="32" spans="2:16">
      <c r="B32" s="94" t="s">
        <v>585</v>
      </c>
      <c r="C32" s="94">
        <v>976</v>
      </c>
      <c r="D32" s="94" t="s">
        <v>586</v>
      </c>
      <c r="E32" s="94">
        <v>20</v>
      </c>
      <c r="F32" s="94">
        <v>70</v>
      </c>
      <c r="G32" s="94" t="s">
        <v>587</v>
      </c>
      <c r="H32" s="94">
        <v>40001411</v>
      </c>
      <c r="I32" s="94" t="s">
        <v>617</v>
      </c>
      <c r="J32" s="94">
        <v>3.67</v>
      </c>
      <c r="K32" s="94" t="s">
        <v>587</v>
      </c>
      <c r="L32" s="94">
        <v>1</v>
      </c>
      <c r="M32" s="94" t="s">
        <v>592</v>
      </c>
      <c r="N32" s="94" t="s">
        <v>589</v>
      </c>
      <c r="O32" s="94" t="s">
        <v>590</v>
      </c>
      <c r="P32" s="94">
        <f t="shared" si="0"/>
        <v>3.67</v>
      </c>
    </row>
    <row r="33" spans="2:16" hidden="1">
      <c r="B33" s="94" t="s">
        <v>585</v>
      </c>
      <c r="C33" s="94">
        <v>976</v>
      </c>
      <c r="D33" s="94" t="s">
        <v>586</v>
      </c>
      <c r="E33" s="94">
        <v>20</v>
      </c>
      <c r="F33" s="94">
        <v>70</v>
      </c>
      <c r="G33" s="94" t="s">
        <v>587</v>
      </c>
      <c r="H33" s="94">
        <v>40001411</v>
      </c>
      <c r="I33" s="94" t="s">
        <v>169</v>
      </c>
      <c r="J33" s="94">
        <v>944</v>
      </c>
      <c r="K33" s="94" t="s">
        <v>587</v>
      </c>
      <c r="L33" s="94">
        <v>1</v>
      </c>
      <c r="M33" s="94" t="s">
        <v>588</v>
      </c>
      <c r="N33" s="94" t="s">
        <v>589</v>
      </c>
      <c r="O33" s="94" t="s">
        <v>590</v>
      </c>
      <c r="P33" s="94">
        <f t="shared" si="0"/>
        <v>4.72</v>
      </c>
    </row>
    <row r="34" spans="2:16">
      <c r="B34" s="94" t="s">
        <v>585</v>
      </c>
      <c r="C34" s="94">
        <v>976</v>
      </c>
      <c r="D34" s="94" t="s">
        <v>586</v>
      </c>
      <c r="E34" s="94">
        <v>20</v>
      </c>
      <c r="F34" s="94">
        <v>70</v>
      </c>
      <c r="G34" s="94" t="s">
        <v>587</v>
      </c>
      <c r="H34" s="94">
        <v>40001411</v>
      </c>
      <c r="I34" s="94" t="s">
        <v>618</v>
      </c>
      <c r="J34" s="94">
        <v>4.72</v>
      </c>
      <c r="K34" s="94" t="s">
        <v>587</v>
      </c>
      <c r="L34" s="94">
        <v>1</v>
      </c>
      <c r="M34" s="94" t="s">
        <v>592</v>
      </c>
      <c r="N34" s="94" t="s">
        <v>589</v>
      </c>
      <c r="O34" s="94" t="s">
        <v>590</v>
      </c>
      <c r="P34" s="94">
        <f t="shared" si="0"/>
        <v>4.72</v>
      </c>
    </row>
    <row r="35" spans="2:16" hidden="1">
      <c r="B35" s="94" t="s">
        <v>585</v>
      </c>
      <c r="C35" s="94">
        <v>976</v>
      </c>
      <c r="D35" s="94" t="s">
        <v>586</v>
      </c>
      <c r="E35" s="94">
        <v>20</v>
      </c>
      <c r="F35" s="94">
        <v>70</v>
      </c>
      <c r="G35" s="94" t="s">
        <v>587</v>
      </c>
      <c r="H35" s="94">
        <v>40001411</v>
      </c>
      <c r="I35" s="94" t="s">
        <v>619</v>
      </c>
      <c r="J35" s="94">
        <v>918</v>
      </c>
      <c r="K35" s="94" t="s">
        <v>587</v>
      </c>
      <c r="L35" s="94">
        <v>1</v>
      </c>
      <c r="M35" s="94" t="s">
        <v>588</v>
      </c>
      <c r="N35" s="94" t="s">
        <v>589</v>
      </c>
      <c r="O35" s="94" t="s">
        <v>590</v>
      </c>
      <c r="P35" s="94">
        <f t="shared" si="0"/>
        <v>4.59</v>
      </c>
    </row>
    <row r="36" spans="2:16">
      <c r="B36" s="94" t="s">
        <v>585</v>
      </c>
      <c r="C36" s="94">
        <v>976</v>
      </c>
      <c r="D36" s="94" t="s">
        <v>586</v>
      </c>
      <c r="E36" s="94">
        <v>20</v>
      </c>
      <c r="F36" s="94">
        <v>70</v>
      </c>
      <c r="G36" s="94" t="s">
        <v>587</v>
      </c>
      <c r="H36" s="94">
        <v>40001411</v>
      </c>
      <c r="I36" s="94" t="s">
        <v>620</v>
      </c>
      <c r="J36" s="94">
        <v>4.59</v>
      </c>
      <c r="K36" s="94" t="s">
        <v>587</v>
      </c>
      <c r="L36" s="94">
        <v>1</v>
      </c>
      <c r="M36" s="94" t="s">
        <v>592</v>
      </c>
      <c r="N36" s="94" t="s">
        <v>589</v>
      </c>
      <c r="O36" s="94" t="s">
        <v>590</v>
      </c>
      <c r="P36" s="94">
        <f t="shared" si="0"/>
        <v>4.59</v>
      </c>
    </row>
    <row r="37" spans="2:16" hidden="1">
      <c r="B37" s="94" t="s">
        <v>585</v>
      </c>
      <c r="C37" s="94">
        <v>976</v>
      </c>
      <c r="D37" s="94" t="s">
        <v>586</v>
      </c>
      <c r="E37" s="94">
        <v>20</v>
      </c>
      <c r="F37" s="94">
        <v>70</v>
      </c>
      <c r="G37" s="94" t="s">
        <v>587</v>
      </c>
      <c r="H37" s="94">
        <v>40001411</v>
      </c>
      <c r="I37" s="94" t="s">
        <v>170</v>
      </c>
      <c r="J37" s="94">
        <v>778</v>
      </c>
      <c r="K37" s="94" t="s">
        <v>587</v>
      </c>
      <c r="L37" s="94">
        <v>1</v>
      </c>
      <c r="M37" s="94" t="s">
        <v>588</v>
      </c>
      <c r="N37" s="94" t="s">
        <v>589</v>
      </c>
      <c r="O37" s="94" t="s">
        <v>590</v>
      </c>
      <c r="P37" s="94">
        <f t="shared" si="0"/>
        <v>3.89</v>
      </c>
    </row>
    <row r="38" spans="2:16" ht="15" customHeight="1">
      <c r="B38" s="94" t="s">
        <v>585</v>
      </c>
      <c r="C38" s="94">
        <v>976</v>
      </c>
      <c r="D38" s="94" t="s">
        <v>586</v>
      </c>
      <c r="E38" s="94">
        <v>20</v>
      </c>
      <c r="F38" s="94">
        <v>70</v>
      </c>
      <c r="G38" s="94" t="s">
        <v>587</v>
      </c>
      <c r="H38" s="94">
        <v>40001411</v>
      </c>
      <c r="I38" s="94" t="s">
        <v>278</v>
      </c>
      <c r="J38" s="94">
        <v>3.89</v>
      </c>
      <c r="K38" s="94" t="s">
        <v>587</v>
      </c>
      <c r="L38" s="94">
        <v>1</v>
      </c>
      <c r="M38" s="94" t="s">
        <v>592</v>
      </c>
      <c r="N38" s="94" t="s">
        <v>589</v>
      </c>
      <c r="O38" s="94" t="s">
        <v>590</v>
      </c>
      <c r="P38" s="94">
        <f t="shared" si="0"/>
        <v>3.89</v>
      </c>
    </row>
    <row r="39" spans="2:16" ht="15" hidden="1" customHeight="1">
      <c r="B39" s="94" t="s">
        <v>585</v>
      </c>
      <c r="C39" s="94">
        <v>976</v>
      </c>
      <c r="D39" s="94" t="s">
        <v>586</v>
      </c>
      <c r="E39" s="94">
        <v>20</v>
      </c>
      <c r="F39" s="94">
        <v>70</v>
      </c>
      <c r="G39" s="94" t="s">
        <v>587</v>
      </c>
      <c r="H39" s="94">
        <v>40001411</v>
      </c>
      <c r="I39" s="94" t="s">
        <v>621</v>
      </c>
      <c r="J39" s="94">
        <v>1216</v>
      </c>
      <c r="K39" s="94" t="s">
        <v>587</v>
      </c>
      <c r="L39" s="94">
        <v>1</v>
      </c>
      <c r="M39" s="94" t="s">
        <v>588</v>
      </c>
      <c r="N39" s="94" t="s">
        <v>589</v>
      </c>
      <c r="O39" s="94" t="s">
        <v>590</v>
      </c>
      <c r="P39" s="94">
        <f t="shared" si="0"/>
        <v>6.08</v>
      </c>
    </row>
    <row r="40" spans="2:16" ht="15" customHeight="1">
      <c r="B40" s="94" t="s">
        <v>585</v>
      </c>
      <c r="C40" s="94">
        <v>976</v>
      </c>
      <c r="D40" s="94" t="s">
        <v>586</v>
      </c>
      <c r="E40" s="94">
        <v>20</v>
      </c>
      <c r="F40" s="94">
        <v>70</v>
      </c>
      <c r="G40" s="94" t="s">
        <v>587</v>
      </c>
      <c r="H40" s="94">
        <v>40001411</v>
      </c>
      <c r="I40" s="94" t="s">
        <v>258</v>
      </c>
      <c r="J40" s="94">
        <v>6.08</v>
      </c>
      <c r="K40" s="94" t="s">
        <v>587</v>
      </c>
      <c r="L40" s="94">
        <v>1</v>
      </c>
      <c r="M40" s="94" t="s">
        <v>592</v>
      </c>
      <c r="N40" s="94" t="s">
        <v>589</v>
      </c>
      <c r="O40" s="94" t="s">
        <v>590</v>
      </c>
      <c r="P40" s="94">
        <f t="shared" si="0"/>
        <v>6.08</v>
      </c>
    </row>
    <row r="41" spans="2:16" hidden="1">
      <c r="B41" s="94" t="s">
        <v>585</v>
      </c>
      <c r="C41" s="94">
        <v>976</v>
      </c>
      <c r="D41" s="94" t="s">
        <v>586</v>
      </c>
      <c r="E41" s="94">
        <v>20</v>
      </c>
      <c r="F41" s="94">
        <v>70</v>
      </c>
      <c r="G41" s="94" t="s">
        <v>587</v>
      </c>
      <c r="H41" s="94">
        <v>40001411</v>
      </c>
      <c r="I41" s="94" t="s">
        <v>622</v>
      </c>
      <c r="J41" s="94">
        <v>1216</v>
      </c>
      <c r="K41" s="94" t="s">
        <v>587</v>
      </c>
      <c r="L41" s="94">
        <v>1</v>
      </c>
      <c r="M41" s="94" t="s">
        <v>588</v>
      </c>
      <c r="N41" s="94" t="s">
        <v>589</v>
      </c>
      <c r="O41" s="94" t="s">
        <v>590</v>
      </c>
      <c r="P41" s="94">
        <f t="shared" si="0"/>
        <v>6.08</v>
      </c>
    </row>
    <row r="42" spans="2:16">
      <c r="B42" s="94" t="s">
        <v>585</v>
      </c>
      <c r="C42" s="94">
        <v>976</v>
      </c>
      <c r="D42" s="94" t="s">
        <v>586</v>
      </c>
      <c r="E42" s="94">
        <v>20</v>
      </c>
      <c r="F42" s="94">
        <v>70</v>
      </c>
      <c r="G42" s="94" t="s">
        <v>587</v>
      </c>
      <c r="H42" s="94">
        <v>40001411</v>
      </c>
      <c r="I42" s="94" t="s">
        <v>623</v>
      </c>
      <c r="J42" s="94">
        <v>6.08</v>
      </c>
      <c r="K42" s="94" t="s">
        <v>587</v>
      </c>
      <c r="L42" s="94">
        <v>1</v>
      </c>
      <c r="M42" s="94" t="s">
        <v>592</v>
      </c>
      <c r="N42" s="94" t="s">
        <v>589</v>
      </c>
      <c r="O42" s="94" t="s">
        <v>590</v>
      </c>
      <c r="P42" s="94">
        <f t="shared" si="0"/>
        <v>6.08</v>
      </c>
    </row>
    <row r="43" spans="2:16" hidden="1">
      <c r="B43" s="94" t="s">
        <v>585</v>
      </c>
      <c r="C43" s="94">
        <v>976</v>
      </c>
      <c r="D43" s="94" t="s">
        <v>586</v>
      </c>
      <c r="E43" s="94">
        <v>20</v>
      </c>
      <c r="F43" s="94">
        <v>70</v>
      </c>
      <c r="G43" s="94" t="s">
        <v>587</v>
      </c>
      <c r="H43" s="94">
        <v>40001411</v>
      </c>
      <c r="I43" s="94" t="s">
        <v>624</v>
      </c>
      <c r="J43" s="94">
        <v>900</v>
      </c>
      <c r="K43" s="94" t="s">
        <v>587</v>
      </c>
      <c r="L43" s="94">
        <v>1</v>
      </c>
      <c r="M43" s="94" t="s">
        <v>588</v>
      </c>
      <c r="N43" s="94" t="s">
        <v>589</v>
      </c>
      <c r="O43" s="94" t="s">
        <v>590</v>
      </c>
      <c r="P43" s="94">
        <f t="shared" si="0"/>
        <v>4.5</v>
      </c>
    </row>
    <row r="44" spans="2:16">
      <c r="B44" s="94" t="s">
        <v>585</v>
      </c>
      <c r="C44" s="94">
        <v>976</v>
      </c>
      <c r="D44" s="94" t="s">
        <v>586</v>
      </c>
      <c r="E44" s="94">
        <v>20</v>
      </c>
      <c r="F44" s="94">
        <v>70</v>
      </c>
      <c r="G44" s="94" t="s">
        <v>587</v>
      </c>
      <c r="H44" s="94">
        <v>40001411</v>
      </c>
      <c r="I44" s="94" t="s">
        <v>625</v>
      </c>
      <c r="J44" s="94">
        <v>4.5</v>
      </c>
      <c r="K44" s="94" t="s">
        <v>587</v>
      </c>
      <c r="L44" s="94">
        <v>1</v>
      </c>
      <c r="M44" s="94" t="s">
        <v>592</v>
      </c>
      <c r="N44" s="94" t="s">
        <v>589</v>
      </c>
      <c r="O44" s="94" t="s">
        <v>590</v>
      </c>
      <c r="P44" s="94">
        <f t="shared" si="0"/>
        <v>4.5</v>
      </c>
    </row>
    <row r="45" spans="2:16" hidden="1">
      <c r="B45" s="94" t="s">
        <v>585</v>
      </c>
      <c r="C45" s="94">
        <v>976</v>
      </c>
      <c r="D45" s="94" t="s">
        <v>586</v>
      </c>
      <c r="E45" s="94">
        <v>20</v>
      </c>
      <c r="F45" s="94">
        <v>70</v>
      </c>
      <c r="G45" s="94" t="s">
        <v>587</v>
      </c>
      <c r="H45" s="94">
        <v>40001411</v>
      </c>
      <c r="I45" s="94" t="s">
        <v>626</v>
      </c>
      <c r="J45" s="94">
        <v>900</v>
      </c>
      <c r="K45" s="94" t="s">
        <v>587</v>
      </c>
      <c r="L45" s="94">
        <v>1</v>
      </c>
      <c r="M45" s="94" t="s">
        <v>588</v>
      </c>
      <c r="N45" s="94" t="s">
        <v>589</v>
      </c>
      <c r="O45" s="94" t="s">
        <v>590</v>
      </c>
      <c r="P45" s="94">
        <f t="shared" si="0"/>
        <v>4.5</v>
      </c>
    </row>
    <row r="46" spans="2:16">
      <c r="B46" s="94" t="s">
        <v>585</v>
      </c>
      <c r="C46" s="94">
        <v>976</v>
      </c>
      <c r="D46" s="94" t="s">
        <v>586</v>
      </c>
      <c r="E46" s="94">
        <v>20</v>
      </c>
      <c r="F46" s="94">
        <v>70</v>
      </c>
      <c r="G46" s="94" t="s">
        <v>587</v>
      </c>
      <c r="H46" s="94">
        <v>40001411</v>
      </c>
      <c r="I46" s="94" t="s">
        <v>627</v>
      </c>
      <c r="J46" s="94">
        <v>4.5</v>
      </c>
      <c r="K46" s="94" t="s">
        <v>587</v>
      </c>
      <c r="L46" s="94">
        <v>1</v>
      </c>
      <c r="M46" s="94" t="s">
        <v>592</v>
      </c>
      <c r="N46" s="94" t="s">
        <v>589</v>
      </c>
      <c r="O46" s="94" t="s">
        <v>590</v>
      </c>
      <c r="P46" s="94">
        <f t="shared" si="0"/>
        <v>4.5</v>
      </c>
    </row>
    <row r="47" spans="2:16" hidden="1">
      <c r="B47" s="94" t="s">
        <v>585</v>
      </c>
      <c r="C47" s="94">
        <v>976</v>
      </c>
      <c r="D47" s="94" t="s">
        <v>586</v>
      </c>
      <c r="E47" s="94">
        <v>20</v>
      </c>
      <c r="F47" s="94">
        <v>70</v>
      </c>
      <c r="G47" s="94" t="s">
        <v>587</v>
      </c>
      <c r="H47" s="94">
        <v>40001411</v>
      </c>
      <c r="I47" s="94" t="s">
        <v>237</v>
      </c>
      <c r="J47" s="94">
        <v>900</v>
      </c>
      <c r="K47" s="94" t="s">
        <v>587</v>
      </c>
      <c r="L47" s="94">
        <v>1</v>
      </c>
      <c r="M47" s="94" t="s">
        <v>588</v>
      </c>
      <c r="N47" s="94" t="s">
        <v>589</v>
      </c>
      <c r="O47" s="94" t="s">
        <v>590</v>
      </c>
      <c r="P47" s="94">
        <f t="shared" si="0"/>
        <v>4.5</v>
      </c>
    </row>
    <row r="48" spans="2:16">
      <c r="B48" s="94" t="s">
        <v>585</v>
      </c>
      <c r="C48" s="94">
        <v>976</v>
      </c>
      <c r="D48" s="94" t="s">
        <v>586</v>
      </c>
      <c r="E48" s="94">
        <v>20</v>
      </c>
      <c r="F48" s="94">
        <v>70</v>
      </c>
      <c r="G48" s="94" t="s">
        <v>587</v>
      </c>
      <c r="H48" s="94">
        <v>40001411</v>
      </c>
      <c r="I48" s="94" t="s">
        <v>628</v>
      </c>
      <c r="J48" s="94">
        <v>4.5</v>
      </c>
      <c r="K48" s="94" t="s">
        <v>587</v>
      </c>
      <c r="L48" s="94">
        <v>1</v>
      </c>
      <c r="M48" s="94" t="s">
        <v>592</v>
      </c>
      <c r="N48" s="94" t="s">
        <v>589</v>
      </c>
      <c r="O48" s="94" t="s">
        <v>590</v>
      </c>
      <c r="P48" s="94">
        <f t="shared" si="0"/>
        <v>4.5</v>
      </c>
    </row>
    <row r="49" spans="2:16" hidden="1">
      <c r="B49" s="94" t="s">
        <v>585</v>
      </c>
      <c r="C49" s="94">
        <v>976</v>
      </c>
      <c r="D49" s="94" t="s">
        <v>586</v>
      </c>
      <c r="E49" s="94">
        <v>20</v>
      </c>
      <c r="F49" s="94">
        <v>70</v>
      </c>
      <c r="G49" s="94" t="s">
        <v>587</v>
      </c>
      <c r="H49" s="94">
        <v>40001411</v>
      </c>
      <c r="I49" s="94" t="s">
        <v>629</v>
      </c>
      <c r="J49" s="94">
        <v>900</v>
      </c>
      <c r="K49" s="94" t="s">
        <v>587</v>
      </c>
      <c r="L49" s="94">
        <v>1</v>
      </c>
      <c r="M49" s="94" t="s">
        <v>588</v>
      </c>
      <c r="N49" s="94" t="s">
        <v>589</v>
      </c>
      <c r="O49" s="94" t="s">
        <v>590</v>
      </c>
      <c r="P49" s="94">
        <f t="shared" si="0"/>
        <v>4.5</v>
      </c>
    </row>
    <row r="50" spans="2:16">
      <c r="B50" s="94" t="s">
        <v>585</v>
      </c>
      <c r="C50" s="94">
        <v>976</v>
      </c>
      <c r="D50" s="94" t="s">
        <v>586</v>
      </c>
      <c r="E50" s="94">
        <v>20</v>
      </c>
      <c r="F50" s="94">
        <v>70</v>
      </c>
      <c r="G50" s="94" t="s">
        <v>587</v>
      </c>
      <c r="H50" s="94">
        <v>40001411</v>
      </c>
      <c r="I50" s="94" t="s">
        <v>630</v>
      </c>
      <c r="J50" s="94">
        <v>4.5</v>
      </c>
      <c r="K50" s="94" t="s">
        <v>587</v>
      </c>
      <c r="L50" s="94">
        <v>1</v>
      </c>
      <c r="M50" s="94" t="s">
        <v>592</v>
      </c>
      <c r="N50" s="94" t="s">
        <v>589</v>
      </c>
      <c r="O50" s="94" t="s">
        <v>590</v>
      </c>
      <c r="P50" s="94">
        <f t="shared" si="0"/>
        <v>4.5</v>
      </c>
    </row>
    <row r="51" spans="2:16" hidden="1">
      <c r="B51" s="94" t="s">
        <v>585</v>
      </c>
      <c r="C51" s="94">
        <v>976</v>
      </c>
      <c r="D51" s="94" t="s">
        <v>586</v>
      </c>
      <c r="E51" s="94">
        <v>20</v>
      </c>
      <c r="F51" s="94">
        <v>70</v>
      </c>
      <c r="G51" s="94" t="s">
        <v>587</v>
      </c>
      <c r="H51" s="94">
        <v>40001411</v>
      </c>
      <c r="I51" s="94" t="s">
        <v>301</v>
      </c>
      <c r="J51" s="94">
        <v>568</v>
      </c>
      <c r="K51" s="94" t="s">
        <v>587</v>
      </c>
      <c r="L51" s="94">
        <v>1</v>
      </c>
      <c r="M51" s="94" t="s">
        <v>588</v>
      </c>
      <c r="N51" s="94" t="s">
        <v>589</v>
      </c>
      <c r="O51" s="94" t="s">
        <v>590</v>
      </c>
      <c r="P51" s="94">
        <f t="shared" si="0"/>
        <v>2.84</v>
      </c>
    </row>
    <row r="52" spans="2:16">
      <c r="B52" s="94" t="s">
        <v>585</v>
      </c>
      <c r="C52" s="94">
        <v>976</v>
      </c>
      <c r="D52" s="94" t="s">
        <v>586</v>
      </c>
      <c r="E52" s="94">
        <v>20</v>
      </c>
      <c r="F52" s="94">
        <v>70</v>
      </c>
      <c r="G52" s="94" t="s">
        <v>587</v>
      </c>
      <c r="H52" s="94">
        <v>40001411</v>
      </c>
      <c r="I52" s="94" t="s">
        <v>631</v>
      </c>
      <c r="J52" s="94">
        <v>2.84</v>
      </c>
      <c r="K52" s="94" t="s">
        <v>587</v>
      </c>
      <c r="L52" s="94">
        <v>1</v>
      </c>
      <c r="M52" s="94" t="s">
        <v>592</v>
      </c>
      <c r="N52" s="94" t="s">
        <v>589</v>
      </c>
      <c r="O52" s="94" t="s">
        <v>590</v>
      </c>
      <c r="P52" s="94">
        <f t="shared" si="0"/>
        <v>2.84</v>
      </c>
    </row>
    <row r="53" spans="2:16" hidden="1">
      <c r="B53" s="94" t="s">
        <v>585</v>
      </c>
      <c r="C53" s="94">
        <v>976</v>
      </c>
      <c r="D53" s="94" t="s">
        <v>586</v>
      </c>
      <c r="E53" s="94">
        <v>20</v>
      </c>
      <c r="F53" s="94">
        <v>70</v>
      </c>
      <c r="G53" s="94" t="s">
        <v>587</v>
      </c>
      <c r="H53" s="94">
        <v>40001411</v>
      </c>
      <c r="I53" s="94" t="s">
        <v>632</v>
      </c>
      <c r="J53" s="94">
        <v>1928</v>
      </c>
      <c r="K53" s="94" t="s">
        <v>587</v>
      </c>
      <c r="L53" s="94">
        <v>1</v>
      </c>
      <c r="M53" s="94" t="s">
        <v>588</v>
      </c>
      <c r="N53" s="94" t="s">
        <v>589</v>
      </c>
      <c r="O53" s="94" t="s">
        <v>590</v>
      </c>
      <c r="P53" s="94">
        <f t="shared" si="0"/>
        <v>9.64</v>
      </c>
    </row>
    <row r="54" spans="2:16">
      <c r="B54" s="94" t="s">
        <v>585</v>
      </c>
      <c r="C54" s="94">
        <v>976</v>
      </c>
      <c r="D54" s="94" t="s">
        <v>586</v>
      </c>
      <c r="E54" s="94">
        <v>20</v>
      </c>
      <c r="F54" s="94">
        <v>70</v>
      </c>
      <c r="G54" s="94" t="s">
        <v>587</v>
      </c>
      <c r="H54" s="94">
        <v>40001411</v>
      </c>
      <c r="I54" s="94" t="s">
        <v>633</v>
      </c>
      <c r="J54" s="94">
        <v>9.64</v>
      </c>
      <c r="K54" s="94" t="s">
        <v>587</v>
      </c>
      <c r="L54" s="94">
        <v>1</v>
      </c>
      <c r="M54" s="94" t="s">
        <v>592</v>
      </c>
      <c r="N54" s="94" t="s">
        <v>589</v>
      </c>
      <c r="O54" s="94" t="s">
        <v>590</v>
      </c>
      <c r="P54" s="94">
        <f t="shared" si="0"/>
        <v>9.64</v>
      </c>
    </row>
    <row r="55" spans="2:16" hidden="1">
      <c r="B55" s="94" t="s">
        <v>585</v>
      </c>
      <c r="C55" s="94">
        <v>976</v>
      </c>
      <c r="D55" s="94" t="s">
        <v>586</v>
      </c>
      <c r="E55" s="94">
        <v>20</v>
      </c>
      <c r="F55" s="94">
        <v>70</v>
      </c>
      <c r="G55" s="94" t="s">
        <v>587</v>
      </c>
      <c r="H55" s="94">
        <v>40001411</v>
      </c>
      <c r="I55" s="94" t="s">
        <v>634</v>
      </c>
      <c r="J55" s="94">
        <v>1870</v>
      </c>
      <c r="K55" s="94" t="s">
        <v>587</v>
      </c>
      <c r="L55" s="94">
        <v>1</v>
      </c>
      <c r="M55" s="94" t="s">
        <v>588</v>
      </c>
      <c r="N55" s="94" t="s">
        <v>589</v>
      </c>
      <c r="O55" s="94" t="s">
        <v>590</v>
      </c>
      <c r="P55" s="94">
        <f t="shared" si="0"/>
        <v>9.35</v>
      </c>
    </row>
    <row r="56" spans="2:16">
      <c r="B56" s="94" t="s">
        <v>585</v>
      </c>
      <c r="C56" s="94">
        <v>976</v>
      </c>
      <c r="D56" s="94" t="s">
        <v>586</v>
      </c>
      <c r="E56" s="94">
        <v>20</v>
      </c>
      <c r="F56" s="94">
        <v>70</v>
      </c>
      <c r="G56" s="94" t="s">
        <v>587</v>
      </c>
      <c r="H56" s="94">
        <v>40001411</v>
      </c>
      <c r="I56" s="94" t="s">
        <v>635</v>
      </c>
      <c r="J56" s="94">
        <v>9.35</v>
      </c>
      <c r="K56" s="94" t="s">
        <v>587</v>
      </c>
      <c r="L56" s="94">
        <v>1</v>
      </c>
      <c r="M56" s="94" t="s">
        <v>592</v>
      </c>
      <c r="N56" s="94" t="s">
        <v>589</v>
      </c>
      <c r="O56" s="94" t="s">
        <v>590</v>
      </c>
      <c r="P56" s="94">
        <f t="shared" si="0"/>
        <v>9.35</v>
      </c>
    </row>
    <row r="57" spans="2:16" hidden="1">
      <c r="B57" s="94" t="s">
        <v>585</v>
      </c>
      <c r="C57" s="94">
        <v>976</v>
      </c>
      <c r="D57" s="94" t="s">
        <v>586</v>
      </c>
      <c r="E57" s="94">
        <v>20</v>
      </c>
      <c r="F57" s="94">
        <v>70</v>
      </c>
      <c r="G57" s="94" t="s">
        <v>587</v>
      </c>
      <c r="H57" s="94">
        <v>40001411</v>
      </c>
      <c r="I57" s="94" t="s">
        <v>204</v>
      </c>
      <c r="J57" s="94">
        <v>840</v>
      </c>
      <c r="K57" s="94" t="s">
        <v>587</v>
      </c>
      <c r="L57" s="94">
        <v>1</v>
      </c>
      <c r="M57" s="94" t="s">
        <v>588</v>
      </c>
      <c r="N57" s="94" t="s">
        <v>589</v>
      </c>
      <c r="O57" s="94" t="s">
        <v>590</v>
      </c>
      <c r="P57" s="94">
        <f t="shared" si="0"/>
        <v>4.2</v>
      </c>
    </row>
    <row r="58" spans="2:16">
      <c r="B58" s="94" t="s">
        <v>585</v>
      </c>
      <c r="C58" s="94">
        <v>976</v>
      </c>
      <c r="D58" s="94" t="s">
        <v>586</v>
      </c>
      <c r="E58" s="94">
        <v>20</v>
      </c>
      <c r="F58" s="94">
        <v>70</v>
      </c>
      <c r="G58" s="94" t="s">
        <v>587</v>
      </c>
      <c r="H58" s="94">
        <v>40001411</v>
      </c>
      <c r="I58" s="94" t="s">
        <v>636</v>
      </c>
      <c r="J58" s="94">
        <v>4.2</v>
      </c>
      <c r="K58" s="94" t="s">
        <v>587</v>
      </c>
      <c r="L58" s="94">
        <v>1</v>
      </c>
      <c r="M58" s="94" t="s">
        <v>592</v>
      </c>
      <c r="N58" s="94" t="s">
        <v>589</v>
      </c>
      <c r="O58" s="94" t="s">
        <v>590</v>
      </c>
      <c r="P58" s="94">
        <f t="shared" si="0"/>
        <v>4.2</v>
      </c>
    </row>
    <row r="59" spans="2:16" hidden="1">
      <c r="B59" s="94" t="s">
        <v>585</v>
      </c>
      <c r="C59" s="94">
        <v>976</v>
      </c>
      <c r="D59" s="94" t="s">
        <v>586</v>
      </c>
      <c r="E59" s="94">
        <v>20</v>
      </c>
      <c r="F59" s="94">
        <v>70</v>
      </c>
      <c r="G59" s="94" t="s">
        <v>587</v>
      </c>
      <c r="H59" s="94">
        <v>40001411</v>
      </c>
      <c r="I59" s="94" t="s">
        <v>637</v>
      </c>
      <c r="J59" s="94">
        <v>840</v>
      </c>
      <c r="K59" s="94" t="s">
        <v>587</v>
      </c>
      <c r="L59" s="94">
        <v>1</v>
      </c>
      <c r="M59" s="94" t="s">
        <v>588</v>
      </c>
      <c r="N59" s="94" t="s">
        <v>589</v>
      </c>
      <c r="O59" s="94" t="s">
        <v>590</v>
      </c>
      <c r="P59" s="94">
        <f t="shared" si="0"/>
        <v>4.2</v>
      </c>
    </row>
    <row r="60" spans="2:16">
      <c r="B60" s="94" t="s">
        <v>585</v>
      </c>
      <c r="C60" s="94">
        <v>976</v>
      </c>
      <c r="D60" s="94" t="s">
        <v>586</v>
      </c>
      <c r="E60" s="94">
        <v>20</v>
      </c>
      <c r="F60" s="94">
        <v>70</v>
      </c>
      <c r="G60" s="94" t="s">
        <v>587</v>
      </c>
      <c r="H60" s="94">
        <v>40001411</v>
      </c>
      <c r="I60" s="94" t="s">
        <v>638</v>
      </c>
      <c r="J60" s="94">
        <v>4.2</v>
      </c>
      <c r="K60" s="94" t="s">
        <v>587</v>
      </c>
      <c r="L60" s="94">
        <v>1</v>
      </c>
      <c r="M60" s="94" t="s">
        <v>592</v>
      </c>
      <c r="N60" s="94" t="s">
        <v>589</v>
      </c>
      <c r="O60" s="94" t="s">
        <v>590</v>
      </c>
      <c r="P60" s="94">
        <f t="shared" si="0"/>
        <v>4.2</v>
      </c>
    </row>
    <row r="61" spans="2:16" hidden="1">
      <c r="B61" s="94" t="s">
        <v>585</v>
      </c>
      <c r="C61" s="94">
        <v>976</v>
      </c>
      <c r="D61" s="94" t="s">
        <v>586</v>
      </c>
      <c r="E61" s="94">
        <v>20</v>
      </c>
      <c r="F61" s="94">
        <v>70</v>
      </c>
      <c r="G61" s="94" t="s">
        <v>587</v>
      </c>
      <c r="H61" s="94">
        <v>40001411</v>
      </c>
      <c r="I61" s="94" t="s">
        <v>639</v>
      </c>
      <c r="J61" s="94">
        <v>950</v>
      </c>
      <c r="K61" s="94" t="s">
        <v>587</v>
      </c>
      <c r="L61" s="94">
        <v>1</v>
      </c>
      <c r="M61" s="94" t="s">
        <v>588</v>
      </c>
      <c r="N61" s="94" t="s">
        <v>589</v>
      </c>
      <c r="O61" s="94" t="s">
        <v>590</v>
      </c>
      <c r="P61" s="94">
        <f t="shared" si="0"/>
        <v>4.75</v>
      </c>
    </row>
    <row r="62" spans="2:16">
      <c r="B62" s="94" t="s">
        <v>585</v>
      </c>
      <c r="C62" s="94">
        <v>976</v>
      </c>
      <c r="D62" s="94" t="s">
        <v>586</v>
      </c>
      <c r="E62" s="94">
        <v>20</v>
      </c>
      <c r="F62" s="94">
        <v>70</v>
      </c>
      <c r="G62" s="94" t="s">
        <v>587</v>
      </c>
      <c r="H62" s="94">
        <v>40001411</v>
      </c>
      <c r="I62" s="94" t="s">
        <v>640</v>
      </c>
      <c r="J62" s="94">
        <v>4.75</v>
      </c>
      <c r="K62" s="94" t="s">
        <v>587</v>
      </c>
      <c r="L62" s="94">
        <v>1</v>
      </c>
      <c r="M62" s="94" t="s">
        <v>592</v>
      </c>
      <c r="N62" s="94" t="s">
        <v>589</v>
      </c>
      <c r="O62" s="94" t="s">
        <v>590</v>
      </c>
      <c r="P62" s="94">
        <f t="shared" si="0"/>
        <v>4.75</v>
      </c>
    </row>
    <row r="63" spans="2:16" hidden="1">
      <c r="B63" s="94" t="s">
        <v>585</v>
      </c>
      <c r="C63" s="94">
        <v>976</v>
      </c>
      <c r="D63" s="94" t="s">
        <v>586</v>
      </c>
      <c r="E63" s="94">
        <v>20</v>
      </c>
      <c r="F63" s="94">
        <v>70</v>
      </c>
      <c r="G63" s="94" t="s">
        <v>587</v>
      </c>
      <c r="H63" s="94">
        <v>40001411</v>
      </c>
      <c r="I63" s="94" t="s">
        <v>641</v>
      </c>
      <c r="J63" s="94">
        <v>950</v>
      </c>
      <c r="K63" s="94" t="s">
        <v>587</v>
      </c>
      <c r="L63" s="94">
        <v>1</v>
      </c>
      <c r="M63" s="94" t="s">
        <v>588</v>
      </c>
      <c r="N63" s="94" t="s">
        <v>589</v>
      </c>
      <c r="O63" s="94" t="s">
        <v>590</v>
      </c>
      <c r="P63" s="94">
        <f t="shared" si="0"/>
        <v>4.75</v>
      </c>
    </row>
    <row r="64" spans="2:16">
      <c r="B64" s="94" t="s">
        <v>585</v>
      </c>
      <c r="C64" s="94">
        <v>976</v>
      </c>
      <c r="D64" s="94" t="s">
        <v>586</v>
      </c>
      <c r="E64" s="94">
        <v>20</v>
      </c>
      <c r="F64" s="94">
        <v>70</v>
      </c>
      <c r="G64" s="94" t="s">
        <v>587</v>
      </c>
      <c r="H64" s="94">
        <v>40001411</v>
      </c>
      <c r="I64" s="94" t="s">
        <v>642</v>
      </c>
      <c r="J64" s="94">
        <v>4.75</v>
      </c>
      <c r="K64" s="94" t="s">
        <v>587</v>
      </c>
      <c r="L64" s="94">
        <v>1</v>
      </c>
      <c r="M64" s="94" t="s">
        <v>592</v>
      </c>
      <c r="N64" s="94" t="s">
        <v>589</v>
      </c>
      <c r="O64" s="94" t="s">
        <v>590</v>
      </c>
      <c r="P64" s="94">
        <f t="shared" si="0"/>
        <v>4.75</v>
      </c>
    </row>
    <row r="65" spans="2:16" hidden="1">
      <c r="B65" s="94" t="s">
        <v>585</v>
      </c>
      <c r="C65" s="94">
        <v>976</v>
      </c>
      <c r="D65" s="94" t="s">
        <v>586</v>
      </c>
      <c r="E65" s="94">
        <v>20</v>
      </c>
      <c r="F65" s="94">
        <v>70</v>
      </c>
      <c r="G65" s="94" t="s">
        <v>587</v>
      </c>
      <c r="H65" s="94">
        <v>40001411</v>
      </c>
      <c r="I65" s="94" t="s">
        <v>643</v>
      </c>
      <c r="J65" s="94">
        <v>720</v>
      </c>
      <c r="K65" s="94" t="s">
        <v>587</v>
      </c>
      <c r="L65" s="94">
        <v>1</v>
      </c>
      <c r="M65" s="94" t="s">
        <v>588</v>
      </c>
      <c r="N65" s="94" t="s">
        <v>589</v>
      </c>
      <c r="O65" s="94" t="s">
        <v>590</v>
      </c>
      <c r="P65" s="94">
        <f t="shared" si="0"/>
        <v>3.6</v>
      </c>
    </row>
    <row r="66" spans="2:16">
      <c r="B66" s="94" t="s">
        <v>585</v>
      </c>
      <c r="C66" s="94">
        <v>976</v>
      </c>
      <c r="D66" s="94" t="s">
        <v>586</v>
      </c>
      <c r="E66" s="94">
        <v>20</v>
      </c>
      <c r="F66" s="94">
        <v>70</v>
      </c>
      <c r="G66" s="94" t="s">
        <v>587</v>
      </c>
      <c r="H66" s="94">
        <v>40001411</v>
      </c>
      <c r="I66" s="94" t="s">
        <v>283</v>
      </c>
      <c r="J66" s="94">
        <v>3.6</v>
      </c>
      <c r="K66" s="94" t="s">
        <v>587</v>
      </c>
      <c r="L66" s="94">
        <v>1</v>
      </c>
      <c r="M66" s="94" t="s">
        <v>592</v>
      </c>
      <c r="N66" s="94" t="s">
        <v>589</v>
      </c>
      <c r="O66" s="94" t="s">
        <v>590</v>
      </c>
      <c r="P66" s="94">
        <f t="shared" si="0"/>
        <v>3.6</v>
      </c>
    </row>
    <row r="67" spans="2:16" hidden="1">
      <c r="B67" s="94" t="s">
        <v>585</v>
      </c>
      <c r="C67" s="94">
        <v>976</v>
      </c>
      <c r="D67" s="94" t="s">
        <v>586</v>
      </c>
      <c r="E67" s="94">
        <v>20</v>
      </c>
      <c r="F67" s="94">
        <v>70</v>
      </c>
      <c r="G67" s="94" t="s">
        <v>587</v>
      </c>
      <c r="H67" s="94">
        <v>40001411</v>
      </c>
      <c r="I67" s="94" t="s">
        <v>644</v>
      </c>
      <c r="J67" s="94">
        <v>740</v>
      </c>
      <c r="K67" s="94" t="s">
        <v>587</v>
      </c>
      <c r="L67" s="94">
        <v>1</v>
      </c>
      <c r="M67" s="94" t="s">
        <v>588</v>
      </c>
      <c r="N67" s="94" t="s">
        <v>589</v>
      </c>
      <c r="O67" s="94" t="s">
        <v>590</v>
      </c>
      <c r="P67" s="94">
        <f t="shared" si="0"/>
        <v>3.7</v>
      </c>
    </row>
    <row r="68" spans="2:16">
      <c r="B68" s="94" t="s">
        <v>585</v>
      </c>
      <c r="C68" s="94">
        <v>976</v>
      </c>
      <c r="D68" s="94" t="s">
        <v>586</v>
      </c>
      <c r="E68" s="94">
        <v>20</v>
      </c>
      <c r="F68" s="94">
        <v>70</v>
      </c>
      <c r="G68" s="94" t="s">
        <v>587</v>
      </c>
      <c r="H68" s="94">
        <v>40001411</v>
      </c>
      <c r="I68" s="94" t="s">
        <v>645</v>
      </c>
      <c r="J68" s="94">
        <v>3.7</v>
      </c>
      <c r="K68" s="94" t="s">
        <v>587</v>
      </c>
      <c r="L68" s="94">
        <v>1</v>
      </c>
      <c r="M68" s="94" t="s">
        <v>592</v>
      </c>
      <c r="N68" s="94" t="s">
        <v>589</v>
      </c>
      <c r="O68" s="94" t="s">
        <v>590</v>
      </c>
      <c r="P68" s="94">
        <f t="shared" ref="P68:P131" si="1">+IF(M68="tam",J68/200,J68)</f>
        <v>3.7</v>
      </c>
    </row>
    <row r="69" spans="2:16" hidden="1">
      <c r="B69" s="94" t="s">
        <v>585</v>
      </c>
      <c r="C69" s="94">
        <v>976</v>
      </c>
      <c r="D69" s="94" t="s">
        <v>586</v>
      </c>
      <c r="E69" s="94">
        <v>20</v>
      </c>
      <c r="F69" s="94">
        <v>70</v>
      </c>
      <c r="G69" s="94" t="s">
        <v>587</v>
      </c>
      <c r="H69" s="94">
        <v>40001411</v>
      </c>
      <c r="I69" s="94" t="s">
        <v>646</v>
      </c>
      <c r="J69" s="94">
        <v>740</v>
      </c>
      <c r="K69" s="94" t="s">
        <v>587</v>
      </c>
      <c r="L69" s="94">
        <v>1</v>
      </c>
      <c r="M69" s="94" t="s">
        <v>588</v>
      </c>
      <c r="N69" s="94" t="s">
        <v>589</v>
      </c>
      <c r="O69" s="94" t="s">
        <v>590</v>
      </c>
      <c r="P69" s="94">
        <f t="shared" si="1"/>
        <v>3.7</v>
      </c>
    </row>
    <row r="70" spans="2:16">
      <c r="B70" s="94" t="s">
        <v>585</v>
      </c>
      <c r="C70" s="94">
        <v>976</v>
      </c>
      <c r="D70" s="94" t="s">
        <v>586</v>
      </c>
      <c r="E70" s="94">
        <v>20</v>
      </c>
      <c r="F70" s="94">
        <v>70</v>
      </c>
      <c r="G70" s="94" t="s">
        <v>587</v>
      </c>
      <c r="H70" s="94">
        <v>40001411</v>
      </c>
      <c r="I70" s="94" t="s">
        <v>647</v>
      </c>
      <c r="J70" s="94">
        <v>3.7</v>
      </c>
      <c r="K70" s="94" t="s">
        <v>587</v>
      </c>
      <c r="L70" s="94">
        <v>1</v>
      </c>
      <c r="M70" s="94" t="s">
        <v>592</v>
      </c>
      <c r="N70" s="94" t="s">
        <v>589</v>
      </c>
      <c r="O70" s="94" t="s">
        <v>590</v>
      </c>
      <c r="P70" s="94">
        <f t="shared" si="1"/>
        <v>3.7</v>
      </c>
    </row>
    <row r="71" spans="2:16" hidden="1">
      <c r="B71" s="94" t="s">
        <v>585</v>
      </c>
      <c r="C71" s="94">
        <v>976</v>
      </c>
      <c r="D71" s="94" t="s">
        <v>586</v>
      </c>
      <c r="E71" s="94">
        <v>20</v>
      </c>
      <c r="F71" s="94">
        <v>70</v>
      </c>
      <c r="G71" s="94" t="s">
        <v>587</v>
      </c>
      <c r="H71" s="94">
        <v>40001411</v>
      </c>
      <c r="I71" s="94" t="s">
        <v>648</v>
      </c>
      <c r="J71" s="94">
        <v>642</v>
      </c>
      <c r="K71" s="94" t="s">
        <v>587</v>
      </c>
      <c r="L71" s="94">
        <v>1</v>
      </c>
      <c r="M71" s="94" t="s">
        <v>588</v>
      </c>
      <c r="N71" s="94" t="s">
        <v>589</v>
      </c>
      <c r="O71" s="94" t="s">
        <v>590</v>
      </c>
      <c r="P71" s="94">
        <f t="shared" si="1"/>
        <v>3.21</v>
      </c>
    </row>
    <row r="72" spans="2:16">
      <c r="B72" s="94" t="s">
        <v>585</v>
      </c>
      <c r="C72" s="94">
        <v>976</v>
      </c>
      <c r="D72" s="94" t="s">
        <v>586</v>
      </c>
      <c r="E72" s="94">
        <v>20</v>
      </c>
      <c r="F72" s="94">
        <v>70</v>
      </c>
      <c r="G72" s="94" t="s">
        <v>587</v>
      </c>
      <c r="H72" s="94">
        <v>40001411</v>
      </c>
      <c r="I72" s="94" t="s">
        <v>649</v>
      </c>
      <c r="J72" s="94">
        <v>3.21</v>
      </c>
      <c r="K72" s="94" t="s">
        <v>587</v>
      </c>
      <c r="L72" s="94">
        <v>1</v>
      </c>
      <c r="M72" s="94" t="s">
        <v>592</v>
      </c>
      <c r="N72" s="94" t="s">
        <v>589</v>
      </c>
      <c r="O72" s="94" t="s">
        <v>590</v>
      </c>
      <c r="P72" s="94">
        <f t="shared" si="1"/>
        <v>3.21</v>
      </c>
    </row>
    <row r="73" spans="2:16" hidden="1">
      <c r="B73" s="94" t="s">
        <v>585</v>
      </c>
      <c r="C73" s="94">
        <v>976</v>
      </c>
      <c r="D73" s="94" t="s">
        <v>586</v>
      </c>
      <c r="E73" s="94">
        <v>20</v>
      </c>
      <c r="F73" s="94">
        <v>70</v>
      </c>
      <c r="G73" s="94" t="s">
        <v>587</v>
      </c>
      <c r="H73" s="94">
        <v>40001411</v>
      </c>
      <c r="I73" s="94" t="s">
        <v>260</v>
      </c>
      <c r="J73" s="94">
        <v>1444</v>
      </c>
      <c r="K73" s="94" t="s">
        <v>587</v>
      </c>
      <c r="L73" s="94">
        <v>1</v>
      </c>
      <c r="M73" s="94" t="s">
        <v>588</v>
      </c>
      <c r="N73" s="94" t="s">
        <v>589</v>
      </c>
      <c r="O73" s="94" t="s">
        <v>590</v>
      </c>
      <c r="P73" s="94">
        <f t="shared" si="1"/>
        <v>7.22</v>
      </c>
    </row>
    <row r="74" spans="2:16">
      <c r="B74" s="94" t="s">
        <v>585</v>
      </c>
      <c r="C74" s="94">
        <v>976</v>
      </c>
      <c r="D74" s="94" t="s">
        <v>586</v>
      </c>
      <c r="E74" s="94">
        <v>20</v>
      </c>
      <c r="F74" s="94">
        <v>70</v>
      </c>
      <c r="G74" s="94" t="s">
        <v>587</v>
      </c>
      <c r="H74" s="94">
        <v>40001411</v>
      </c>
      <c r="I74" s="94" t="s">
        <v>650</v>
      </c>
      <c r="J74" s="94">
        <v>7.22</v>
      </c>
      <c r="K74" s="94" t="s">
        <v>587</v>
      </c>
      <c r="L74" s="94">
        <v>1</v>
      </c>
      <c r="M74" s="94" t="s">
        <v>592</v>
      </c>
      <c r="N74" s="94" t="s">
        <v>589</v>
      </c>
      <c r="O74" s="94" t="s">
        <v>590</v>
      </c>
      <c r="P74" s="94">
        <f t="shared" si="1"/>
        <v>7.22</v>
      </c>
    </row>
    <row r="75" spans="2:16" hidden="1">
      <c r="B75" s="94" t="s">
        <v>585</v>
      </c>
      <c r="C75" s="94">
        <v>976</v>
      </c>
      <c r="D75" s="94" t="s">
        <v>586</v>
      </c>
      <c r="E75" s="94">
        <v>20</v>
      </c>
      <c r="F75" s="94">
        <v>70</v>
      </c>
      <c r="G75" s="94" t="s">
        <v>587</v>
      </c>
      <c r="H75" s="94">
        <v>40001411</v>
      </c>
      <c r="I75" s="94" t="s">
        <v>651</v>
      </c>
      <c r="J75" s="94">
        <v>1430</v>
      </c>
      <c r="K75" s="94" t="s">
        <v>587</v>
      </c>
      <c r="L75" s="94">
        <v>1</v>
      </c>
      <c r="M75" s="94" t="s">
        <v>588</v>
      </c>
      <c r="N75" s="94" t="s">
        <v>589</v>
      </c>
      <c r="O75" s="94" t="s">
        <v>590</v>
      </c>
      <c r="P75" s="94">
        <f t="shared" si="1"/>
        <v>7.15</v>
      </c>
    </row>
    <row r="76" spans="2:16">
      <c r="B76" s="94" t="s">
        <v>585</v>
      </c>
      <c r="C76" s="94">
        <v>976</v>
      </c>
      <c r="D76" s="94" t="s">
        <v>586</v>
      </c>
      <c r="E76" s="94">
        <v>20</v>
      </c>
      <c r="F76" s="94">
        <v>70</v>
      </c>
      <c r="G76" s="94" t="s">
        <v>587</v>
      </c>
      <c r="H76" s="94">
        <v>40001411</v>
      </c>
      <c r="I76" s="94" t="s">
        <v>652</v>
      </c>
      <c r="J76" s="94">
        <v>7.15</v>
      </c>
      <c r="K76" s="94" t="s">
        <v>587</v>
      </c>
      <c r="L76" s="94">
        <v>1</v>
      </c>
      <c r="M76" s="94" t="s">
        <v>592</v>
      </c>
      <c r="N76" s="94" t="s">
        <v>589</v>
      </c>
      <c r="O76" s="94" t="s">
        <v>590</v>
      </c>
      <c r="P76" s="94">
        <f t="shared" si="1"/>
        <v>7.15</v>
      </c>
    </row>
    <row r="77" spans="2:16" hidden="1">
      <c r="B77" s="94" t="s">
        <v>585</v>
      </c>
      <c r="C77" s="94">
        <v>976</v>
      </c>
      <c r="D77" s="94" t="s">
        <v>586</v>
      </c>
      <c r="E77" s="94">
        <v>20</v>
      </c>
      <c r="F77" s="94">
        <v>70</v>
      </c>
      <c r="G77" s="94" t="s">
        <v>587</v>
      </c>
      <c r="H77" s="94">
        <v>40001411</v>
      </c>
      <c r="I77" s="94" t="s">
        <v>241</v>
      </c>
      <c r="J77" s="94">
        <v>1322</v>
      </c>
      <c r="K77" s="94" t="s">
        <v>587</v>
      </c>
      <c r="L77" s="94">
        <v>1</v>
      </c>
      <c r="M77" s="94" t="s">
        <v>588</v>
      </c>
      <c r="N77" s="94" t="s">
        <v>589</v>
      </c>
      <c r="O77" s="94" t="s">
        <v>590</v>
      </c>
      <c r="P77" s="94">
        <f t="shared" si="1"/>
        <v>6.61</v>
      </c>
    </row>
    <row r="78" spans="2:16">
      <c r="B78" s="94" t="s">
        <v>585</v>
      </c>
      <c r="C78" s="94">
        <v>976</v>
      </c>
      <c r="D78" s="94" t="s">
        <v>586</v>
      </c>
      <c r="E78" s="94">
        <v>20</v>
      </c>
      <c r="F78" s="94">
        <v>70</v>
      </c>
      <c r="G78" s="94" t="s">
        <v>587</v>
      </c>
      <c r="H78" s="94">
        <v>40001411</v>
      </c>
      <c r="I78" s="94" t="s">
        <v>653</v>
      </c>
      <c r="J78" s="94">
        <v>6.61</v>
      </c>
      <c r="K78" s="94" t="s">
        <v>587</v>
      </c>
      <c r="L78" s="94">
        <v>1</v>
      </c>
      <c r="M78" s="94" t="s">
        <v>592</v>
      </c>
      <c r="N78" s="94" t="s">
        <v>589</v>
      </c>
      <c r="O78" s="94" t="s">
        <v>590</v>
      </c>
      <c r="P78" s="94">
        <f t="shared" si="1"/>
        <v>6.61</v>
      </c>
    </row>
    <row r="79" spans="2:16" hidden="1">
      <c r="B79" s="94" t="s">
        <v>585</v>
      </c>
      <c r="C79" s="94">
        <v>976</v>
      </c>
      <c r="D79" s="94" t="s">
        <v>586</v>
      </c>
      <c r="E79" s="94">
        <v>20</v>
      </c>
      <c r="F79" s="94">
        <v>70</v>
      </c>
      <c r="G79" s="94" t="s">
        <v>587</v>
      </c>
      <c r="H79" s="94">
        <v>40001411</v>
      </c>
      <c r="I79" s="94" t="s">
        <v>654</v>
      </c>
      <c r="J79" s="94">
        <v>1432</v>
      </c>
      <c r="K79" s="94" t="s">
        <v>587</v>
      </c>
      <c r="L79" s="94">
        <v>1</v>
      </c>
      <c r="M79" s="94" t="s">
        <v>588</v>
      </c>
      <c r="N79" s="94" t="s">
        <v>589</v>
      </c>
      <c r="O79" s="94" t="s">
        <v>590</v>
      </c>
      <c r="P79" s="94">
        <f t="shared" si="1"/>
        <v>7.16</v>
      </c>
    </row>
    <row r="80" spans="2:16">
      <c r="B80" s="94" t="s">
        <v>585</v>
      </c>
      <c r="C80" s="94">
        <v>976</v>
      </c>
      <c r="D80" s="94" t="s">
        <v>586</v>
      </c>
      <c r="E80" s="94">
        <v>20</v>
      </c>
      <c r="F80" s="94">
        <v>70</v>
      </c>
      <c r="G80" s="94" t="s">
        <v>587</v>
      </c>
      <c r="H80" s="94">
        <v>40001411</v>
      </c>
      <c r="I80" s="94" t="s">
        <v>655</v>
      </c>
      <c r="J80" s="94">
        <v>7.16</v>
      </c>
      <c r="K80" s="94" t="s">
        <v>587</v>
      </c>
      <c r="L80" s="94">
        <v>1</v>
      </c>
      <c r="M80" s="94" t="s">
        <v>592</v>
      </c>
      <c r="N80" s="94" t="s">
        <v>589</v>
      </c>
      <c r="O80" s="94" t="s">
        <v>590</v>
      </c>
      <c r="P80" s="94">
        <f t="shared" si="1"/>
        <v>7.16</v>
      </c>
    </row>
    <row r="81" spans="2:16" hidden="1">
      <c r="B81" s="94" t="s">
        <v>585</v>
      </c>
      <c r="C81" s="94">
        <v>976</v>
      </c>
      <c r="D81" s="94" t="s">
        <v>586</v>
      </c>
      <c r="E81" s="94">
        <v>20</v>
      </c>
      <c r="F81" s="94">
        <v>70</v>
      </c>
      <c r="G81" s="94" t="s">
        <v>587</v>
      </c>
      <c r="H81" s="94">
        <v>40001411</v>
      </c>
      <c r="I81" s="94" t="s">
        <v>656</v>
      </c>
      <c r="J81" s="94">
        <v>1552</v>
      </c>
      <c r="K81" s="94" t="s">
        <v>587</v>
      </c>
      <c r="L81" s="94">
        <v>1</v>
      </c>
      <c r="M81" s="94" t="s">
        <v>588</v>
      </c>
      <c r="N81" s="94" t="s">
        <v>589</v>
      </c>
      <c r="O81" s="94" t="s">
        <v>590</v>
      </c>
      <c r="P81" s="94">
        <f t="shared" si="1"/>
        <v>7.76</v>
      </c>
    </row>
    <row r="82" spans="2:16">
      <c r="B82" s="94" t="s">
        <v>585</v>
      </c>
      <c r="C82" s="94">
        <v>976</v>
      </c>
      <c r="D82" s="94" t="s">
        <v>586</v>
      </c>
      <c r="E82" s="94">
        <v>20</v>
      </c>
      <c r="F82" s="94">
        <v>70</v>
      </c>
      <c r="G82" s="94" t="s">
        <v>587</v>
      </c>
      <c r="H82" s="94">
        <v>40001411</v>
      </c>
      <c r="I82" s="94" t="s">
        <v>657</v>
      </c>
      <c r="J82" s="94">
        <v>7.76</v>
      </c>
      <c r="K82" s="94" t="s">
        <v>587</v>
      </c>
      <c r="L82" s="94">
        <v>1</v>
      </c>
      <c r="M82" s="94" t="s">
        <v>592</v>
      </c>
      <c r="N82" s="94" t="s">
        <v>589</v>
      </c>
      <c r="O82" s="94" t="s">
        <v>590</v>
      </c>
      <c r="P82" s="94">
        <f t="shared" si="1"/>
        <v>7.76</v>
      </c>
    </row>
    <row r="83" spans="2:16" hidden="1">
      <c r="B83" s="94" t="s">
        <v>585</v>
      </c>
      <c r="C83" s="94">
        <v>976</v>
      </c>
      <c r="D83" s="94" t="s">
        <v>586</v>
      </c>
      <c r="E83" s="94">
        <v>20</v>
      </c>
      <c r="F83" s="94">
        <v>70</v>
      </c>
      <c r="G83" s="94" t="s">
        <v>587</v>
      </c>
      <c r="H83" s="94">
        <v>40001411</v>
      </c>
      <c r="I83" s="94" t="s">
        <v>658</v>
      </c>
      <c r="J83" s="94">
        <v>1252</v>
      </c>
      <c r="K83" s="94" t="s">
        <v>587</v>
      </c>
      <c r="L83" s="94">
        <v>1</v>
      </c>
      <c r="M83" s="94" t="s">
        <v>588</v>
      </c>
      <c r="N83" s="94" t="s">
        <v>589</v>
      </c>
      <c r="O83" s="94" t="s">
        <v>590</v>
      </c>
      <c r="P83" s="94">
        <f t="shared" si="1"/>
        <v>6.26</v>
      </c>
    </row>
    <row r="84" spans="2:16">
      <c r="B84" s="94" t="s">
        <v>585</v>
      </c>
      <c r="C84" s="94">
        <v>976</v>
      </c>
      <c r="D84" s="94" t="s">
        <v>586</v>
      </c>
      <c r="E84" s="94">
        <v>20</v>
      </c>
      <c r="F84" s="94">
        <v>70</v>
      </c>
      <c r="G84" s="94" t="s">
        <v>587</v>
      </c>
      <c r="H84" s="94">
        <v>40001411</v>
      </c>
      <c r="I84" s="94" t="s">
        <v>659</v>
      </c>
      <c r="J84" s="94">
        <v>6.26</v>
      </c>
      <c r="K84" s="94" t="s">
        <v>587</v>
      </c>
      <c r="L84" s="94">
        <v>1</v>
      </c>
      <c r="M84" s="94" t="s">
        <v>592</v>
      </c>
      <c r="N84" s="94" t="s">
        <v>589</v>
      </c>
      <c r="O84" s="94" t="s">
        <v>590</v>
      </c>
      <c r="P84" s="94">
        <f t="shared" si="1"/>
        <v>6.26</v>
      </c>
    </row>
    <row r="85" spans="2:16" hidden="1">
      <c r="B85" s="94" t="s">
        <v>585</v>
      </c>
      <c r="C85" s="94">
        <v>976</v>
      </c>
      <c r="D85" s="94" t="s">
        <v>586</v>
      </c>
      <c r="E85" s="94">
        <v>20</v>
      </c>
      <c r="F85" s="94">
        <v>70</v>
      </c>
      <c r="G85" s="94" t="s">
        <v>587</v>
      </c>
      <c r="H85" s="94">
        <v>40001411</v>
      </c>
      <c r="I85" s="94" t="s">
        <v>660</v>
      </c>
      <c r="J85" s="94">
        <v>1432</v>
      </c>
      <c r="K85" s="94" t="s">
        <v>587</v>
      </c>
      <c r="L85" s="94">
        <v>1</v>
      </c>
      <c r="M85" s="94" t="s">
        <v>588</v>
      </c>
      <c r="N85" s="94" t="s">
        <v>589</v>
      </c>
      <c r="O85" s="94" t="s">
        <v>590</v>
      </c>
      <c r="P85" s="94">
        <f t="shared" si="1"/>
        <v>7.16</v>
      </c>
    </row>
    <row r="86" spans="2:16">
      <c r="B86" s="94" t="s">
        <v>585</v>
      </c>
      <c r="C86" s="94">
        <v>976</v>
      </c>
      <c r="D86" s="94" t="s">
        <v>586</v>
      </c>
      <c r="E86" s="94">
        <v>20</v>
      </c>
      <c r="F86" s="94">
        <v>70</v>
      </c>
      <c r="G86" s="94" t="s">
        <v>587</v>
      </c>
      <c r="H86" s="94">
        <v>40001411</v>
      </c>
      <c r="I86" s="94" t="s">
        <v>661</v>
      </c>
      <c r="J86" s="94">
        <v>7.16</v>
      </c>
      <c r="K86" s="94" t="s">
        <v>587</v>
      </c>
      <c r="L86" s="94">
        <v>1</v>
      </c>
      <c r="M86" s="94" t="s">
        <v>592</v>
      </c>
      <c r="N86" s="94" t="s">
        <v>589</v>
      </c>
      <c r="O86" s="94" t="s">
        <v>590</v>
      </c>
      <c r="P86" s="94">
        <f t="shared" si="1"/>
        <v>7.16</v>
      </c>
    </row>
    <row r="87" spans="2:16" hidden="1">
      <c r="B87" s="94" t="s">
        <v>585</v>
      </c>
      <c r="C87" s="94">
        <v>976</v>
      </c>
      <c r="D87" s="94" t="s">
        <v>586</v>
      </c>
      <c r="E87" s="94">
        <v>20</v>
      </c>
      <c r="F87" s="94">
        <v>70</v>
      </c>
      <c r="G87" s="94" t="s">
        <v>587</v>
      </c>
      <c r="H87" s="94">
        <v>40001411</v>
      </c>
      <c r="I87" s="94" t="s">
        <v>662</v>
      </c>
      <c r="J87" s="94">
        <v>1004</v>
      </c>
      <c r="K87" s="94" t="s">
        <v>587</v>
      </c>
      <c r="L87" s="94">
        <v>1</v>
      </c>
      <c r="M87" s="94" t="s">
        <v>588</v>
      </c>
      <c r="N87" s="94" t="s">
        <v>589</v>
      </c>
      <c r="O87" s="94" t="s">
        <v>590</v>
      </c>
      <c r="P87" s="94">
        <f t="shared" si="1"/>
        <v>5.0199999999999996</v>
      </c>
    </row>
    <row r="88" spans="2:16">
      <c r="B88" s="94" t="s">
        <v>585</v>
      </c>
      <c r="C88" s="94">
        <v>976</v>
      </c>
      <c r="D88" s="94" t="s">
        <v>586</v>
      </c>
      <c r="E88" s="94">
        <v>20</v>
      </c>
      <c r="F88" s="94">
        <v>70</v>
      </c>
      <c r="G88" s="94" t="s">
        <v>587</v>
      </c>
      <c r="H88" s="94">
        <v>40001411</v>
      </c>
      <c r="I88" s="94" t="s">
        <v>663</v>
      </c>
      <c r="J88" s="94">
        <v>5.0199999999999996</v>
      </c>
      <c r="K88" s="94" t="s">
        <v>587</v>
      </c>
      <c r="L88" s="94">
        <v>1</v>
      </c>
      <c r="M88" s="94" t="s">
        <v>592</v>
      </c>
      <c r="N88" s="94" t="s">
        <v>589</v>
      </c>
      <c r="O88" s="94" t="s">
        <v>590</v>
      </c>
      <c r="P88" s="94">
        <f t="shared" si="1"/>
        <v>5.0199999999999996</v>
      </c>
    </row>
    <row r="89" spans="2:16" hidden="1">
      <c r="B89" s="94" t="s">
        <v>585</v>
      </c>
      <c r="C89" s="94">
        <v>976</v>
      </c>
      <c r="D89" s="94" t="s">
        <v>586</v>
      </c>
      <c r="E89" s="94">
        <v>20</v>
      </c>
      <c r="F89" s="94">
        <v>70</v>
      </c>
      <c r="G89" s="94" t="s">
        <v>587</v>
      </c>
      <c r="H89" s="94">
        <v>40001411</v>
      </c>
      <c r="I89" s="94" t="s">
        <v>664</v>
      </c>
      <c r="J89" s="94">
        <v>1278</v>
      </c>
      <c r="K89" s="94" t="s">
        <v>587</v>
      </c>
      <c r="L89" s="94">
        <v>1</v>
      </c>
      <c r="M89" s="94" t="s">
        <v>588</v>
      </c>
      <c r="N89" s="94" t="s">
        <v>589</v>
      </c>
      <c r="O89" s="94" t="s">
        <v>590</v>
      </c>
      <c r="P89" s="94">
        <f t="shared" si="1"/>
        <v>6.39</v>
      </c>
    </row>
    <row r="90" spans="2:16">
      <c r="B90" s="94" t="s">
        <v>585</v>
      </c>
      <c r="C90" s="94">
        <v>976</v>
      </c>
      <c r="D90" s="94" t="s">
        <v>586</v>
      </c>
      <c r="E90" s="94">
        <v>20</v>
      </c>
      <c r="F90" s="94">
        <v>70</v>
      </c>
      <c r="G90" s="94" t="s">
        <v>587</v>
      </c>
      <c r="H90" s="94">
        <v>40001411</v>
      </c>
      <c r="I90" s="94" t="s">
        <v>665</v>
      </c>
      <c r="J90" s="94">
        <v>6.39</v>
      </c>
      <c r="K90" s="94" t="s">
        <v>587</v>
      </c>
      <c r="L90" s="94">
        <v>1</v>
      </c>
      <c r="M90" s="94" t="s">
        <v>592</v>
      </c>
      <c r="N90" s="94" t="s">
        <v>589</v>
      </c>
      <c r="O90" s="94" t="s">
        <v>590</v>
      </c>
      <c r="P90" s="94">
        <f t="shared" si="1"/>
        <v>6.39</v>
      </c>
    </row>
    <row r="91" spans="2:16" hidden="1">
      <c r="B91" s="94" t="s">
        <v>585</v>
      </c>
      <c r="C91" s="94">
        <v>976</v>
      </c>
      <c r="D91" s="94" t="s">
        <v>586</v>
      </c>
      <c r="E91" s="94">
        <v>20</v>
      </c>
      <c r="F91" s="94">
        <v>70</v>
      </c>
      <c r="G91" s="94" t="s">
        <v>587</v>
      </c>
      <c r="H91" s="94">
        <v>40001411</v>
      </c>
      <c r="I91" s="94" t="s">
        <v>666</v>
      </c>
      <c r="J91" s="94">
        <v>1170</v>
      </c>
      <c r="K91" s="94" t="s">
        <v>587</v>
      </c>
      <c r="L91" s="94">
        <v>1</v>
      </c>
      <c r="M91" s="94" t="s">
        <v>588</v>
      </c>
      <c r="N91" s="94" t="s">
        <v>589</v>
      </c>
      <c r="O91" s="94" t="s">
        <v>590</v>
      </c>
      <c r="P91" s="94">
        <f t="shared" si="1"/>
        <v>5.85</v>
      </c>
    </row>
    <row r="92" spans="2:16">
      <c r="B92" s="94" t="s">
        <v>585</v>
      </c>
      <c r="C92" s="94">
        <v>976</v>
      </c>
      <c r="D92" s="94" t="s">
        <v>586</v>
      </c>
      <c r="E92" s="94">
        <v>20</v>
      </c>
      <c r="F92" s="94">
        <v>70</v>
      </c>
      <c r="G92" s="94" t="s">
        <v>587</v>
      </c>
      <c r="H92" s="94">
        <v>40001411</v>
      </c>
      <c r="I92" s="94" t="s">
        <v>262</v>
      </c>
      <c r="J92" s="94">
        <v>5.85</v>
      </c>
      <c r="K92" s="94" t="s">
        <v>587</v>
      </c>
      <c r="L92" s="94">
        <v>1</v>
      </c>
      <c r="M92" s="94" t="s">
        <v>592</v>
      </c>
      <c r="N92" s="94" t="s">
        <v>589</v>
      </c>
      <c r="O92" s="94" t="s">
        <v>590</v>
      </c>
      <c r="P92" s="94">
        <f t="shared" si="1"/>
        <v>5.85</v>
      </c>
    </row>
    <row r="93" spans="2:16" hidden="1">
      <c r="B93" s="94" t="s">
        <v>585</v>
      </c>
      <c r="C93" s="94">
        <v>976</v>
      </c>
      <c r="D93" s="94" t="s">
        <v>586</v>
      </c>
      <c r="E93" s="94">
        <v>20</v>
      </c>
      <c r="F93" s="94">
        <v>70</v>
      </c>
      <c r="G93" s="94" t="s">
        <v>587</v>
      </c>
      <c r="H93" s="94">
        <v>40001411</v>
      </c>
      <c r="I93" s="94" t="s">
        <v>667</v>
      </c>
      <c r="J93" s="94">
        <v>1000</v>
      </c>
      <c r="K93" s="94" t="s">
        <v>587</v>
      </c>
      <c r="L93" s="94">
        <v>1</v>
      </c>
      <c r="M93" s="94" t="s">
        <v>588</v>
      </c>
      <c r="N93" s="94" t="s">
        <v>589</v>
      </c>
      <c r="O93" s="94" t="s">
        <v>590</v>
      </c>
      <c r="P93" s="94">
        <f t="shared" si="1"/>
        <v>5</v>
      </c>
    </row>
    <row r="94" spans="2:16">
      <c r="B94" s="94" t="s">
        <v>585</v>
      </c>
      <c r="C94" s="94">
        <v>976</v>
      </c>
      <c r="D94" s="94" t="s">
        <v>586</v>
      </c>
      <c r="E94" s="94">
        <v>20</v>
      </c>
      <c r="F94" s="94">
        <v>70</v>
      </c>
      <c r="G94" s="94" t="s">
        <v>587</v>
      </c>
      <c r="H94" s="94">
        <v>40001411</v>
      </c>
      <c r="I94" s="94" t="s">
        <v>668</v>
      </c>
      <c r="J94" s="94">
        <v>5</v>
      </c>
      <c r="K94" s="94" t="s">
        <v>587</v>
      </c>
      <c r="L94" s="94">
        <v>1</v>
      </c>
      <c r="M94" s="94" t="s">
        <v>592</v>
      </c>
      <c r="N94" s="94" t="s">
        <v>589</v>
      </c>
      <c r="O94" s="94" t="s">
        <v>590</v>
      </c>
      <c r="P94" s="94">
        <f t="shared" si="1"/>
        <v>5</v>
      </c>
    </row>
    <row r="95" spans="2:16" hidden="1">
      <c r="B95" s="94" t="s">
        <v>585</v>
      </c>
      <c r="C95" s="94">
        <v>976</v>
      </c>
      <c r="D95" s="94" t="s">
        <v>586</v>
      </c>
      <c r="E95" s="94">
        <v>20</v>
      </c>
      <c r="F95" s="94">
        <v>70</v>
      </c>
      <c r="G95" s="94" t="s">
        <v>587</v>
      </c>
      <c r="H95" s="94">
        <v>40001411</v>
      </c>
      <c r="I95" s="94" t="s">
        <v>182</v>
      </c>
      <c r="J95" s="94">
        <v>1364</v>
      </c>
      <c r="K95" s="94" t="s">
        <v>587</v>
      </c>
      <c r="L95" s="94">
        <v>1</v>
      </c>
      <c r="M95" s="94" t="s">
        <v>588</v>
      </c>
      <c r="N95" s="94" t="s">
        <v>589</v>
      </c>
      <c r="O95" s="94" t="s">
        <v>590</v>
      </c>
      <c r="P95" s="94">
        <f t="shared" si="1"/>
        <v>6.82</v>
      </c>
    </row>
    <row r="96" spans="2:16">
      <c r="B96" s="94" t="s">
        <v>585</v>
      </c>
      <c r="C96" s="94">
        <v>976</v>
      </c>
      <c r="D96" s="94" t="s">
        <v>586</v>
      </c>
      <c r="E96" s="94">
        <v>20</v>
      </c>
      <c r="F96" s="94">
        <v>70</v>
      </c>
      <c r="G96" s="94" t="s">
        <v>587</v>
      </c>
      <c r="H96" s="94">
        <v>40001411</v>
      </c>
      <c r="I96" s="94" t="s">
        <v>669</v>
      </c>
      <c r="J96" s="94">
        <v>6.82</v>
      </c>
      <c r="K96" s="94" t="s">
        <v>587</v>
      </c>
      <c r="L96" s="94">
        <v>1</v>
      </c>
      <c r="M96" s="94" t="s">
        <v>592</v>
      </c>
      <c r="N96" s="94" t="s">
        <v>589</v>
      </c>
      <c r="O96" s="94" t="s">
        <v>590</v>
      </c>
      <c r="P96" s="94">
        <f t="shared" si="1"/>
        <v>6.82</v>
      </c>
    </row>
    <row r="97" spans="2:16" hidden="1">
      <c r="B97" s="94" t="s">
        <v>585</v>
      </c>
      <c r="C97" s="94">
        <v>976</v>
      </c>
      <c r="D97" s="94" t="s">
        <v>586</v>
      </c>
      <c r="E97" s="94">
        <v>20</v>
      </c>
      <c r="F97" s="94">
        <v>70</v>
      </c>
      <c r="G97" s="94" t="s">
        <v>587</v>
      </c>
      <c r="H97" s="94">
        <v>40001411</v>
      </c>
      <c r="I97" s="94" t="s">
        <v>670</v>
      </c>
      <c r="J97" s="94">
        <v>1500</v>
      </c>
      <c r="K97" s="94" t="s">
        <v>587</v>
      </c>
      <c r="L97" s="94">
        <v>1</v>
      </c>
      <c r="M97" s="94" t="s">
        <v>588</v>
      </c>
      <c r="N97" s="94" t="s">
        <v>589</v>
      </c>
      <c r="O97" s="94" t="s">
        <v>590</v>
      </c>
      <c r="P97" s="94">
        <f t="shared" si="1"/>
        <v>7.5</v>
      </c>
    </row>
    <row r="98" spans="2:16">
      <c r="B98" s="94" t="s">
        <v>585</v>
      </c>
      <c r="C98" s="94">
        <v>976</v>
      </c>
      <c r="D98" s="94" t="s">
        <v>586</v>
      </c>
      <c r="E98" s="94">
        <v>20</v>
      </c>
      <c r="F98" s="94">
        <v>70</v>
      </c>
      <c r="G98" s="94" t="s">
        <v>587</v>
      </c>
      <c r="H98" s="94">
        <v>40001411</v>
      </c>
      <c r="I98" s="94" t="s">
        <v>671</v>
      </c>
      <c r="J98" s="94">
        <v>7.5</v>
      </c>
      <c r="K98" s="94" t="s">
        <v>587</v>
      </c>
      <c r="L98" s="94">
        <v>1</v>
      </c>
      <c r="M98" s="94" t="s">
        <v>592</v>
      </c>
      <c r="N98" s="94" t="s">
        <v>589</v>
      </c>
      <c r="O98" s="94" t="s">
        <v>590</v>
      </c>
      <c r="P98" s="94">
        <f t="shared" si="1"/>
        <v>7.5</v>
      </c>
    </row>
    <row r="99" spans="2:16" hidden="1">
      <c r="B99" s="94" t="s">
        <v>585</v>
      </c>
      <c r="C99" s="94">
        <v>976</v>
      </c>
      <c r="D99" s="94" t="s">
        <v>586</v>
      </c>
      <c r="E99" s="94">
        <v>20</v>
      </c>
      <c r="F99" s="94">
        <v>70</v>
      </c>
      <c r="G99" s="94" t="s">
        <v>587</v>
      </c>
      <c r="H99" s="94">
        <v>40001411</v>
      </c>
      <c r="I99" s="94" t="s">
        <v>303</v>
      </c>
      <c r="J99" s="94">
        <v>1324</v>
      </c>
      <c r="K99" s="94" t="s">
        <v>587</v>
      </c>
      <c r="L99" s="94">
        <v>1</v>
      </c>
      <c r="M99" s="94" t="s">
        <v>588</v>
      </c>
      <c r="N99" s="94" t="s">
        <v>589</v>
      </c>
      <c r="O99" s="94" t="s">
        <v>590</v>
      </c>
      <c r="P99" s="94">
        <f t="shared" si="1"/>
        <v>6.62</v>
      </c>
    </row>
    <row r="100" spans="2:16">
      <c r="B100" s="94" t="s">
        <v>585</v>
      </c>
      <c r="C100" s="94">
        <v>976</v>
      </c>
      <c r="D100" s="94" t="s">
        <v>586</v>
      </c>
      <c r="E100" s="94">
        <v>20</v>
      </c>
      <c r="F100" s="94">
        <v>70</v>
      </c>
      <c r="G100" s="94" t="s">
        <v>587</v>
      </c>
      <c r="H100" s="94">
        <v>40001411</v>
      </c>
      <c r="I100" s="94" t="s">
        <v>672</v>
      </c>
      <c r="J100" s="94">
        <v>6.62</v>
      </c>
      <c r="K100" s="94" t="s">
        <v>587</v>
      </c>
      <c r="L100" s="94">
        <v>1</v>
      </c>
      <c r="M100" s="94" t="s">
        <v>592</v>
      </c>
      <c r="N100" s="94" t="s">
        <v>589</v>
      </c>
      <c r="O100" s="94" t="s">
        <v>590</v>
      </c>
      <c r="P100" s="94">
        <f t="shared" si="1"/>
        <v>6.62</v>
      </c>
    </row>
    <row r="101" spans="2:16" hidden="1">
      <c r="B101" s="94" t="s">
        <v>585</v>
      </c>
      <c r="C101" s="94">
        <v>976</v>
      </c>
      <c r="D101" s="94" t="s">
        <v>586</v>
      </c>
      <c r="E101" s="94">
        <v>20</v>
      </c>
      <c r="F101" s="94">
        <v>70</v>
      </c>
      <c r="G101" s="94" t="s">
        <v>587</v>
      </c>
      <c r="H101" s="94">
        <v>40001411</v>
      </c>
      <c r="I101" s="94" t="s">
        <v>673</v>
      </c>
      <c r="J101" s="94">
        <v>1386</v>
      </c>
      <c r="K101" s="94" t="s">
        <v>587</v>
      </c>
      <c r="L101" s="94">
        <v>1</v>
      </c>
      <c r="M101" s="94" t="s">
        <v>588</v>
      </c>
      <c r="N101" s="94" t="s">
        <v>589</v>
      </c>
      <c r="O101" s="94" t="s">
        <v>590</v>
      </c>
      <c r="P101" s="94">
        <f t="shared" si="1"/>
        <v>6.93</v>
      </c>
    </row>
    <row r="102" spans="2:16">
      <c r="B102" s="94" t="s">
        <v>585</v>
      </c>
      <c r="C102" s="94">
        <v>976</v>
      </c>
      <c r="D102" s="94" t="s">
        <v>586</v>
      </c>
      <c r="E102" s="94">
        <v>20</v>
      </c>
      <c r="F102" s="94">
        <v>70</v>
      </c>
      <c r="G102" s="94" t="s">
        <v>587</v>
      </c>
      <c r="H102" s="94">
        <v>40001411</v>
      </c>
      <c r="I102" s="94" t="s">
        <v>674</v>
      </c>
      <c r="J102" s="94">
        <v>6.93</v>
      </c>
      <c r="K102" s="94" t="s">
        <v>587</v>
      </c>
      <c r="L102" s="94">
        <v>1</v>
      </c>
      <c r="M102" s="94" t="s">
        <v>592</v>
      </c>
      <c r="N102" s="94" t="s">
        <v>589</v>
      </c>
      <c r="O102" s="94" t="s">
        <v>590</v>
      </c>
      <c r="P102" s="94">
        <f t="shared" si="1"/>
        <v>6.93</v>
      </c>
    </row>
    <row r="103" spans="2:16" hidden="1">
      <c r="B103" s="94" t="s">
        <v>585</v>
      </c>
      <c r="C103" s="94">
        <v>976</v>
      </c>
      <c r="D103" s="94" t="s">
        <v>586</v>
      </c>
      <c r="E103" s="94">
        <v>20</v>
      </c>
      <c r="F103" s="94">
        <v>70</v>
      </c>
      <c r="G103" s="94" t="s">
        <v>587</v>
      </c>
      <c r="H103" s="94">
        <v>40001411</v>
      </c>
      <c r="I103" s="94" t="s">
        <v>675</v>
      </c>
      <c r="J103" s="94">
        <v>1460</v>
      </c>
      <c r="K103" s="94" t="s">
        <v>587</v>
      </c>
      <c r="L103" s="94">
        <v>1</v>
      </c>
      <c r="M103" s="94" t="s">
        <v>588</v>
      </c>
      <c r="N103" s="94" t="s">
        <v>589</v>
      </c>
      <c r="O103" s="94" t="s">
        <v>590</v>
      </c>
      <c r="P103" s="94">
        <f t="shared" si="1"/>
        <v>7.3</v>
      </c>
    </row>
    <row r="104" spans="2:16">
      <c r="B104" s="94" t="s">
        <v>585</v>
      </c>
      <c r="C104" s="94">
        <v>976</v>
      </c>
      <c r="D104" s="94" t="s">
        <v>586</v>
      </c>
      <c r="E104" s="94">
        <v>20</v>
      </c>
      <c r="F104" s="94">
        <v>70</v>
      </c>
      <c r="G104" s="94" t="s">
        <v>587</v>
      </c>
      <c r="H104" s="94">
        <v>40001411</v>
      </c>
      <c r="I104" s="94" t="s">
        <v>676</v>
      </c>
      <c r="J104" s="94">
        <v>7.3</v>
      </c>
      <c r="K104" s="94" t="s">
        <v>587</v>
      </c>
      <c r="L104" s="94">
        <v>1</v>
      </c>
      <c r="M104" s="94" t="s">
        <v>592</v>
      </c>
      <c r="N104" s="94" t="s">
        <v>589</v>
      </c>
      <c r="O104" s="94" t="s">
        <v>590</v>
      </c>
      <c r="P104" s="94">
        <f t="shared" si="1"/>
        <v>7.3</v>
      </c>
    </row>
    <row r="105" spans="2:16">
      <c r="B105" s="94" t="s">
        <v>585</v>
      </c>
      <c r="C105" s="94">
        <v>976</v>
      </c>
      <c r="D105" s="94" t="s">
        <v>586</v>
      </c>
      <c r="E105" s="94">
        <v>20</v>
      </c>
      <c r="F105" s="94">
        <v>70</v>
      </c>
      <c r="G105" s="94" t="s">
        <v>587</v>
      </c>
      <c r="H105" s="94">
        <v>40001411</v>
      </c>
      <c r="I105" s="94" t="s">
        <v>177</v>
      </c>
      <c r="J105" s="94">
        <v>3.25</v>
      </c>
      <c r="K105" s="94" t="s">
        <v>587</v>
      </c>
      <c r="L105" s="94">
        <v>1</v>
      </c>
      <c r="M105" s="94" t="s">
        <v>592</v>
      </c>
      <c r="N105" s="94" t="s">
        <v>589</v>
      </c>
      <c r="O105" s="94" t="s">
        <v>590</v>
      </c>
      <c r="P105" s="94">
        <f t="shared" si="1"/>
        <v>3.25</v>
      </c>
    </row>
    <row r="106" spans="2:16" hidden="1">
      <c r="B106" s="94" t="s">
        <v>585</v>
      </c>
      <c r="C106" s="94">
        <v>976</v>
      </c>
      <c r="D106" s="94" t="s">
        <v>586</v>
      </c>
      <c r="E106" s="94">
        <v>20</v>
      </c>
      <c r="F106" s="94">
        <v>70</v>
      </c>
      <c r="G106" s="94" t="s">
        <v>587</v>
      </c>
      <c r="H106" s="94">
        <v>40001411</v>
      </c>
      <c r="I106" s="94" t="s">
        <v>191</v>
      </c>
      <c r="J106" s="94">
        <v>878</v>
      </c>
      <c r="K106" s="94" t="s">
        <v>587</v>
      </c>
      <c r="L106" s="94">
        <v>1</v>
      </c>
      <c r="M106" s="94" t="s">
        <v>588</v>
      </c>
      <c r="N106" s="94" t="s">
        <v>589</v>
      </c>
      <c r="O106" s="94" t="s">
        <v>590</v>
      </c>
      <c r="P106" s="94">
        <f t="shared" si="1"/>
        <v>4.3899999999999997</v>
      </c>
    </row>
    <row r="107" spans="2:16">
      <c r="B107" s="94" t="s">
        <v>585</v>
      </c>
      <c r="C107" s="94">
        <v>976</v>
      </c>
      <c r="D107" s="94" t="s">
        <v>586</v>
      </c>
      <c r="E107" s="94">
        <v>20</v>
      </c>
      <c r="F107" s="94">
        <v>70</v>
      </c>
      <c r="G107" s="94" t="s">
        <v>587</v>
      </c>
      <c r="H107" s="94">
        <v>40001411</v>
      </c>
      <c r="I107" s="94" t="s">
        <v>677</v>
      </c>
      <c r="J107" s="94">
        <v>4.3899999999999997</v>
      </c>
      <c r="K107" s="94" t="s">
        <v>587</v>
      </c>
      <c r="L107" s="94">
        <v>1</v>
      </c>
      <c r="M107" s="94" t="s">
        <v>592</v>
      </c>
      <c r="N107" s="94" t="s">
        <v>589</v>
      </c>
      <c r="O107" s="94" t="s">
        <v>590</v>
      </c>
      <c r="P107" s="94">
        <f t="shared" si="1"/>
        <v>4.3899999999999997</v>
      </c>
    </row>
    <row r="108" spans="2:16" hidden="1">
      <c r="B108" s="94" t="s">
        <v>585</v>
      </c>
      <c r="C108" s="94">
        <v>976</v>
      </c>
      <c r="D108" s="94" t="s">
        <v>586</v>
      </c>
      <c r="E108" s="94">
        <v>20</v>
      </c>
      <c r="F108" s="94">
        <v>70</v>
      </c>
      <c r="G108" s="94" t="s">
        <v>587</v>
      </c>
      <c r="H108" s="94">
        <v>40001411</v>
      </c>
      <c r="I108" s="94" t="s">
        <v>678</v>
      </c>
      <c r="J108" s="94">
        <v>878</v>
      </c>
      <c r="K108" s="94" t="s">
        <v>587</v>
      </c>
      <c r="L108" s="94">
        <v>1</v>
      </c>
      <c r="M108" s="94" t="s">
        <v>588</v>
      </c>
      <c r="N108" s="94" t="s">
        <v>589</v>
      </c>
      <c r="O108" s="94" t="s">
        <v>590</v>
      </c>
      <c r="P108" s="94">
        <f t="shared" si="1"/>
        <v>4.3899999999999997</v>
      </c>
    </row>
    <row r="109" spans="2:16">
      <c r="B109" s="94" t="s">
        <v>585</v>
      </c>
      <c r="C109" s="94">
        <v>976</v>
      </c>
      <c r="D109" s="94" t="s">
        <v>586</v>
      </c>
      <c r="E109" s="94">
        <v>20</v>
      </c>
      <c r="F109" s="94">
        <v>70</v>
      </c>
      <c r="G109" s="94" t="s">
        <v>587</v>
      </c>
      <c r="H109" s="94">
        <v>40001411</v>
      </c>
      <c r="I109" s="94" t="s">
        <v>679</v>
      </c>
      <c r="J109" s="94">
        <v>4.3899999999999997</v>
      </c>
      <c r="K109" s="94" t="s">
        <v>587</v>
      </c>
      <c r="L109" s="94">
        <v>1</v>
      </c>
      <c r="M109" s="94" t="s">
        <v>592</v>
      </c>
      <c r="N109" s="94" t="s">
        <v>589</v>
      </c>
      <c r="O109" s="94" t="s">
        <v>590</v>
      </c>
      <c r="P109" s="94">
        <f t="shared" si="1"/>
        <v>4.3899999999999997</v>
      </c>
    </row>
    <row r="110" spans="2:16" hidden="1">
      <c r="B110" s="94" t="s">
        <v>585</v>
      </c>
      <c r="C110" s="94">
        <v>976</v>
      </c>
      <c r="D110" s="94" t="s">
        <v>586</v>
      </c>
      <c r="E110" s="94">
        <v>20</v>
      </c>
      <c r="F110" s="94">
        <v>70</v>
      </c>
      <c r="G110" s="94" t="s">
        <v>587</v>
      </c>
      <c r="H110" s="94">
        <v>40001411</v>
      </c>
      <c r="I110" s="94" t="s">
        <v>194</v>
      </c>
      <c r="J110" s="94">
        <v>1014</v>
      </c>
      <c r="K110" s="94" t="s">
        <v>587</v>
      </c>
      <c r="L110" s="94">
        <v>1</v>
      </c>
      <c r="M110" s="94" t="s">
        <v>588</v>
      </c>
      <c r="N110" s="94" t="s">
        <v>589</v>
      </c>
      <c r="O110" s="94" t="s">
        <v>590</v>
      </c>
      <c r="P110" s="94">
        <f t="shared" si="1"/>
        <v>5.07</v>
      </c>
    </row>
    <row r="111" spans="2:16">
      <c r="B111" s="94" t="s">
        <v>585</v>
      </c>
      <c r="C111" s="94">
        <v>976</v>
      </c>
      <c r="D111" s="94" t="s">
        <v>586</v>
      </c>
      <c r="E111" s="94">
        <v>20</v>
      </c>
      <c r="F111" s="94">
        <v>70</v>
      </c>
      <c r="G111" s="94" t="s">
        <v>587</v>
      </c>
      <c r="H111" s="94">
        <v>40001411</v>
      </c>
      <c r="I111" s="94" t="s">
        <v>243</v>
      </c>
      <c r="J111" s="94">
        <v>5.07</v>
      </c>
      <c r="K111" s="94" t="s">
        <v>587</v>
      </c>
      <c r="L111" s="94">
        <v>1</v>
      </c>
      <c r="M111" s="94" t="s">
        <v>592</v>
      </c>
      <c r="N111" s="94" t="s">
        <v>589</v>
      </c>
      <c r="O111" s="94" t="s">
        <v>590</v>
      </c>
      <c r="P111" s="94">
        <f t="shared" si="1"/>
        <v>5.07</v>
      </c>
    </row>
    <row r="112" spans="2:16" hidden="1">
      <c r="B112" s="94" t="s">
        <v>585</v>
      </c>
      <c r="C112" s="94">
        <v>976</v>
      </c>
      <c r="D112" s="94" t="s">
        <v>586</v>
      </c>
      <c r="E112" s="94">
        <v>20</v>
      </c>
      <c r="F112" s="94">
        <v>70</v>
      </c>
      <c r="G112" s="94" t="s">
        <v>587</v>
      </c>
      <c r="H112" s="94">
        <v>40001411</v>
      </c>
      <c r="I112" s="94" t="s">
        <v>680</v>
      </c>
      <c r="J112" s="94">
        <v>834</v>
      </c>
      <c r="K112" s="94" t="s">
        <v>587</v>
      </c>
      <c r="L112" s="94">
        <v>1</v>
      </c>
      <c r="M112" s="94" t="s">
        <v>588</v>
      </c>
      <c r="N112" s="94" t="s">
        <v>589</v>
      </c>
      <c r="O112" s="94" t="s">
        <v>590</v>
      </c>
      <c r="P112" s="94">
        <f t="shared" si="1"/>
        <v>4.17</v>
      </c>
    </row>
    <row r="113" spans="2:16">
      <c r="B113" s="94" t="s">
        <v>585</v>
      </c>
      <c r="C113" s="94">
        <v>976</v>
      </c>
      <c r="D113" s="94" t="s">
        <v>586</v>
      </c>
      <c r="E113" s="94">
        <v>20</v>
      </c>
      <c r="F113" s="94">
        <v>70</v>
      </c>
      <c r="G113" s="94" t="s">
        <v>587</v>
      </c>
      <c r="H113" s="94">
        <v>40001411</v>
      </c>
      <c r="I113" s="94" t="s">
        <v>681</v>
      </c>
      <c r="J113" s="94">
        <v>4.17</v>
      </c>
      <c r="K113" s="94" t="s">
        <v>587</v>
      </c>
      <c r="L113" s="94">
        <v>1</v>
      </c>
      <c r="M113" s="94" t="s">
        <v>592</v>
      </c>
      <c r="N113" s="94" t="s">
        <v>589</v>
      </c>
      <c r="O113" s="94" t="s">
        <v>590</v>
      </c>
      <c r="P113" s="94">
        <f t="shared" si="1"/>
        <v>4.17</v>
      </c>
    </row>
    <row r="114" spans="2:16" hidden="1">
      <c r="B114" s="94" t="s">
        <v>585</v>
      </c>
      <c r="C114" s="94">
        <v>976</v>
      </c>
      <c r="D114" s="94" t="s">
        <v>586</v>
      </c>
      <c r="E114" s="94">
        <v>20</v>
      </c>
      <c r="F114" s="94">
        <v>70</v>
      </c>
      <c r="G114" s="94" t="s">
        <v>587</v>
      </c>
      <c r="H114" s="94">
        <v>40001411</v>
      </c>
      <c r="I114" s="94" t="s">
        <v>682</v>
      </c>
      <c r="J114" s="94">
        <v>956</v>
      </c>
      <c r="K114" s="94" t="s">
        <v>587</v>
      </c>
      <c r="L114" s="94">
        <v>1</v>
      </c>
      <c r="M114" s="94" t="s">
        <v>588</v>
      </c>
      <c r="N114" s="94" t="s">
        <v>589</v>
      </c>
      <c r="O114" s="94" t="s">
        <v>590</v>
      </c>
      <c r="P114" s="94">
        <f t="shared" si="1"/>
        <v>4.78</v>
      </c>
    </row>
    <row r="115" spans="2:16">
      <c r="B115" s="94" t="s">
        <v>585</v>
      </c>
      <c r="C115" s="94">
        <v>976</v>
      </c>
      <c r="D115" s="94" t="s">
        <v>586</v>
      </c>
      <c r="E115" s="94">
        <v>20</v>
      </c>
      <c r="F115" s="94">
        <v>70</v>
      </c>
      <c r="G115" s="94" t="s">
        <v>587</v>
      </c>
      <c r="H115" s="94">
        <v>40001411</v>
      </c>
      <c r="I115" s="94" t="s">
        <v>683</v>
      </c>
      <c r="J115" s="94">
        <v>4.78</v>
      </c>
      <c r="K115" s="94" t="s">
        <v>587</v>
      </c>
      <c r="L115" s="94">
        <v>1</v>
      </c>
      <c r="M115" s="94" t="s">
        <v>592</v>
      </c>
      <c r="N115" s="94" t="s">
        <v>589</v>
      </c>
      <c r="O115" s="94" t="s">
        <v>590</v>
      </c>
      <c r="P115" s="94">
        <f t="shared" si="1"/>
        <v>4.78</v>
      </c>
    </row>
    <row r="116" spans="2:16" hidden="1">
      <c r="B116" s="94" t="s">
        <v>585</v>
      </c>
      <c r="C116" s="94">
        <v>976</v>
      </c>
      <c r="D116" s="94" t="s">
        <v>586</v>
      </c>
      <c r="E116" s="94">
        <v>20</v>
      </c>
      <c r="F116" s="94">
        <v>70</v>
      </c>
      <c r="G116" s="94" t="s">
        <v>587</v>
      </c>
      <c r="H116" s="94">
        <v>40001411</v>
      </c>
      <c r="I116" s="94" t="s">
        <v>684</v>
      </c>
      <c r="J116" s="94">
        <v>1028</v>
      </c>
      <c r="K116" s="94" t="s">
        <v>587</v>
      </c>
      <c r="L116" s="94">
        <v>1</v>
      </c>
      <c r="M116" s="94" t="s">
        <v>588</v>
      </c>
      <c r="N116" s="94" t="s">
        <v>589</v>
      </c>
      <c r="O116" s="94" t="s">
        <v>590</v>
      </c>
      <c r="P116" s="94">
        <f t="shared" si="1"/>
        <v>5.14</v>
      </c>
    </row>
    <row r="117" spans="2:16">
      <c r="B117" s="94" t="s">
        <v>585</v>
      </c>
      <c r="C117" s="94">
        <v>976</v>
      </c>
      <c r="D117" s="94" t="s">
        <v>586</v>
      </c>
      <c r="E117" s="94">
        <v>20</v>
      </c>
      <c r="F117" s="94">
        <v>70</v>
      </c>
      <c r="G117" s="94" t="s">
        <v>587</v>
      </c>
      <c r="H117" s="94">
        <v>40001411</v>
      </c>
      <c r="I117" s="94" t="s">
        <v>685</v>
      </c>
      <c r="J117" s="94">
        <v>5.14</v>
      </c>
      <c r="K117" s="94" t="s">
        <v>587</v>
      </c>
      <c r="L117" s="94">
        <v>1</v>
      </c>
      <c r="M117" s="94" t="s">
        <v>592</v>
      </c>
      <c r="N117" s="94" t="s">
        <v>589</v>
      </c>
      <c r="O117" s="94" t="s">
        <v>590</v>
      </c>
      <c r="P117" s="94">
        <f t="shared" si="1"/>
        <v>5.14</v>
      </c>
    </row>
    <row r="118" spans="2:16" hidden="1">
      <c r="B118" s="94" t="s">
        <v>585</v>
      </c>
      <c r="C118" s="94">
        <v>976</v>
      </c>
      <c r="D118" s="94" t="s">
        <v>586</v>
      </c>
      <c r="E118" s="94">
        <v>20</v>
      </c>
      <c r="F118" s="94">
        <v>70</v>
      </c>
      <c r="G118" s="94" t="s">
        <v>587</v>
      </c>
      <c r="H118" s="94">
        <v>40001411</v>
      </c>
      <c r="I118" s="94" t="s">
        <v>686</v>
      </c>
      <c r="J118" s="94">
        <v>810</v>
      </c>
      <c r="K118" s="94" t="s">
        <v>587</v>
      </c>
      <c r="L118" s="94">
        <v>1</v>
      </c>
      <c r="M118" s="94" t="s">
        <v>588</v>
      </c>
      <c r="N118" s="94" t="s">
        <v>589</v>
      </c>
      <c r="O118" s="94" t="s">
        <v>590</v>
      </c>
      <c r="P118" s="94">
        <f t="shared" si="1"/>
        <v>4.05</v>
      </c>
    </row>
    <row r="119" spans="2:16">
      <c r="B119" s="94" t="s">
        <v>585</v>
      </c>
      <c r="C119" s="94">
        <v>976</v>
      </c>
      <c r="D119" s="94" t="s">
        <v>586</v>
      </c>
      <c r="E119" s="94">
        <v>20</v>
      </c>
      <c r="F119" s="94">
        <v>70</v>
      </c>
      <c r="G119" s="94" t="s">
        <v>587</v>
      </c>
      <c r="H119" s="94">
        <v>40001411</v>
      </c>
      <c r="I119" s="94" t="s">
        <v>687</v>
      </c>
      <c r="J119" s="94">
        <v>4.05</v>
      </c>
      <c r="K119" s="94" t="s">
        <v>587</v>
      </c>
      <c r="L119" s="94">
        <v>1</v>
      </c>
      <c r="M119" s="94" t="s">
        <v>592</v>
      </c>
      <c r="N119" s="94" t="s">
        <v>589</v>
      </c>
      <c r="O119" s="94" t="s">
        <v>590</v>
      </c>
      <c r="P119" s="94">
        <f t="shared" si="1"/>
        <v>4.05</v>
      </c>
    </row>
    <row r="120" spans="2:16" hidden="1">
      <c r="B120" s="94" t="s">
        <v>585</v>
      </c>
      <c r="C120" s="94">
        <v>976</v>
      </c>
      <c r="D120" s="94" t="s">
        <v>586</v>
      </c>
      <c r="E120" s="94">
        <v>20</v>
      </c>
      <c r="F120" s="94">
        <v>70</v>
      </c>
      <c r="G120" s="94" t="s">
        <v>587</v>
      </c>
      <c r="H120" s="94">
        <v>40001411</v>
      </c>
      <c r="I120" s="94" t="s">
        <v>688</v>
      </c>
      <c r="J120" s="94">
        <v>936</v>
      </c>
      <c r="K120" s="94" t="s">
        <v>587</v>
      </c>
      <c r="L120" s="94">
        <v>1</v>
      </c>
      <c r="M120" s="94" t="s">
        <v>588</v>
      </c>
      <c r="N120" s="94" t="s">
        <v>589</v>
      </c>
      <c r="O120" s="94" t="s">
        <v>590</v>
      </c>
      <c r="P120" s="94">
        <f t="shared" si="1"/>
        <v>4.68</v>
      </c>
    </row>
    <row r="121" spans="2:16">
      <c r="B121" s="94" t="s">
        <v>585</v>
      </c>
      <c r="C121" s="94">
        <v>976</v>
      </c>
      <c r="D121" s="94" t="s">
        <v>586</v>
      </c>
      <c r="E121" s="94">
        <v>20</v>
      </c>
      <c r="F121" s="94">
        <v>70</v>
      </c>
      <c r="G121" s="94" t="s">
        <v>587</v>
      </c>
      <c r="H121" s="94">
        <v>40001411</v>
      </c>
      <c r="I121" s="94" t="s">
        <v>689</v>
      </c>
      <c r="J121" s="94">
        <v>4.68</v>
      </c>
      <c r="K121" s="94" t="s">
        <v>587</v>
      </c>
      <c r="L121" s="94">
        <v>1</v>
      </c>
      <c r="M121" s="94" t="s">
        <v>592</v>
      </c>
      <c r="N121" s="94" t="s">
        <v>589</v>
      </c>
      <c r="O121" s="94" t="s">
        <v>590</v>
      </c>
      <c r="P121" s="94">
        <f t="shared" si="1"/>
        <v>4.68</v>
      </c>
    </row>
    <row r="122" spans="2:16" hidden="1">
      <c r="B122" s="94" t="s">
        <v>585</v>
      </c>
      <c r="C122" s="94">
        <v>976</v>
      </c>
      <c r="D122" s="94" t="s">
        <v>586</v>
      </c>
      <c r="E122" s="94">
        <v>20</v>
      </c>
      <c r="F122" s="94">
        <v>70</v>
      </c>
      <c r="G122" s="94" t="s">
        <v>587</v>
      </c>
      <c r="H122" s="94">
        <v>40001411</v>
      </c>
      <c r="I122" s="94" t="s">
        <v>690</v>
      </c>
      <c r="J122" s="94">
        <v>792</v>
      </c>
      <c r="K122" s="94" t="s">
        <v>587</v>
      </c>
      <c r="L122" s="94">
        <v>1</v>
      </c>
      <c r="M122" s="94" t="s">
        <v>588</v>
      </c>
      <c r="N122" s="94" t="s">
        <v>589</v>
      </c>
      <c r="O122" s="94" t="s">
        <v>590</v>
      </c>
      <c r="P122" s="94">
        <f t="shared" si="1"/>
        <v>3.96</v>
      </c>
    </row>
    <row r="123" spans="2:16">
      <c r="B123" s="94" t="s">
        <v>585</v>
      </c>
      <c r="C123" s="94">
        <v>976</v>
      </c>
      <c r="D123" s="94" t="s">
        <v>586</v>
      </c>
      <c r="E123" s="94">
        <v>20</v>
      </c>
      <c r="F123" s="94">
        <v>70</v>
      </c>
      <c r="G123" s="94" t="s">
        <v>587</v>
      </c>
      <c r="H123" s="94">
        <v>40001411</v>
      </c>
      <c r="I123" s="94" t="s">
        <v>691</v>
      </c>
      <c r="J123" s="94">
        <v>3.96</v>
      </c>
      <c r="K123" s="94" t="s">
        <v>587</v>
      </c>
      <c r="L123" s="94">
        <v>1</v>
      </c>
      <c r="M123" s="94" t="s">
        <v>592</v>
      </c>
      <c r="N123" s="94" t="s">
        <v>589</v>
      </c>
      <c r="O123" s="94" t="s">
        <v>590</v>
      </c>
      <c r="P123" s="94">
        <f t="shared" si="1"/>
        <v>3.96</v>
      </c>
    </row>
    <row r="124" spans="2:16" hidden="1">
      <c r="B124" s="94" t="s">
        <v>585</v>
      </c>
      <c r="C124" s="94">
        <v>976</v>
      </c>
      <c r="D124" s="94" t="s">
        <v>586</v>
      </c>
      <c r="E124" s="94">
        <v>20</v>
      </c>
      <c r="F124" s="94">
        <v>70</v>
      </c>
      <c r="G124" s="94" t="s">
        <v>587</v>
      </c>
      <c r="H124" s="94">
        <v>40001411</v>
      </c>
      <c r="I124" s="94" t="s">
        <v>188</v>
      </c>
      <c r="J124" s="94">
        <v>302</v>
      </c>
      <c r="K124" s="94" t="s">
        <v>587</v>
      </c>
      <c r="L124" s="94">
        <v>1</v>
      </c>
      <c r="M124" s="94" t="s">
        <v>588</v>
      </c>
      <c r="N124" s="94" t="s">
        <v>589</v>
      </c>
      <c r="O124" s="94" t="s">
        <v>590</v>
      </c>
      <c r="P124" s="94">
        <f t="shared" si="1"/>
        <v>1.51</v>
      </c>
    </row>
    <row r="125" spans="2:16">
      <c r="B125" s="94" t="s">
        <v>585</v>
      </c>
      <c r="C125" s="94">
        <v>976</v>
      </c>
      <c r="D125" s="94" t="s">
        <v>586</v>
      </c>
      <c r="E125" s="94">
        <v>20</v>
      </c>
      <c r="F125" s="94">
        <v>70</v>
      </c>
      <c r="G125" s="94" t="s">
        <v>587</v>
      </c>
      <c r="H125" s="94">
        <v>40001411</v>
      </c>
      <c r="I125" s="94" t="s">
        <v>263</v>
      </c>
      <c r="J125" s="94">
        <v>1.51</v>
      </c>
      <c r="K125" s="94" t="s">
        <v>587</v>
      </c>
      <c r="L125" s="94">
        <v>1</v>
      </c>
      <c r="M125" s="94" t="s">
        <v>592</v>
      </c>
      <c r="N125" s="94" t="s">
        <v>589</v>
      </c>
      <c r="O125" s="94" t="s">
        <v>590</v>
      </c>
      <c r="P125" s="94">
        <f t="shared" si="1"/>
        <v>1.51</v>
      </c>
    </row>
    <row r="126" spans="2:16" hidden="1">
      <c r="B126" s="94" t="s">
        <v>585</v>
      </c>
      <c r="C126" s="94">
        <v>976</v>
      </c>
      <c r="D126" s="94" t="s">
        <v>586</v>
      </c>
      <c r="E126" s="94">
        <v>20</v>
      </c>
      <c r="F126" s="94">
        <v>70</v>
      </c>
      <c r="G126" s="94" t="s">
        <v>587</v>
      </c>
      <c r="H126" s="94">
        <v>40001411</v>
      </c>
      <c r="I126" s="94" t="s">
        <v>692</v>
      </c>
      <c r="J126" s="94">
        <v>742</v>
      </c>
      <c r="K126" s="94" t="s">
        <v>587</v>
      </c>
      <c r="L126" s="94">
        <v>1</v>
      </c>
      <c r="M126" s="94" t="s">
        <v>588</v>
      </c>
      <c r="N126" s="94" t="s">
        <v>589</v>
      </c>
      <c r="O126" s="94" t="s">
        <v>590</v>
      </c>
      <c r="P126" s="94">
        <f t="shared" si="1"/>
        <v>3.71</v>
      </c>
    </row>
    <row r="127" spans="2:16">
      <c r="B127" s="94" t="s">
        <v>585</v>
      </c>
      <c r="C127" s="94">
        <v>976</v>
      </c>
      <c r="D127" s="94" t="s">
        <v>586</v>
      </c>
      <c r="E127" s="94">
        <v>20</v>
      </c>
      <c r="F127" s="94">
        <v>70</v>
      </c>
      <c r="G127" s="94" t="s">
        <v>587</v>
      </c>
      <c r="H127" s="94">
        <v>40001411</v>
      </c>
      <c r="I127" s="94" t="s">
        <v>693</v>
      </c>
      <c r="J127" s="94">
        <v>3.71</v>
      </c>
      <c r="K127" s="94" t="s">
        <v>587</v>
      </c>
      <c r="L127" s="94">
        <v>1</v>
      </c>
      <c r="M127" s="94" t="s">
        <v>592</v>
      </c>
      <c r="N127" s="94" t="s">
        <v>589</v>
      </c>
      <c r="O127" s="94" t="s">
        <v>590</v>
      </c>
      <c r="P127" s="94">
        <f t="shared" si="1"/>
        <v>3.71</v>
      </c>
    </row>
    <row r="128" spans="2:16" hidden="1">
      <c r="B128" s="94" t="s">
        <v>585</v>
      </c>
      <c r="C128" s="94">
        <v>976</v>
      </c>
      <c r="D128" s="94" t="s">
        <v>586</v>
      </c>
      <c r="E128" s="94">
        <v>20</v>
      </c>
      <c r="F128" s="94">
        <v>70</v>
      </c>
      <c r="G128" s="94" t="s">
        <v>587</v>
      </c>
      <c r="H128" s="94">
        <v>40001411</v>
      </c>
      <c r="I128" s="94" t="s">
        <v>694</v>
      </c>
      <c r="J128" s="94">
        <v>18.48</v>
      </c>
      <c r="K128" s="94" t="s">
        <v>587</v>
      </c>
      <c r="L128" s="94">
        <v>1</v>
      </c>
      <c r="M128" s="94" t="s">
        <v>588</v>
      </c>
      <c r="N128" s="94" t="s">
        <v>589</v>
      </c>
      <c r="O128" s="94" t="s">
        <v>590</v>
      </c>
      <c r="P128" s="94">
        <f t="shared" si="1"/>
        <v>9.2399999999999996E-2</v>
      </c>
    </row>
    <row r="129" spans="2:16" hidden="1">
      <c r="B129" s="94" t="s">
        <v>585</v>
      </c>
      <c r="C129" s="94">
        <v>976</v>
      </c>
      <c r="D129" s="94" t="s">
        <v>586</v>
      </c>
      <c r="E129" s="94">
        <v>20</v>
      </c>
      <c r="F129" s="94">
        <v>70</v>
      </c>
      <c r="G129" s="94" t="s">
        <v>587</v>
      </c>
      <c r="H129" s="94">
        <v>40001411</v>
      </c>
      <c r="I129" s="94" t="s">
        <v>695</v>
      </c>
      <c r="J129" s="94">
        <v>721.6</v>
      </c>
      <c r="K129" s="94" t="s">
        <v>587</v>
      </c>
      <c r="L129" s="94">
        <v>1</v>
      </c>
      <c r="M129" s="94" t="s">
        <v>588</v>
      </c>
      <c r="N129" s="94" t="s">
        <v>589</v>
      </c>
      <c r="O129" s="94" t="s">
        <v>590</v>
      </c>
      <c r="P129" s="94">
        <f t="shared" si="1"/>
        <v>3.6080000000000001</v>
      </c>
    </row>
    <row r="130" spans="2:16" hidden="1">
      <c r="B130" s="94" t="s">
        <v>585</v>
      </c>
      <c r="C130" s="94">
        <v>976</v>
      </c>
      <c r="D130" s="94" t="s">
        <v>586</v>
      </c>
      <c r="E130" s="94">
        <v>20</v>
      </c>
      <c r="F130" s="94">
        <v>70</v>
      </c>
      <c r="G130" s="94" t="s">
        <v>587</v>
      </c>
      <c r="H130" s="94">
        <v>40001411</v>
      </c>
      <c r="I130" s="94" t="s">
        <v>696</v>
      </c>
      <c r="J130" s="94">
        <v>1214</v>
      </c>
      <c r="K130" s="94" t="s">
        <v>587</v>
      </c>
      <c r="L130" s="94">
        <v>1</v>
      </c>
      <c r="M130" s="94" t="s">
        <v>588</v>
      </c>
      <c r="N130" s="94" t="s">
        <v>589</v>
      </c>
      <c r="O130" s="94" t="s">
        <v>590</v>
      </c>
      <c r="P130" s="94">
        <f t="shared" si="1"/>
        <v>6.07</v>
      </c>
    </row>
    <row r="131" spans="2:16">
      <c r="B131" s="94" t="s">
        <v>585</v>
      </c>
      <c r="C131" s="94">
        <v>976</v>
      </c>
      <c r="D131" s="94" t="s">
        <v>586</v>
      </c>
      <c r="E131" s="94">
        <v>20</v>
      </c>
      <c r="F131" s="94">
        <v>70</v>
      </c>
      <c r="G131" s="94" t="s">
        <v>587</v>
      </c>
      <c r="H131" s="94">
        <v>40001411</v>
      </c>
      <c r="I131" s="94" t="s">
        <v>697</v>
      </c>
      <c r="J131" s="94">
        <v>6.07</v>
      </c>
      <c r="K131" s="94" t="s">
        <v>587</v>
      </c>
      <c r="L131" s="94">
        <v>1</v>
      </c>
      <c r="M131" s="94" t="s">
        <v>592</v>
      </c>
      <c r="N131" s="94" t="s">
        <v>589</v>
      </c>
      <c r="O131" s="94" t="s">
        <v>590</v>
      </c>
      <c r="P131" s="94">
        <f t="shared" si="1"/>
        <v>6.07</v>
      </c>
    </row>
    <row r="132" spans="2:16" hidden="1">
      <c r="B132" s="94" t="s">
        <v>585</v>
      </c>
      <c r="C132" s="94">
        <v>976</v>
      </c>
      <c r="D132" s="94" t="s">
        <v>586</v>
      </c>
      <c r="E132" s="94">
        <v>20</v>
      </c>
      <c r="F132" s="94">
        <v>70</v>
      </c>
      <c r="G132" s="94" t="s">
        <v>587</v>
      </c>
      <c r="H132" s="94">
        <v>40001411</v>
      </c>
      <c r="I132" s="94" t="s">
        <v>275</v>
      </c>
      <c r="J132" s="94">
        <v>1630</v>
      </c>
      <c r="K132" s="94" t="s">
        <v>587</v>
      </c>
      <c r="L132" s="94">
        <v>1</v>
      </c>
      <c r="M132" s="94" t="s">
        <v>588</v>
      </c>
      <c r="N132" s="94" t="s">
        <v>589</v>
      </c>
      <c r="O132" s="94" t="s">
        <v>590</v>
      </c>
      <c r="P132" s="94">
        <f t="shared" ref="P132:P195" si="2">+IF(M132="tam",J132/200,J132)</f>
        <v>8.15</v>
      </c>
    </row>
    <row r="133" spans="2:16">
      <c r="B133" s="94" t="s">
        <v>585</v>
      </c>
      <c r="C133" s="94">
        <v>976</v>
      </c>
      <c r="D133" s="94" t="s">
        <v>586</v>
      </c>
      <c r="E133" s="94">
        <v>20</v>
      </c>
      <c r="F133" s="94">
        <v>70</v>
      </c>
      <c r="G133" s="94" t="s">
        <v>587</v>
      </c>
      <c r="H133" s="94">
        <v>40001411</v>
      </c>
      <c r="I133" s="94" t="s">
        <v>698</v>
      </c>
      <c r="J133" s="94">
        <v>8.15</v>
      </c>
      <c r="K133" s="94" t="s">
        <v>587</v>
      </c>
      <c r="L133" s="94">
        <v>1</v>
      </c>
      <c r="M133" s="94" t="s">
        <v>592</v>
      </c>
      <c r="N133" s="94" t="s">
        <v>589</v>
      </c>
      <c r="O133" s="94" t="s">
        <v>590</v>
      </c>
      <c r="P133" s="94">
        <f t="shared" si="2"/>
        <v>8.15</v>
      </c>
    </row>
    <row r="134" spans="2:16" hidden="1">
      <c r="B134" s="94" t="s">
        <v>585</v>
      </c>
      <c r="C134" s="94">
        <v>976</v>
      </c>
      <c r="D134" s="94" t="s">
        <v>586</v>
      </c>
      <c r="E134" s="94">
        <v>20</v>
      </c>
      <c r="F134" s="94">
        <v>70</v>
      </c>
      <c r="G134" s="94" t="s">
        <v>587</v>
      </c>
      <c r="H134" s="94">
        <v>40001411</v>
      </c>
      <c r="I134" s="94" t="s">
        <v>174</v>
      </c>
      <c r="J134" s="94">
        <v>914</v>
      </c>
      <c r="K134" s="94" t="s">
        <v>587</v>
      </c>
      <c r="L134" s="94">
        <v>1</v>
      </c>
      <c r="M134" s="94" t="s">
        <v>588</v>
      </c>
      <c r="N134" s="94" t="s">
        <v>589</v>
      </c>
      <c r="O134" s="94" t="s">
        <v>590</v>
      </c>
      <c r="P134" s="94">
        <f t="shared" si="2"/>
        <v>4.57</v>
      </c>
    </row>
    <row r="135" spans="2:16">
      <c r="B135" s="94" t="s">
        <v>585</v>
      </c>
      <c r="C135" s="94">
        <v>976</v>
      </c>
      <c r="D135" s="94" t="s">
        <v>586</v>
      </c>
      <c r="E135" s="94">
        <v>20</v>
      </c>
      <c r="F135" s="94">
        <v>70</v>
      </c>
      <c r="G135" s="94" t="s">
        <v>587</v>
      </c>
      <c r="H135" s="94">
        <v>40001411</v>
      </c>
      <c r="I135" s="94" t="s">
        <v>699</v>
      </c>
      <c r="J135" s="94">
        <v>4.57</v>
      </c>
      <c r="K135" s="94" t="s">
        <v>587</v>
      </c>
      <c r="L135" s="94">
        <v>1</v>
      </c>
      <c r="M135" s="94" t="s">
        <v>592</v>
      </c>
      <c r="N135" s="94" t="s">
        <v>589</v>
      </c>
      <c r="O135" s="94" t="s">
        <v>590</v>
      </c>
      <c r="P135" s="94">
        <f t="shared" si="2"/>
        <v>4.57</v>
      </c>
    </row>
    <row r="136" spans="2:16" hidden="1">
      <c r="B136" s="94" t="s">
        <v>585</v>
      </c>
      <c r="C136" s="94">
        <v>976</v>
      </c>
      <c r="D136" s="94" t="s">
        <v>586</v>
      </c>
      <c r="E136" s="94">
        <v>20</v>
      </c>
      <c r="F136" s="94">
        <v>70</v>
      </c>
      <c r="G136" s="94" t="s">
        <v>587</v>
      </c>
      <c r="H136" s="94">
        <v>40001411</v>
      </c>
      <c r="I136" s="94" t="s">
        <v>179</v>
      </c>
      <c r="J136" s="94">
        <v>548</v>
      </c>
      <c r="K136" s="94" t="s">
        <v>587</v>
      </c>
      <c r="L136" s="94">
        <v>1</v>
      </c>
      <c r="M136" s="94" t="s">
        <v>588</v>
      </c>
      <c r="N136" s="94" t="s">
        <v>589</v>
      </c>
      <c r="O136" s="94" t="s">
        <v>590</v>
      </c>
      <c r="P136" s="94">
        <f t="shared" si="2"/>
        <v>2.74</v>
      </c>
    </row>
    <row r="137" spans="2:16">
      <c r="B137" s="94" t="s">
        <v>585</v>
      </c>
      <c r="C137" s="94">
        <v>976</v>
      </c>
      <c r="D137" s="94" t="s">
        <v>586</v>
      </c>
      <c r="E137" s="94">
        <v>20</v>
      </c>
      <c r="F137" s="94">
        <v>70</v>
      </c>
      <c r="G137" s="94" t="s">
        <v>587</v>
      </c>
      <c r="H137" s="94">
        <v>40001411</v>
      </c>
      <c r="I137" s="94" t="s">
        <v>700</v>
      </c>
      <c r="J137" s="94">
        <v>2.74</v>
      </c>
      <c r="K137" s="94" t="s">
        <v>587</v>
      </c>
      <c r="L137" s="94">
        <v>1</v>
      </c>
      <c r="M137" s="94" t="s">
        <v>592</v>
      </c>
      <c r="N137" s="94" t="s">
        <v>589</v>
      </c>
      <c r="O137" s="94" t="s">
        <v>590</v>
      </c>
      <c r="P137" s="94">
        <f t="shared" si="2"/>
        <v>2.74</v>
      </c>
    </row>
    <row r="138" spans="2:16" hidden="1">
      <c r="B138" s="94" t="s">
        <v>585</v>
      </c>
      <c r="C138" s="94">
        <v>976</v>
      </c>
      <c r="D138" s="94" t="s">
        <v>586</v>
      </c>
      <c r="E138" s="94">
        <v>20</v>
      </c>
      <c r="F138" s="94">
        <v>70</v>
      </c>
      <c r="G138" s="94" t="s">
        <v>587</v>
      </c>
      <c r="H138" s="94">
        <v>40001411</v>
      </c>
      <c r="I138" s="94" t="s">
        <v>701</v>
      </c>
      <c r="J138" s="94">
        <v>706</v>
      </c>
      <c r="K138" s="94" t="s">
        <v>587</v>
      </c>
      <c r="L138" s="94">
        <v>1</v>
      </c>
      <c r="M138" s="94" t="s">
        <v>588</v>
      </c>
      <c r="N138" s="94" t="s">
        <v>589</v>
      </c>
      <c r="O138" s="94" t="s">
        <v>590</v>
      </c>
      <c r="P138" s="94">
        <f t="shared" si="2"/>
        <v>3.53</v>
      </c>
    </row>
    <row r="139" spans="2:16">
      <c r="B139" s="94" t="s">
        <v>585</v>
      </c>
      <c r="C139" s="94">
        <v>976</v>
      </c>
      <c r="D139" s="94" t="s">
        <v>586</v>
      </c>
      <c r="E139" s="94">
        <v>20</v>
      </c>
      <c r="F139" s="94">
        <v>70</v>
      </c>
      <c r="G139" s="94" t="s">
        <v>587</v>
      </c>
      <c r="H139" s="94">
        <v>40001411</v>
      </c>
      <c r="I139" s="94" t="s">
        <v>702</v>
      </c>
      <c r="J139" s="94">
        <v>3.53</v>
      </c>
      <c r="K139" s="94" t="s">
        <v>587</v>
      </c>
      <c r="L139" s="94">
        <v>1</v>
      </c>
      <c r="M139" s="94" t="s">
        <v>592</v>
      </c>
      <c r="N139" s="94" t="s">
        <v>589</v>
      </c>
      <c r="O139" s="94" t="s">
        <v>590</v>
      </c>
      <c r="P139" s="94">
        <f t="shared" si="2"/>
        <v>3.53</v>
      </c>
    </row>
    <row r="140" spans="2:16" hidden="1">
      <c r="B140" s="94" t="s">
        <v>585</v>
      </c>
      <c r="C140" s="94">
        <v>976</v>
      </c>
      <c r="D140" s="94" t="s">
        <v>586</v>
      </c>
      <c r="E140" s="94">
        <v>20</v>
      </c>
      <c r="F140" s="94">
        <v>70</v>
      </c>
      <c r="G140" s="94" t="s">
        <v>587</v>
      </c>
      <c r="H140" s="94">
        <v>40001411</v>
      </c>
      <c r="I140" s="94" t="s">
        <v>703</v>
      </c>
      <c r="J140" s="94">
        <v>654</v>
      </c>
      <c r="K140" s="94" t="s">
        <v>587</v>
      </c>
      <c r="L140" s="94">
        <v>1</v>
      </c>
      <c r="M140" s="94" t="s">
        <v>588</v>
      </c>
      <c r="N140" s="94" t="s">
        <v>589</v>
      </c>
      <c r="O140" s="94" t="s">
        <v>590</v>
      </c>
      <c r="P140" s="94">
        <f t="shared" si="2"/>
        <v>3.27</v>
      </c>
    </row>
    <row r="141" spans="2:16">
      <c r="B141" s="94" t="s">
        <v>585</v>
      </c>
      <c r="C141" s="94">
        <v>976</v>
      </c>
      <c r="D141" s="94" t="s">
        <v>586</v>
      </c>
      <c r="E141" s="94">
        <v>20</v>
      </c>
      <c r="F141" s="94">
        <v>70</v>
      </c>
      <c r="G141" s="94" t="s">
        <v>587</v>
      </c>
      <c r="H141" s="94">
        <v>40001411</v>
      </c>
      <c r="I141" s="94" t="s">
        <v>704</v>
      </c>
      <c r="J141" s="94">
        <v>3.27</v>
      </c>
      <c r="K141" s="94" t="s">
        <v>587</v>
      </c>
      <c r="L141" s="94">
        <v>1</v>
      </c>
      <c r="M141" s="94" t="s">
        <v>592</v>
      </c>
      <c r="N141" s="94" t="s">
        <v>589</v>
      </c>
      <c r="O141" s="94" t="s">
        <v>590</v>
      </c>
      <c r="P141" s="94">
        <f t="shared" si="2"/>
        <v>3.27</v>
      </c>
    </row>
    <row r="142" spans="2:16" hidden="1">
      <c r="B142" s="94" t="s">
        <v>585</v>
      </c>
      <c r="C142" s="94">
        <v>976</v>
      </c>
      <c r="D142" s="94" t="s">
        <v>586</v>
      </c>
      <c r="E142" s="94">
        <v>20</v>
      </c>
      <c r="F142" s="94">
        <v>70</v>
      </c>
      <c r="G142" s="94" t="s">
        <v>587</v>
      </c>
      <c r="H142" s="94">
        <v>40001411</v>
      </c>
      <c r="I142" s="94" t="s">
        <v>705</v>
      </c>
      <c r="J142" s="94">
        <v>468</v>
      </c>
      <c r="K142" s="94" t="s">
        <v>587</v>
      </c>
      <c r="L142" s="94">
        <v>1</v>
      </c>
      <c r="M142" s="94" t="s">
        <v>588</v>
      </c>
      <c r="N142" s="94" t="s">
        <v>589</v>
      </c>
      <c r="O142" s="94" t="s">
        <v>590</v>
      </c>
      <c r="P142" s="94">
        <f t="shared" si="2"/>
        <v>2.34</v>
      </c>
    </row>
    <row r="143" spans="2:16">
      <c r="B143" s="94" t="s">
        <v>585</v>
      </c>
      <c r="C143" s="94">
        <v>976</v>
      </c>
      <c r="D143" s="94" t="s">
        <v>586</v>
      </c>
      <c r="E143" s="94">
        <v>20</v>
      </c>
      <c r="F143" s="94">
        <v>70</v>
      </c>
      <c r="G143" s="94" t="s">
        <v>587</v>
      </c>
      <c r="H143" s="94">
        <v>40001411</v>
      </c>
      <c r="I143" s="94" t="s">
        <v>706</v>
      </c>
      <c r="J143" s="94">
        <v>2.34</v>
      </c>
      <c r="K143" s="94" t="s">
        <v>587</v>
      </c>
      <c r="L143" s="94">
        <v>1</v>
      </c>
      <c r="M143" s="94" t="s">
        <v>592</v>
      </c>
      <c r="N143" s="94" t="s">
        <v>589</v>
      </c>
      <c r="O143" s="94" t="s">
        <v>590</v>
      </c>
      <c r="P143" s="94">
        <f t="shared" si="2"/>
        <v>2.34</v>
      </c>
    </row>
    <row r="144" spans="2:16" hidden="1">
      <c r="B144" s="94" t="s">
        <v>585</v>
      </c>
      <c r="C144" s="94">
        <v>976</v>
      </c>
      <c r="D144" s="94" t="s">
        <v>586</v>
      </c>
      <c r="E144" s="94">
        <v>20</v>
      </c>
      <c r="F144" s="94">
        <v>70</v>
      </c>
      <c r="G144" s="94" t="s">
        <v>587</v>
      </c>
      <c r="H144" s="94">
        <v>40001411</v>
      </c>
      <c r="I144" s="94" t="s">
        <v>707</v>
      </c>
      <c r="J144" s="94">
        <v>1946</v>
      </c>
      <c r="K144" s="94" t="s">
        <v>587</v>
      </c>
      <c r="L144" s="94">
        <v>1</v>
      </c>
      <c r="M144" s="94" t="s">
        <v>588</v>
      </c>
      <c r="N144" s="94" t="s">
        <v>589</v>
      </c>
      <c r="O144" s="94" t="s">
        <v>590</v>
      </c>
      <c r="P144" s="94">
        <f t="shared" si="2"/>
        <v>9.73</v>
      </c>
    </row>
    <row r="145" spans="2:16">
      <c r="B145" s="94" t="s">
        <v>585</v>
      </c>
      <c r="C145" s="94">
        <v>976</v>
      </c>
      <c r="D145" s="94" t="s">
        <v>586</v>
      </c>
      <c r="E145" s="94">
        <v>20</v>
      </c>
      <c r="F145" s="94">
        <v>70</v>
      </c>
      <c r="G145" s="94" t="s">
        <v>587</v>
      </c>
      <c r="H145" s="94">
        <v>40001411</v>
      </c>
      <c r="I145" s="94" t="s">
        <v>708</v>
      </c>
      <c r="J145" s="94">
        <v>9.73</v>
      </c>
      <c r="K145" s="94" t="s">
        <v>587</v>
      </c>
      <c r="L145" s="94">
        <v>1</v>
      </c>
      <c r="M145" s="94" t="s">
        <v>592</v>
      </c>
      <c r="N145" s="94" t="s">
        <v>589</v>
      </c>
      <c r="O145" s="94" t="s">
        <v>590</v>
      </c>
      <c r="P145" s="94">
        <f t="shared" si="2"/>
        <v>9.73</v>
      </c>
    </row>
    <row r="146" spans="2:16" hidden="1">
      <c r="B146" s="94" t="s">
        <v>585</v>
      </c>
      <c r="C146" s="94">
        <v>976</v>
      </c>
      <c r="D146" s="94" t="s">
        <v>586</v>
      </c>
      <c r="E146" s="94">
        <v>20</v>
      </c>
      <c r="F146" s="94">
        <v>70</v>
      </c>
      <c r="G146" s="94" t="s">
        <v>587</v>
      </c>
      <c r="H146" s="94">
        <v>40001411</v>
      </c>
      <c r="I146" s="94" t="s">
        <v>709</v>
      </c>
      <c r="J146" s="94">
        <v>1824</v>
      </c>
      <c r="K146" s="94" t="s">
        <v>587</v>
      </c>
      <c r="L146" s="94">
        <v>1</v>
      </c>
      <c r="M146" s="94" t="s">
        <v>588</v>
      </c>
      <c r="N146" s="94" t="s">
        <v>589</v>
      </c>
      <c r="O146" s="94" t="s">
        <v>590</v>
      </c>
      <c r="P146" s="94">
        <f t="shared" si="2"/>
        <v>9.1199999999999992</v>
      </c>
    </row>
    <row r="147" spans="2:16">
      <c r="B147" s="94" t="s">
        <v>585</v>
      </c>
      <c r="C147" s="94">
        <v>976</v>
      </c>
      <c r="D147" s="94" t="s">
        <v>586</v>
      </c>
      <c r="E147" s="94">
        <v>20</v>
      </c>
      <c r="F147" s="94">
        <v>70</v>
      </c>
      <c r="G147" s="94" t="s">
        <v>587</v>
      </c>
      <c r="H147" s="94">
        <v>40001411</v>
      </c>
      <c r="I147" s="94" t="s">
        <v>710</v>
      </c>
      <c r="J147" s="94">
        <v>9.1199999999999992</v>
      </c>
      <c r="K147" s="94" t="s">
        <v>587</v>
      </c>
      <c r="L147" s="94">
        <v>1</v>
      </c>
      <c r="M147" s="94" t="s">
        <v>592</v>
      </c>
      <c r="N147" s="94" t="s">
        <v>589</v>
      </c>
      <c r="O147" s="94" t="s">
        <v>590</v>
      </c>
      <c r="P147" s="94">
        <f t="shared" si="2"/>
        <v>9.1199999999999992</v>
      </c>
    </row>
    <row r="148" spans="2:16" hidden="1">
      <c r="B148" s="94" t="s">
        <v>585</v>
      </c>
      <c r="C148" s="94">
        <v>976</v>
      </c>
      <c r="D148" s="94" t="s">
        <v>586</v>
      </c>
      <c r="E148" s="94">
        <v>20</v>
      </c>
      <c r="F148" s="94">
        <v>70</v>
      </c>
      <c r="G148" s="94" t="s">
        <v>587</v>
      </c>
      <c r="H148" s="94">
        <v>40001411</v>
      </c>
      <c r="I148" s="94" t="s">
        <v>711</v>
      </c>
      <c r="J148" s="94">
        <v>1850</v>
      </c>
      <c r="K148" s="94" t="s">
        <v>587</v>
      </c>
      <c r="L148" s="94">
        <v>1</v>
      </c>
      <c r="M148" s="94" t="s">
        <v>588</v>
      </c>
      <c r="N148" s="94" t="s">
        <v>589</v>
      </c>
      <c r="O148" s="94" t="s">
        <v>590</v>
      </c>
      <c r="P148" s="94">
        <f t="shared" si="2"/>
        <v>9.25</v>
      </c>
    </row>
    <row r="149" spans="2:16">
      <c r="B149" s="94" t="s">
        <v>585</v>
      </c>
      <c r="C149" s="94">
        <v>976</v>
      </c>
      <c r="D149" s="94" t="s">
        <v>586</v>
      </c>
      <c r="E149" s="94">
        <v>20</v>
      </c>
      <c r="F149" s="94">
        <v>70</v>
      </c>
      <c r="G149" s="94" t="s">
        <v>587</v>
      </c>
      <c r="H149" s="94">
        <v>40001411</v>
      </c>
      <c r="I149" s="94" t="s">
        <v>712</v>
      </c>
      <c r="J149" s="94">
        <v>9.25</v>
      </c>
      <c r="K149" s="94" t="s">
        <v>587</v>
      </c>
      <c r="L149" s="94">
        <v>1</v>
      </c>
      <c r="M149" s="94" t="s">
        <v>592</v>
      </c>
      <c r="N149" s="94" t="s">
        <v>589</v>
      </c>
      <c r="O149" s="94" t="s">
        <v>590</v>
      </c>
      <c r="P149" s="94">
        <f t="shared" si="2"/>
        <v>9.25</v>
      </c>
    </row>
    <row r="150" spans="2:16" hidden="1">
      <c r="B150" s="94" t="s">
        <v>585</v>
      </c>
      <c r="C150" s="94">
        <v>976</v>
      </c>
      <c r="D150" s="94" t="s">
        <v>586</v>
      </c>
      <c r="E150" s="94">
        <v>20</v>
      </c>
      <c r="F150" s="94">
        <v>70</v>
      </c>
      <c r="G150" s="94" t="s">
        <v>587</v>
      </c>
      <c r="H150" s="94">
        <v>40001411</v>
      </c>
      <c r="I150" s="94" t="s">
        <v>713</v>
      </c>
      <c r="J150" s="94">
        <v>396</v>
      </c>
      <c r="K150" s="94" t="s">
        <v>587</v>
      </c>
      <c r="L150" s="94">
        <v>1</v>
      </c>
      <c r="M150" s="94" t="s">
        <v>588</v>
      </c>
      <c r="N150" s="94" t="s">
        <v>589</v>
      </c>
      <c r="O150" s="94" t="s">
        <v>590</v>
      </c>
      <c r="P150" s="94">
        <f t="shared" si="2"/>
        <v>1.98</v>
      </c>
    </row>
    <row r="151" spans="2:16">
      <c r="B151" s="94" t="s">
        <v>585</v>
      </c>
      <c r="C151" s="94">
        <v>976</v>
      </c>
      <c r="D151" s="94" t="s">
        <v>586</v>
      </c>
      <c r="E151" s="94">
        <v>20</v>
      </c>
      <c r="F151" s="94">
        <v>70</v>
      </c>
      <c r="G151" s="94" t="s">
        <v>587</v>
      </c>
      <c r="H151" s="94">
        <v>40001411</v>
      </c>
      <c r="I151" s="94" t="s">
        <v>714</v>
      </c>
      <c r="J151" s="94">
        <v>1.98</v>
      </c>
      <c r="K151" s="94" t="s">
        <v>587</v>
      </c>
      <c r="L151" s="94">
        <v>1</v>
      </c>
      <c r="M151" s="94" t="s">
        <v>592</v>
      </c>
      <c r="N151" s="94" t="s">
        <v>589</v>
      </c>
      <c r="O151" s="94" t="s">
        <v>590</v>
      </c>
      <c r="P151" s="94">
        <f t="shared" si="2"/>
        <v>1.98</v>
      </c>
    </row>
    <row r="152" spans="2:16" hidden="1">
      <c r="B152" s="94" t="s">
        <v>585</v>
      </c>
      <c r="C152" s="94">
        <v>976</v>
      </c>
      <c r="D152" s="94" t="s">
        <v>586</v>
      </c>
      <c r="E152" s="94">
        <v>20</v>
      </c>
      <c r="F152" s="94">
        <v>70</v>
      </c>
      <c r="G152" s="94" t="s">
        <v>587</v>
      </c>
      <c r="H152" s="94">
        <v>40001411</v>
      </c>
      <c r="I152" s="94" t="s">
        <v>365</v>
      </c>
      <c r="J152" s="94">
        <v>1834</v>
      </c>
      <c r="K152" s="94" t="s">
        <v>587</v>
      </c>
      <c r="L152" s="94">
        <v>1</v>
      </c>
      <c r="M152" s="94" t="s">
        <v>588</v>
      </c>
      <c r="N152" s="94" t="s">
        <v>589</v>
      </c>
      <c r="O152" s="94" t="s">
        <v>590</v>
      </c>
      <c r="P152" s="94">
        <f t="shared" si="2"/>
        <v>9.17</v>
      </c>
    </row>
    <row r="153" spans="2:16">
      <c r="B153" s="94" t="s">
        <v>585</v>
      </c>
      <c r="C153" s="94">
        <v>976</v>
      </c>
      <c r="D153" s="94" t="s">
        <v>586</v>
      </c>
      <c r="E153" s="94">
        <v>20</v>
      </c>
      <c r="F153" s="94">
        <v>70</v>
      </c>
      <c r="G153" s="94" t="s">
        <v>587</v>
      </c>
      <c r="H153" s="94">
        <v>40001411</v>
      </c>
      <c r="I153" s="94" t="s">
        <v>715</v>
      </c>
      <c r="J153" s="94">
        <v>9.17</v>
      </c>
      <c r="K153" s="94" t="s">
        <v>587</v>
      </c>
      <c r="L153" s="94">
        <v>1</v>
      </c>
      <c r="M153" s="94" t="s">
        <v>592</v>
      </c>
      <c r="N153" s="94" t="s">
        <v>589</v>
      </c>
      <c r="O153" s="94" t="s">
        <v>590</v>
      </c>
      <c r="P153" s="94">
        <f t="shared" si="2"/>
        <v>9.17</v>
      </c>
    </row>
    <row r="154" spans="2:16" hidden="1">
      <c r="B154" s="94" t="s">
        <v>585</v>
      </c>
      <c r="C154" s="94">
        <v>976</v>
      </c>
      <c r="D154" s="94" t="s">
        <v>586</v>
      </c>
      <c r="E154" s="94">
        <v>20</v>
      </c>
      <c r="F154" s="94">
        <v>70</v>
      </c>
      <c r="G154" s="94" t="s">
        <v>587</v>
      </c>
      <c r="H154" s="94">
        <v>40001411</v>
      </c>
      <c r="I154" s="94" t="s">
        <v>716</v>
      </c>
      <c r="J154" s="94">
        <v>1008</v>
      </c>
      <c r="K154" s="94" t="s">
        <v>587</v>
      </c>
      <c r="L154" s="94">
        <v>1</v>
      </c>
      <c r="M154" s="94" t="s">
        <v>588</v>
      </c>
      <c r="N154" s="94" t="s">
        <v>589</v>
      </c>
      <c r="O154" s="94" t="s">
        <v>590</v>
      </c>
      <c r="P154" s="94">
        <f t="shared" si="2"/>
        <v>5.04</v>
      </c>
    </row>
    <row r="155" spans="2:16">
      <c r="B155" s="94" t="s">
        <v>585</v>
      </c>
      <c r="C155" s="94">
        <v>976</v>
      </c>
      <c r="D155" s="94" t="s">
        <v>586</v>
      </c>
      <c r="E155" s="94">
        <v>20</v>
      </c>
      <c r="F155" s="94">
        <v>70</v>
      </c>
      <c r="G155" s="94" t="s">
        <v>587</v>
      </c>
      <c r="H155" s="94">
        <v>40001411</v>
      </c>
      <c r="I155" s="94" t="s">
        <v>717</v>
      </c>
      <c r="J155" s="94">
        <v>5.04</v>
      </c>
      <c r="K155" s="94" t="s">
        <v>587</v>
      </c>
      <c r="L155" s="94">
        <v>1</v>
      </c>
      <c r="M155" s="94" t="s">
        <v>592</v>
      </c>
      <c r="N155" s="94" t="s">
        <v>589</v>
      </c>
      <c r="O155" s="94" t="s">
        <v>590</v>
      </c>
      <c r="P155" s="94">
        <f t="shared" si="2"/>
        <v>5.04</v>
      </c>
    </row>
    <row r="156" spans="2:16" hidden="1">
      <c r="B156" s="94" t="s">
        <v>585</v>
      </c>
      <c r="C156" s="94">
        <v>976</v>
      </c>
      <c r="D156" s="94" t="s">
        <v>586</v>
      </c>
      <c r="E156" s="94">
        <v>20</v>
      </c>
      <c r="F156" s="94">
        <v>70</v>
      </c>
      <c r="G156" s="94" t="s">
        <v>587</v>
      </c>
      <c r="H156" s="94">
        <v>40001411</v>
      </c>
      <c r="I156" s="94" t="s">
        <v>238</v>
      </c>
      <c r="J156" s="94">
        <v>1850</v>
      </c>
      <c r="K156" s="94" t="s">
        <v>587</v>
      </c>
      <c r="L156" s="94">
        <v>1</v>
      </c>
      <c r="M156" s="94" t="s">
        <v>588</v>
      </c>
      <c r="N156" s="94" t="s">
        <v>589</v>
      </c>
      <c r="O156" s="94" t="s">
        <v>590</v>
      </c>
      <c r="P156" s="94">
        <f t="shared" si="2"/>
        <v>9.25</v>
      </c>
    </row>
    <row r="157" spans="2:16">
      <c r="B157" s="94" t="s">
        <v>585</v>
      </c>
      <c r="C157" s="94">
        <v>976</v>
      </c>
      <c r="D157" s="94" t="s">
        <v>586</v>
      </c>
      <c r="E157" s="94">
        <v>20</v>
      </c>
      <c r="F157" s="94">
        <v>70</v>
      </c>
      <c r="G157" s="94" t="s">
        <v>587</v>
      </c>
      <c r="H157" s="94">
        <v>40001411</v>
      </c>
      <c r="I157" s="94" t="s">
        <v>718</v>
      </c>
      <c r="J157" s="94">
        <v>9.25</v>
      </c>
      <c r="K157" s="94" t="s">
        <v>587</v>
      </c>
      <c r="L157" s="94">
        <v>1</v>
      </c>
      <c r="M157" s="94" t="s">
        <v>592</v>
      </c>
      <c r="N157" s="94" t="s">
        <v>589</v>
      </c>
      <c r="O157" s="94" t="s">
        <v>590</v>
      </c>
      <c r="P157" s="94">
        <f t="shared" si="2"/>
        <v>9.25</v>
      </c>
    </row>
    <row r="158" spans="2:16" hidden="1">
      <c r="B158" s="94" t="s">
        <v>585</v>
      </c>
      <c r="C158" s="94">
        <v>976</v>
      </c>
      <c r="D158" s="94" t="s">
        <v>586</v>
      </c>
      <c r="E158" s="94">
        <v>20</v>
      </c>
      <c r="F158" s="94">
        <v>70</v>
      </c>
      <c r="G158" s="94" t="s">
        <v>587</v>
      </c>
      <c r="H158" s="94">
        <v>40001411</v>
      </c>
      <c r="I158" s="94" t="s">
        <v>282</v>
      </c>
      <c r="J158" s="94">
        <v>920</v>
      </c>
      <c r="K158" s="94" t="s">
        <v>587</v>
      </c>
      <c r="L158" s="94">
        <v>1</v>
      </c>
      <c r="M158" s="94" t="s">
        <v>588</v>
      </c>
      <c r="N158" s="94" t="s">
        <v>589</v>
      </c>
      <c r="O158" s="94" t="s">
        <v>590</v>
      </c>
      <c r="P158" s="94">
        <f t="shared" si="2"/>
        <v>4.5999999999999996</v>
      </c>
    </row>
    <row r="159" spans="2:16">
      <c r="B159" s="94" t="s">
        <v>585</v>
      </c>
      <c r="C159" s="94">
        <v>976</v>
      </c>
      <c r="D159" s="94" t="s">
        <v>586</v>
      </c>
      <c r="E159" s="94">
        <v>20</v>
      </c>
      <c r="F159" s="94">
        <v>70</v>
      </c>
      <c r="G159" s="94" t="s">
        <v>587</v>
      </c>
      <c r="H159" s="94">
        <v>40001411</v>
      </c>
      <c r="I159" s="94" t="s">
        <v>719</v>
      </c>
      <c r="J159" s="94">
        <v>4.5999999999999996</v>
      </c>
      <c r="K159" s="94" t="s">
        <v>587</v>
      </c>
      <c r="L159" s="94">
        <v>1</v>
      </c>
      <c r="M159" s="94" t="s">
        <v>592</v>
      </c>
      <c r="N159" s="94" t="s">
        <v>589</v>
      </c>
      <c r="O159" s="94" t="s">
        <v>590</v>
      </c>
      <c r="P159" s="94">
        <f t="shared" si="2"/>
        <v>4.5999999999999996</v>
      </c>
    </row>
    <row r="160" spans="2:16" hidden="1">
      <c r="B160" s="94" t="s">
        <v>585</v>
      </c>
      <c r="C160" s="94">
        <v>976</v>
      </c>
      <c r="D160" s="94" t="s">
        <v>586</v>
      </c>
      <c r="E160" s="94">
        <v>20</v>
      </c>
      <c r="F160" s="94">
        <v>70</v>
      </c>
      <c r="G160" s="94" t="s">
        <v>587</v>
      </c>
      <c r="H160" s="94">
        <v>40001411</v>
      </c>
      <c r="I160" s="94" t="s">
        <v>208</v>
      </c>
      <c r="J160" s="94">
        <v>804</v>
      </c>
      <c r="K160" s="94" t="s">
        <v>587</v>
      </c>
      <c r="L160" s="94">
        <v>1</v>
      </c>
      <c r="M160" s="94" t="s">
        <v>588</v>
      </c>
      <c r="N160" s="94" t="s">
        <v>589</v>
      </c>
      <c r="O160" s="94" t="s">
        <v>590</v>
      </c>
      <c r="P160" s="94">
        <f t="shared" si="2"/>
        <v>4.0199999999999996</v>
      </c>
    </row>
    <row r="161" spans="2:16">
      <c r="B161" s="94" t="s">
        <v>585</v>
      </c>
      <c r="C161" s="94">
        <v>976</v>
      </c>
      <c r="D161" s="94" t="s">
        <v>586</v>
      </c>
      <c r="E161" s="94">
        <v>20</v>
      </c>
      <c r="F161" s="94">
        <v>70</v>
      </c>
      <c r="G161" s="94" t="s">
        <v>587</v>
      </c>
      <c r="H161" s="94">
        <v>40001411</v>
      </c>
      <c r="I161" s="94" t="s">
        <v>720</v>
      </c>
      <c r="J161" s="94">
        <v>4.0199999999999996</v>
      </c>
      <c r="K161" s="94" t="s">
        <v>587</v>
      </c>
      <c r="L161" s="94">
        <v>1</v>
      </c>
      <c r="M161" s="94" t="s">
        <v>592</v>
      </c>
      <c r="N161" s="94" t="s">
        <v>589</v>
      </c>
      <c r="O161" s="94" t="s">
        <v>590</v>
      </c>
      <c r="P161" s="94">
        <f t="shared" si="2"/>
        <v>4.0199999999999996</v>
      </c>
    </row>
    <row r="162" spans="2:16" hidden="1">
      <c r="B162" s="94" t="s">
        <v>585</v>
      </c>
      <c r="C162" s="94">
        <v>976</v>
      </c>
      <c r="D162" s="94" t="s">
        <v>586</v>
      </c>
      <c r="E162" s="94">
        <v>20</v>
      </c>
      <c r="F162" s="94">
        <v>70</v>
      </c>
      <c r="G162" s="94" t="s">
        <v>587</v>
      </c>
      <c r="H162" s="94">
        <v>40001411</v>
      </c>
      <c r="I162" s="94" t="s">
        <v>721</v>
      </c>
      <c r="J162" s="94">
        <v>842</v>
      </c>
      <c r="K162" s="94" t="s">
        <v>587</v>
      </c>
      <c r="L162" s="94">
        <v>1</v>
      </c>
      <c r="M162" s="94" t="s">
        <v>588</v>
      </c>
      <c r="N162" s="94" t="s">
        <v>589</v>
      </c>
      <c r="O162" s="94" t="s">
        <v>590</v>
      </c>
      <c r="P162" s="94">
        <f t="shared" si="2"/>
        <v>4.21</v>
      </c>
    </row>
    <row r="163" spans="2:16">
      <c r="B163" s="94" t="s">
        <v>585</v>
      </c>
      <c r="C163" s="94">
        <v>976</v>
      </c>
      <c r="D163" s="94" t="s">
        <v>586</v>
      </c>
      <c r="E163" s="94">
        <v>20</v>
      </c>
      <c r="F163" s="94">
        <v>70</v>
      </c>
      <c r="G163" s="94" t="s">
        <v>587</v>
      </c>
      <c r="H163" s="94">
        <v>40001411</v>
      </c>
      <c r="I163" s="94" t="s">
        <v>722</v>
      </c>
      <c r="J163" s="94">
        <v>4.21</v>
      </c>
      <c r="K163" s="94" t="s">
        <v>587</v>
      </c>
      <c r="L163" s="94">
        <v>1</v>
      </c>
      <c r="M163" s="94" t="s">
        <v>592</v>
      </c>
      <c r="N163" s="94" t="s">
        <v>589</v>
      </c>
      <c r="O163" s="94" t="s">
        <v>590</v>
      </c>
      <c r="P163" s="94">
        <f t="shared" si="2"/>
        <v>4.21</v>
      </c>
    </row>
    <row r="164" spans="2:16" hidden="1">
      <c r="B164" s="94" t="s">
        <v>585</v>
      </c>
      <c r="C164" s="94">
        <v>976</v>
      </c>
      <c r="D164" s="94" t="s">
        <v>586</v>
      </c>
      <c r="E164" s="94">
        <v>20</v>
      </c>
      <c r="F164" s="94">
        <v>70</v>
      </c>
      <c r="G164" s="94" t="s">
        <v>587</v>
      </c>
      <c r="H164" s="94">
        <v>40001411</v>
      </c>
      <c r="I164" s="94" t="s">
        <v>723</v>
      </c>
      <c r="J164" s="94">
        <v>812</v>
      </c>
      <c r="K164" s="94" t="s">
        <v>587</v>
      </c>
      <c r="L164" s="94">
        <v>1</v>
      </c>
      <c r="M164" s="94" t="s">
        <v>588</v>
      </c>
      <c r="N164" s="94" t="s">
        <v>589</v>
      </c>
      <c r="O164" s="94" t="s">
        <v>590</v>
      </c>
      <c r="P164" s="94">
        <f t="shared" si="2"/>
        <v>4.0599999999999996</v>
      </c>
    </row>
    <row r="165" spans="2:16">
      <c r="B165" s="94" t="s">
        <v>585</v>
      </c>
      <c r="C165" s="94">
        <v>976</v>
      </c>
      <c r="D165" s="94" t="s">
        <v>586</v>
      </c>
      <c r="E165" s="94">
        <v>20</v>
      </c>
      <c r="F165" s="94">
        <v>70</v>
      </c>
      <c r="G165" s="94" t="s">
        <v>587</v>
      </c>
      <c r="H165" s="94">
        <v>40001411</v>
      </c>
      <c r="I165" s="94" t="s">
        <v>724</v>
      </c>
      <c r="J165" s="94">
        <v>4.0599999999999996</v>
      </c>
      <c r="K165" s="94" t="s">
        <v>587</v>
      </c>
      <c r="L165" s="94">
        <v>1</v>
      </c>
      <c r="M165" s="94" t="s">
        <v>592</v>
      </c>
      <c r="N165" s="94" t="s">
        <v>589</v>
      </c>
      <c r="O165" s="94" t="s">
        <v>590</v>
      </c>
      <c r="P165" s="94">
        <f t="shared" si="2"/>
        <v>4.0599999999999996</v>
      </c>
    </row>
    <row r="166" spans="2:16" hidden="1">
      <c r="B166" s="94" t="s">
        <v>585</v>
      </c>
      <c r="C166" s="94">
        <v>976</v>
      </c>
      <c r="D166" s="94" t="s">
        <v>586</v>
      </c>
      <c r="E166" s="94">
        <v>20</v>
      </c>
      <c r="F166" s="94">
        <v>70</v>
      </c>
      <c r="G166" s="94" t="s">
        <v>587</v>
      </c>
      <c r="H166" s="94">
        <v>40001411</v>
      </c>
      <c r="I166" s="94" t="s">
        <v>725</v>
      </c>
      <c r="J166" s="94">
        <v>812</v>
      </c>
      <c r="K166" s="94" t="s">
        <v>587</v>
      </c>
      <c r="L166" s="94">
        <v>1</v>
      </c>
      <c r="M166" s="94" t="s">
        <v>588</v>
      </c>
      <c r="N166" s="94" t="s">
        <v>589</v>
      </c>
      <c r="O166" s="94" t="s">
        <v>590</v>
      </c>
      <c r="P166" s="94">
        <f t="shared" si="2"/>
        <v>4.0599999999999996</v>
      </c>
    </row>
    <row r="167" spans="2:16">
      <c r="B167" s="94" t="s">
        <v>585</v>
      </c>
      <c r="C167" s="94">
        <v>976</v>
      </c>
      <c r="D167" s="94" t="s">
        <v>586</v>
      </c>
      <c r="E167" s="94">
        <v>20</v>
      </c>
      <c r="F167" s="94">
        <v>70</v>
      </c>
      <c r="G167" s="94" t="s">
        <v>587</v>
      </c>
      <c r="H167" s="94">
        <v>40001411</v>
      </c>
      <c r="I167" s="94" t="s">
        <v>726</v>
      </c>
      <c r="J167" s="94">
        <v>4.0599999999999996</v>
      </c>
      <c r="K167" s="94" t="s">
        <v>587</v>
      </c>
      <c r="L167" s="94">
        <v>1</v>
      </c>
      <c r="M167" s="94" t="s">
        <v>592</v>
      </c>
      <c r="N167" s="94" t="s">
        <v>589</v>
      </c>
      <c r="O167" s="94" t="s">
        <v>590</v>
      </c>
      <c r="P167" s="94">
        <f t="shared" si="2"/>
        <v>4.0599999999999996</v>
      </c>
    </row>
    <row r="168" spans="2:16" hidden="1">
      <c r="B168" s="94" t="s">
        <v>585</v>
      </c>
      <c r="C168" s="94">
        <v>976</v>
      </c>
      <c r="D168" s="94" t="s">
        <v>586</v>
      </c>
      <c r="E168" s="94">
        <v>20</v>
      </c>
      <c r="F168" s="94">
        <v>70</v>
      </c>
      <c r="G168" s="94" t="s">
        <v>587</v>
      </c>
      <c r="H168" s="94">
        <v>40001411</v>
      </c>
      <c r="I168" s="94" t="s">
        <v>727</v>
      </c>
      <c r="J168" s="94">
        <v>812</v>
      </c>
      <c r="K168" s="94" t="s">
        <v>587</v>
      </c>
      <c r="L168" s="94">
        <v>1</v>
      </c>
      <c r="M168" s="94" t="s">
        <v>588</v>
      </c>
      <c r="N168" s="94" t="s">
        <v>589</v>
      </c>
      <c r="O168" s="94" t="s">
        <v>590</v>
      </c>
      <c r="P168" s="94">
        <f t="shared" si="2"/>
        <v>4.0599999999999996</v>
      </c>
    </row>
    <row r="169" spans="2:16">
      <c r="B169" s="94" t="s">
        <v>585</v>
      </c>
      <c r="C169" s="94">
        <v>976</v>
      </c>
      <c r="D169" s="94" t="s">
        <v>586</v>
      </c>
      <c r="E169" s="94">
        <v>20</v>
      </c>
      <c r="F169" s="94">
        <v>70</v>
      </c>
      <c r="G169" s="94" t="s">
        <v>587</v>
      </c>
      <c r="H169" s="94">
        <v>40001411</v>
      </c>
      <c r="I169" s="94" t="s">
        <v>728</v>
      </c>
      <c r="J169" s="94">
        <v>4.0599999999999996</v>
      </c>
      <c r="K169" s="94" t="s">
        <v>587</v>
      </c>
      <c r="L169" s="94">
        <v>1</v>
      </c>
      <c r="M169" s="94" t="s">
        <v>592</v>
      </c>
      <c r="N169" s="94" t="s">
        <v>589</v>
      </c>
      <c r="O169" s="94" t="s">
        <v>590</v>
      </c>
      <c r="P169" s="94">
        <f t="shared" si="2"/>
        <v>4.0599999999999996</v>
      </c>
    </row>
    <row r="170" spans="2:16" hidden="1">
      <c r="B170" s="94" t="s">
        <v>585</v>
      </c>
      <c r="C170" s="94">
        <v>976</v>
      </c>
      <c r="D170" s="94" t="s">
        <v>586</v>
      </c>
      <c r="E170" s="94">
        <v>20</v>
      </c>
      <c r="F170" s="94">
        <v>70</v>
      </c>
      <c r="G170" s="94" t="s">
        <v>587</v>
      </c>
      <c r="H170" s="94">
        <v>40001411</v>
      </c>
      <c r="I170" s="94" t="s">
        <v>729</v>
      </c>
      <c r="J170" s="94">
        <v>1416</v>
      </c>
      <c r="K170" s="94" t="s">
        <v>587</v>
      </c>
      <c r="L170" s="94">
        <v>1</v>
      </c>
      <c r="M170" s="94" t="s">
        <v>588</v>
      </c>
      <c r="N170" s="94" t="s">
        <v>589</v>
      </c>
      <c r="O170" s="94" t="s">
        <v>590</v>
      </c>
      <c r="P170" s="94">
        <f t="shared" si="2"/>
        <v>7.08</v>
      </c>
    </row>
    <row r="171" spans="2:16">
      <c r="B171" s="94" t="s">
        <v>585</v>
      </c>
      <c r="C171" s="94">
        <v>976</v>
      </c>
      <c r="D171" s="94" t="s">
        <v>586</v>
      </c>
      <c r="E171" s="94">
        <v>20</v>
      </c>
      <c r="F171" s="94">
        <v>70</v>
      </c>
      <c r="G171" s="94" t="s">
        <v>587</v>
      </c>
      <c r="H171" s="94">
        <v>40001411</v>
      </c>
      <c r="I171" s="94" t="s">
        <v>730</v>
      </c>
      <c r="J171" s="94">
        <v>7.08</v>
      </c>
      <c r="K171" s="94" t="s">
        <v>587</v>
      </c>
      <c r="L171" s="94">
        <v>1</v>
      </c>
      <c r="M171" s="94" t="s">
        <v>592</v>
      </c>
      <c r="N171" s="94" t="s">
        <v>589</v>
      </c>
      <c r="O171" s="94" t="s">
        <v>590</v>
      </c>
      <c r="P171" s="94">
        <f t="shared" si="2"/>
        <v>7.08</v>
      </c>
    </row>
    <row r="172" spans="2:16" hidden="1">
      <c r="B172" s="94" t="s">
        <v>585</v>
      </c>
      <c r="C172" s="94">
        <v>976</v>
      </c>
      <c r="D172" s="94" t="s">
        <v>586</v>
      </c>
      <c r="E172" s="94">
        <v>20</v>
      </c>
      <c r="F172" s="94">
        <v>70</v>
      </c>
      <c r="G172" s="94" t="s">
        <v>587</v>
      </c>
      <c r="H172" s="94">
        <v>40001411</v>
      </c>
      <c r="I172" s="94" t="s">
        <v>731</v>
      </c>
      <c r="J172" s="94">
        <v>676</v>
      </c>
      <c r="K172" s="94" t="s">
        <v>587</v>
      </c>
      <c r="L172" s="94">
        <v>1</v>
      </c>
      <c r="M172" s="94" t="s">
        <v>588</v>
      </c>
      <c r="N172" s="94" t="s">
        <v>589</v>
      </c>
      <c r="O172" s="94" t="s">
        <v>590</v>
      </c>
      <c r="P172" s="94">
        <f t="shared" si="2"/>
        <v>3.38</v>
      </c>
    </row>
    <row r="173" spans="2:16">
      <c r="B173" s="94" t="s">
        <v>585</v>
      </c>
      <c r="C173" s="94">
        <v>976</v>
      </c>
      <c r="D173" s="94" t="s">
        <v>586</v>
      </c>
      <c r="E173" s="94">
        <v>20</v>
      </c>
      <c r="F173" s="94">
        <v>70</v>
      </c>
      <c r="G173" s="94" t="s">
        <v>587</v>
      </c>
      <c r="H173" s="94">
        <v>40001411</v>
      </c>
      <c r="I173" s="94" t="s">
        <v>732</v>
      </c>
      <c r="J173" s="94">
        <v>3.38</v>
      </c>
      <c r="K173" s="94" t="s">
        <v>587</v>
      </c>
      <c r="L173" s="94">
        <v>1</v>
      </c>
      <c r="M173" s="94" t="s">
        <v>592</v>
      </c>
      <c r="N173" s="94" t="s">
        <v>589</v>
      </c>
      <c r="O173" s="94" t="s">
        <v>590</v>
      </c>
      <c r="P173" s="94">
        <f t="shared" si="2"/>
        <v>3.38</v>
      </c>
    </row>
    <row r="174" spans="2:16" hidden="1">
      <c r="B174" s="94" t="s">
        <v>585</v>
      </c>
      <c r="C174" s="94">
        <v>976</v>
      </c>
      <c r="D174" s="94" t="s">
        <v>586</v>
      </c>
      <c r="E174" s="94">
        <v>20</v>
      </c>
      <c r="F174" s="94">
        <v>70</v>
      </c>
      <c r="G174" s="94" t="s">
        <v>587</v>
      </c>
      <c r="H174" s="94">
        <v>40001411</v>
      </c>
      <c r="I174" s="94" t="s">
        <v>201</v>
      </c>
      <c r="J174" s="94">
        <v>696</v>
      </c>
      <c r="K174" s="94" t="s">
        <v>587</v>
      </c>
      <c r="L174" s="94">
        <v>1</v>
      </c>
      <c r="M174" s="94" t="s">
        <v>588</v>
      </c>
      <c r="N174" s="94" t="s">
        <v>589</v>
      </c>
      <c r="O174" s="94" t="s">
        <v>590</v>
      </c>
      <c r="P174" s="94">
        <f t="shared" si="2"/>
        <v>3.48</v>
      </c>
    </row>
    <row r="175" spans="2:16">
      <c r="B175" s="94" t="s">
        <v>585</v>
      </c>
      <c r="C175" s="94">
        <v>976</v>
      </c>
      <c r="D175" s="94" t="s">
        <v>586</v>
      </c>
      <c r="E175" s="94">
        <v>20</v>
      </c>
      <c r="F175" s="94">
        <v>70</v>
      </c>
      <c r="G175" s="94" t="s">
        <v>587</v>
      </c>
      <c r="H175" s="94">
        <v>40001411</v>
      </c>
      <c r="I175" s="94" t="s">
        <v>733</v>
      </c>
      <c r="J175" s="94">
        <v>3.48</v>
      </c>
      <c r="K175" s="94" t="s">
        <v>587</v>
      </c>
      <c r="L175" s="94">
        <v>1</v>
      </c>
      <c r="M175" s="94" t="s">
        <v>592</v>
      </c>
      <c r="N175" s="94" t="s">
        <v>589</v>
      </c>
      <c r="O175" s="94" t="s">
        <v>590</v>
      </c>
      <c r="P175" s="94">
        <f t="shared" si="2"/>
        <v>3.48</v>
      </c>
    </row>
    <row r="176" spans="2:16" hidden="1">
      <c r="B176" s="94" t="s">
        <v>585</v>
      </c>
      <c r="C176" s="94">
        <v>976</v>
      </c>
      <c r="D176" s="94" t="s">
        <v>586</v>
      </c>
      <c r="E176" s="94">
        <v>20</v>
      </c>
      <c r="F176" s="94">
        <v>70</v>
      </c>
      <c r="G176" s="94" t="s">
        <v>587</v>
      </c>
      <c r="H176" s="94">
        <v>40001411</v>
      </c>
      <c r="I176" s="94" t="s">
        <v>734</v>
      </c>
      <c r="J176" s="94">
        <v>656</v>
      </c>
      <c r="K176" s="94" t="s">
        <v>587</v>
      </c>
      <c r="L176" s="94">
        <v>1</v>
      </c>
      <c r="M176" s="94" t="s">
        <v>588</v>
      </c>
      <c r="N176" s="94" t="s">
        <v>589</v>
      </c>
      <c r="O176" s="94" t="s">
        <v>590</v>
      </c>
      <c r="P176" s="94">
        <f t="shared" si="2"/>
        <v>3.28</v>
      </c>
    </row>
    <row r="177" spans="2:16">
      <c r="B177" s="94" t="s">
        <v>585</v>
      </c>
      <c r="C177" s="94">
        <v>976</v>
      </c>
      <c r="D177" s="94" t="s">
        <v>586</v>
      </c>
      <c r="E177" s="94">
        <v>20</v>
      </c>
      <c r="F177" s="94">
        <v>70</v>
      </c>
      <c r="G177" s="94" t="s">
        <v>587</v>
      </c>
      <c r="H177" s="94">
        <v>40001411</v>
      </c>
      <c r="I177" s="94" t="s">
        <v>735</v>
      </c>
      <c r="J177" s="94">
        <v>3.28</v>
      </c>
      <c r="K177" s="94" t="s">
        <v>587</v>
      </c>
      <c r="L177" s="94">
        <v>1</v>
      </c>
      <c r="M177" s="94" t="s">
        <v>592</v>
      </c>
      <c r="N177" s="94" t="s">
        <v>589</v>
      </c>
      <c r="O177" s="94" t="s">
        <v>590</v>
      </c>
      <c r="P177" s="94">
        <f t="shared" si="2"/>
        <v>3.28</v>
      </c>
    </row>
    <row r="178" spans="2:16" hidden="1">
      <c r="B178" s="94" t="s">
        <v>585</v>
      </c>
      <c r="C178" s="94">
        <v>976</v>
      </c>
      <c r="D178" s="94" t="s">
        <v>586</v>
      </c>
      <c r="E178" s="94">
        <v>20</v>
      </c>
      <c r="F178" s="94">
        <v>70</v>
      </c>
      <c r="G178" s="94" t="s">
        <v>587</v>
      </c>
      <c r="H178" s="94">
        <v>40001411</v>
      </c>
      <c r="I178" s="94" t="s">
        <v>736</v>
      </c>
      <c r="J178" s="94">
        <v>696</v>
      </c>
      <c r="K178" s="94" t="s">
        <v>587</v>
      </c>
      <c r="L178" s="94">
        <v>1</v>
      </c>
      <c r="M178" s="94" t="s">
        <v>588</v>
      </c>
      <c r="N178" s="94" t="s">
        <v>589</v>
      </c>
      <c r="O178" s="94" t="s">
        <v>590</v>
      </c>
      <c r="P178" s="94">
        <f t="shared" si="2"/>
        <v>3.48</v>
      </c>
    </row>
    <row r="179" spans="2:16">
      <c r="B179" s="94" t="s">
        <v>585</v>
      </c>
      <c r="C179" s="94">
        <v>976</v>
      </c>
      <c r="D179" s="94" t="s">
        <v>586</v>
      </c>
      <c r="E179" s="94">
        <v>20</v>
      </c>
      <c r="F179" s="94">
        <v>70</v>
      </c>
      <c r="G179" s="94" t="s">
        <v>587</v>
      </c>
      <c r="H179" s="94">
        <v>40001411</v>
      </c>
      <c r="I179" s="94" t="s">
        <v>737</v>
      </c>
      <c r="J179" s="94">
        <v>3.48</v>
      </c>
      <c r="K179" s="94" t="s">
        <v>587</v>
      </c>
      <c r="L179" s="94">
        <v>1</v>
      </c>
      <c r="M179" s="94" t="s">
        <v>592</v>
      </c>
      <c r="N179" s="94" t="s">
        <v>589</v>
      </c>
      <c r="O179" s="94" t="s">
        <v>590</v>
      </c>
      <c r="P179" s="94">
        <f t="shared" si="2"/>
        <v>3.48</v>
      </c>
    </row>
    <row r="180" spans="2:16" hidden="1">
      <c r="B180" s="94" t="s">
        <v>585</v>
      </c>
      <c r="C180" s="94">
        <v>976</v>
      </c>
      <c r="D180" s="94" t="s">
        <v>586</v>
      </c>
      <c r="E180" s="94">
        <v>20</v>
      </c>
      <c r="F180" s="94">
        <v>70</v>
      </c>
      <c r="G180" s="94" t="s">
        <v>587</v>
      </c>
      <c r="H180" s="94">
        <v>40001411</v>
      </c>
      <c r="I180" s="94" t="s">
        <v>738</v>
      </c>
      <c r="J180" s="94">
        <v>676</v>
      </c>
      <c r="K180" s="94" t="s">
        <v>587</v>
      </c>
      <c r="L180" s="94">
        <v>1</v>
      </c>
      <c r="M180" s="94" t="s">
        <v>588</v>
      </c>
      <c r="N180" s="94" t="s">
        <v>589</v>
      </c>
      <c r="O180" s="94" t="s">
        <v>590</v>
      </c>
      <c r="P180" s="94">
        <f t="shared" si="2"/>
        <v>3.38</v>
      </c>
    </row>
    <row r="181" spans="2:16">
      <c r="B181" s="94" t="s">
        <v>585</v>
      </c>
      <c r="C181" s="94">
        <v>976</v>
      </c>
      <c r="D181" s="94" t="s">
        <v>586</v>
      </c>
      <c r="E181" s="94">
        <v>20</v>
      </c>
      <c r="F181" s="94">
        <v>70</v>
      </c>
      <c r="G181" s="94" t="s">
        <v>587</v>
      </c>
      <c r="H181" s="94">
        <v>40001411</v>
      </c>
      <c r="I181" s="94" t="s">
        <v>739</v>
      </c>
      <c r="J181" s="94">
        <v>3.38</v>
      </c>
      <c r="K181" s="94" t="s">
        <v>587</v>
      </c>
      <c r="L181" s="94">
        <v>1</v>
      </c>
      <c r="M181" s="94" t="s">
        <v>592</v>
      </c>
      <c r="N181" s="94" t="s">
        <v>589</v>
      </c>
      <c r="O181" s="94" t="s">
        <v>590</v>
      </c>
      <c r="P181" s="94">
        <f t="shared" si="2"/>
        <v>3.38</v>
      </c>
    </row>
    <row r="182" spans="2:16" hidden="1">
      <c r="B182" s="94" t="s">
        <v>585</v>
      </c>
      <c r="C182" s="94">
        <v>976</v>
      </c>
      <c r="D182" s="94" t="s">
        <v>586</v>
      </c>
      <c r="E182" s="94">
        <v>20</v>
      </c>
      <c r="F182" s="94">
        <v>70</v>
      </c>
      <c r="G182" s="94" t="s">
        <v>587</v>
      </c>
      <c r="H182" s="94">
        <v>40001411</v>
      </c>
      <c r="I182" s="94" t="s">
        <v>740</v>
      </c>
      <c r="J182" s="94">
        <v>884</v>
      </c>
      <c r="K182" s="94" t="s">
        <v>587</v>
      </c>
      <c r="L182" s="94">
        <v>1</v>
      </c>
      <c r="M182" s="94" t="s">
        <v>588</v>
      </c>
      <c r="N182" s="94" t="s">
        <v>589</v>
      </c>
      <c r="O182" s="94" t="s">
        <v>590</v>
      </c>
      <c r="P182" s="94">
        <f t="shared" si="2"/>
        <v>4.42</v>
      </c>
    </row>
    <row r="183" spans="2:16">
      <c r="B183" s="94" t="s">
        <v>585</v>
      </c>
      <c r="C183" s="94">
        <v>976</v>
      </c>
      <c r="D183" s="94" t="s">
        <v>586</v>
      </c>
      <c r="E183" s="94">
        <v>20</v>
      </c>
      <c r="F183" s="94">
        <v>70</v>
      </c>
      <c r="G183" s="94" t="s">
        <v>587</v>
      </c>
      <c r="H183" s="94">
        <v>40001411</v>
      </c>
      <c r="I183" s="94" t="s">
        <v>741</v>
      </c>
      <c r="J183" s="94">
        <v>4.42</v>
      </c>
      <c r="K183" s="94" t="s">
        <v>587</v>
      </c>
      <c r="L183" s="94">
        <v>1</v>
      </c>
      <c r="M183" s="94" t="s">
        <v>592</v>
      </c>
      <c r="N183" s="94" t="s">
        <v>589</v>
      </c>
      <c r="O183" s="94" t="s">
        <v>590</v>
      </c>
      <c r="P183" s="94">
        <f t="shared" si="2"/>
        <v>4.42</v>
      </c>
    </row>
    <row r="184" spans="2:16" hidden="1">
      <c r="B184" s="94" t="s">
        <v>585</v>
      </c>
      <c r="C184" s="94">
        <v>976</v>
      </c>
      <c r="D184" s="94" t="s">
        <v>586</v>
      </c>
      <c r="E184" s="94">
        <v>20</v>
      </c>
      <c r="F184" s="94">
        <v>70</v>
      </c>
      <c r="G184" s="94" t="s">
        <v>587</v>
      </c>
      <c r="H184" s="94">
        <v>40001411</v>
      </c>
      <c r="I184" s="94" t="s">
        <v>742</v>
      </c>
      <c r="J184" s="94">
        <v>850</v>
      </c>
      <c r="K184" s="94" t="s">
        <v>587</v>
      </c>
      <c r="L184" s="94">
        <v>1</v>
      </c>
      <c r="M184" s="94" t="s">
        <v>588</v>
      </c>
      <c r="N184" s="94" t="s">
        <v>589</v>
      </c>
      <c r="O184" s="94" t="s">
        <v>590</v>
      </c>
      <c r="P184" s="94">
        <f t="shared" si="2"/>
        <v>4.25</v>
      </c>
    </row>
    <row r="185" spans="2:16">
      <c r="B185" s="94" t="s">
        <v>585</v>
      </c>
      <c r="C185" s="94">
        <v>976</v>
      </c>
      <c r="D185" s="94" t="s">
        <v>586</v>
      </c>
      <c r="E185" s="94">
        <v>20</v>
      </c>
      <c r="F185" s="94">
        <v>70</v>
      </c>
      <c r="G185" s="94" t="s">
        <v>587</v>
      </c>
      <c r="H185" s="94">
        <v>40001411</v>
      </c>
      <c r="I185" s="94" t="s">
        <v>743</v>
      </c>
      <c r="J185" s="94">
        <v>4.25</v>
      </c>
      <c r="K185" s="94" t="s">
        <v>587</v>
      </c>
      <c r="L185" s="94">
        <v>1</v>
      </c>
      <c r="M185" s="94" t="s">
        <v>592</v>
      </c>
      <c r="N185" s="94" t="s">
        <v>589</v>
      </c>
      <c r="O185" s="94" t="s">
        <v>590</v>
      </c>
      <c r="P185" s="94">
        <f t="shared" si="2"/>
        <v>4.25</v>
      </c>
    </row>
    <row r="186" spans="2:16" hidden="1">
      <c r="B186" s="94" t="s">
        <v>585</v>
      </c>
      <c r="C186" s="94">
        <v>976</v>
      </c>
      <c r="D186" s="94" t="s">
        <v>586</v>
      </c>
      <c r="E186" s="94">
        <v>20</v>
      </c>
      <c r="F186" s="94">
        <v>70</v>
      </c>
      <c r="G186" s="94" t="s">
        <v>587</v>
      </c>
      <c r="H186" s="94">
        <v>40001411</v>
      </c>
      <c r="I186" s="94" t="s">
        <v>744</v>
      </c>
      <c r="J186" s="94">
        <v>1180</v>
      </c>
      <c r="K186" s="94" t="s">
        <v>587</v>
      </c>
      <c r="L186" s="94">
        <v>1</v>
      </c>
      <c r="M186" s="94" t="s">
        <v>588</v>
      </c>
      <c r="N186" s="94" t="s">
        <v>589</v>
      </c>
      <c r="O186" s="94" t="s">
        <v>590</v>
      </c>
      <c r="P186" s="94">
        <f t="shared" si="2"/>
        <v>5.9</v>
      </c>
    </row>
    <row r="187" spans="2:16">
      <c r="B187" s="94" t="s">
        <v>585</v>
      </c>
      <c r="C187" s="94">
        <v>976</v>
      </c>
      <c r="D187" s="94" t="s">
        <v>586</v>
      </c>
      <c r="E187" s="94">
        <v>20</v>
      </c>
      <c r="F187" s="94">
        <v>70</v>
      </c>
      <c r="G187" s="94" t="s">
        <v>587</v>
      </c>
      <c r="H187" s="94">
        <v>40001411</v>
      </c>
      <c r="I187" s="94" t="s">
        <v>745</v>
      </c>
      <c r="J187" s="94">
        <v>5.9</v>
      </c>
      <c r="K187" s="94" t="s">
        <v>587</v>
      </c>
      <c r="L187" s="94">
        <v>1</v>
      </c>
      <c r="M187" s="94" t="s">
        <v>592</v>
      </c>
      <c r="N187" s="94" t="s">
        <v>589</v>
      </c>
      <c r="O187" s="94" t="s">
        <v>590</v>
      </c>
      <c r="P187" s="94">
        <f t="shared" si="2"/>
        <v>5.9</v>
      </c>
    </row>
    <row r="188" spans="2:16" hidden="1">
      <c r="B188" s="94" t="s">
        <v>585</v>
      </c>
      <c r="C188" s="94">
        <v>976</v>
      </c>
      <c r="D188" s="94" t="s">
        <v>586</v>
      </c>
      <c r="E188" s="94">
        <v>20</v>
      </c>
      <c r="F188" s="94">
        <v>70</v>
      </c>
      <c r="G188" s="94" t="s">
        <v>587</v>
      </c>
      <c r="H188" s="94">
        <v>40001411</v>
      </c>
      <c r="I188" s="94" t="s">
        <v>246</v>
      </c>
      <c r="J188" s="94">
        <v>1322</v>
      </c>
      <c r="K188" s="94" t="s">
        <v>587</v>
      </c>
      <c r="L188" s="94">
        <v>1</v>
      </c>
      <c r="M188" s="94" t="s">
        <v>588</v>
      </c>
      <c r="N188" s="94" t="s">
        <v>589</v>
      </c>
      <c r="O188" s="94" t="s">
        <v>590</v>
      </c>
      <c r="P188" s="94">
        <f t="shared" si="2"/>
        <v>6.61</v>
      </c>
    </row>
    <row r="189" spans="2:16">
      <c r="B189" s="94" t="s">
        <v>585</v>
      </c>
      <c r="C189" s="94">
        <v>976</v>
      </c>
      <c r="D189" s="94" t="s">
        <v>586</v>
      </c>
      <c r="E189" s="94">
        <v>20</v>
      </c>
      <c r="F189" s="94">
        <v>70</v>
      </c>
      <c r="G189" s="94" t="s">
        <v>587</v>
      </c>
      <c r="H189" s="94">
        <v>40001411</v>
      </c>
      <c r="I189" s="94" t="s">
        <v>746</v>
      </c>
      <c r="J189" s="94">
        <v>6.61</v>
      </c>
      <c r="K189" s="94" t="s">
        <v>587</v>
      </c>
      <c r="L189" s="94">
        <v>1</v>
      </c>
      <c r="M189" s="94" t="s">
        <v>592</v>
      </c>
      <c r="N189" s="94" t="s">
        <v>589</v>
      </c>
      <c r="O189" s="94" t="s">
        <v>590</v>
      </c>
      <c r="P189" s="94">
        <f t="shared" si="2"/>
        <v>6.61</v>
      </c>
    </row>
    <row r="190" spans="2:16" hidden="1">
      <c r="B190" s="94" t="s">
        <v>585</v>
      </c>
      <c r="C190" s="94">
        <v>976</v>
      </c>
      <c r="D190" s="94" t="s">
        <v>586</v>
      </c>
      <c r="E190" s="94">
        <v>20</v>
      </c>
      <c r="F190" s="94">
        <v>70</v>
      </c>
      <c r="G190" s="94" t="s">
        <v>587</v>
      </c>
      <c r="H190" s="94">
        <v>40001411</v>
      </c>
      <c r="I190" s="94" t="s">
        <v>747</v>
      </c>
      <c r="J190" s="94">
        <v>878</v>
      </c>
      <c r="K190" s="94" t="s">
        <v>587</v>
      </c>
      <c r="L190" s="94">
        <v>1</v>
      </c>
      <c r="M190" s="94" t="s">
        <v>588</v>
      </c>
      <c r="N190" s="94" t="s">
        <v>589</v>
      </c>
      <c r="O190" s="94" t="s">
        <v>590</v>
      </c>
      <c r="P190" s="94">
        <f t="shared" si="2"/>
        <v>4.3899999999999997</v>
      </c>
    </row>
    <row r="191" spans="2:16">
      <c r="B191" s="94" t="s">
        <v>585</v>
      </c>
      <c r="C191" s="94">
        <v>976</v>
      </c>
      <c r="D191" s="94" t="s">
        <v>586</v>
      </c>
      <c r="E191" s="94">
        <v>20</v>
      </c>
      <c r="F191" s="94">
        <v>70</v>
      </c>
      <c r="G191" s="94" t="s">
        <v>587</v>
      </c>
      <c r="H191" s="94">
        <v>40001411</v>
      </c>
      <c r="I191" s="94" t="s">
        <v>748</v>
      </c>
      <c r="J191" s="94">
        <v>4.3899999999999997</v>
      </c>
      <c r="K191" s="94" t="s">
        <v>587</v>
      </c>
      <c r="L191" s="94">
        <v>1</v>
      </c>
      <c r="M191" s="94" t="s">
        <v>592</v>
      </c>
      <c r="N191" s="94" t="s">
        <v>589</v>
      </c>
      <c r="O191" s="94" t="s">
        <v>590</v>
      </c>
      <c r="P191" s="94">
        <f t="shared" si="2"/>
        <v>4.3899999999999997</v>
      </c>
    </row>
    <row r="192" spans="2:16" hidden="1">
      <c r="B192" s="94" t="s">
        <v>585</v>
      </c>
      <c r="C192" s="94">
        <v>976</v>
      </c>
      <c r="D192" s="94" t="s">
        <v>586</v>
      </c>
      <c r="E192" s="94">
        <v>20</v>
      </c>
      <c r="F192" s="94">
        <v>70</v>
      </c>
      <c r="G192" s="94" t="s">
        <v>587</v>
      </c>
      <c r="H192" s="94">
        <v>40001411</v>
      </c>
      <c r="I192" s="94" t="s">
        <v>749</v>
      </c>
      <c r="J192" s="94">
        <v>1166</v>
      </c>
      <c r="K192" s="94" t="s">
        <v>587</v>
      </c>
      <c r="L192" s="94">
        <v>1</v>
      </c>
      <c r="M192" s="94" t="s">
        <v>588</v>
      </c>
      <c r="N192" s="94" t="s">
        <v>589</v>
      </c>
      <c r="O192" s="94" t="s">
        <v>590</v>
      </c>
      <c r="P192" s="94">
        <f t="shared" si="2"/>
        <v>5.83</v>
      </c>
    </row>
    <row r="193" spans="2:18">
      <c r="B193" s="94" t="s">
        <v>585</v>
      </c>
      <c r="C193" s="94">
        <v>976</v>
      </c>
      <c r="D193" s="94" t="s">
        <v>586</v>
      </c>
      <c r="E193" s="94">
        <v>20</v>
      </c>
      <c r="F193" s="94">
        <v>70</v>
      </c>
      <c r="G193" s="94" t="s">
        <v>587</v>
      </c>
      <c r="H193" s="94">
        <v>40001411</v>
      </c>
      <c r="I193" s="94" t="s">
        <v>750</v>
      </c>
      <c r="J193" s="94">
        <v>5.83</v>
      </c>
      <c r="K193" s="94" t="s">
        <v>587</v>
      </c>
      <c r="L193" s="94">
        <v>1</v>
      </c>
      <c r="M193" s="94" t="s">
        <v>592</v>
      </c>
      <c r="N193" s="94" t="s">
        <v>589</v>
      </c>
      <c r="O193" s="94" t="s">
        <v>590</v>
      </c>
      <c r="P193" s="94">
        <f t="shared" si="2"/>
        <v>5.83</v>
      </c>
    </row>
    <row r="194" spans="2:18" hidden="1">
      <c r="B194" s="94" t="s">
        <v>585</v>
      </c>
      <c r="C194" s="94">
        <v>976</v>
      </c>
      <c r="D194" s="94" t="s">
        <v>586</v>
      </c>
      <c r="E194" s="94">
        <v>20</v>
      </c>
      <c r="F194" s="94">
        <v>70</v>
      </c>
      <c r="G194" s="94" t="s">
        <v>587</v>
      </c>
      <c r="H194" s="94">
        <v>40001411</v>
      </c>
      <c r="I194" s="94" t="s">
        <v>751</v>
      </c>
      <c r="J194" s="94">
        <v>1130</v>
      </c>
      <c r="K194" s="94" t="s">
        <v>587</v>
      </c>
      <c r="L194" s="94">
        <v>1</v>
      </c>
      <c r="M194" s="94" t="s">
        <v>588</v>
      </c>
      <c r="N194" s="94" t="s">
        <v>589</v>
      </c>
      <c r="O194" s="94" t="s">
        <v>590</v>
      </c>
      <c r="P194" s="94">
        <f t="shared" si="2"/>
        <v>5.65</v>
      </c>
    </row>
    <row r="195" spans="2:18">
      <c r="B195" s="94" t="s">
        <v>585</v>
      </c>
      <c r="C195" s="94">
        <v>976</v>
      </c>
      <c r="D195" s="94" t="s">
        <v>586</v>
      </c>
      <c r="E195" s="94">
        <v>20</v>
      </c>
      <c r="F195" s="94">
        <v>70</v>
      </c>
      <c r="G195" s="94" t="s">
        <v>587</v>
      </c>
      <c r="H195" s="94">
        <v>40001411</v>
      </c>
      <c r="I195" s="94" t="s">
        <v>752</v>
      </c>
      <c r="J195" s="94">
        <v>5.65</v>
      </c>
      <c r="K195" s="94" t="s">
        <v>587</v>
      </c>
      <c r="L195" s="94">
        <v>1</v>
      </c>
      <c r="M195" s="94" t="s">
        <v>592</v>
      </c>
      <c r="N195" s="94" t="s">
        <v>589</v>
      </c>
      <c r="O195" s="94" t="s">
        <v>590</v>
      </c>
      <c r="P195" s="94">
        <f t="shared" si="2"/>
        <v>5.65</v>
      </c>
    </row>
    <row r="196" spans="2:18" hidden="1">
      <c r="B196" s="94" t="s">
        <v>585</v>
      </c>
      <c r="C196" s="94">
        <v>976</v>
      </c>
      <c r="D196" s="94" t="s">
        <v>586</v>
      </c>
      <c r="E196" s="94">
        <v>20</v>
      </c>
      <c r="F196" s="94">
        <v>70</v>
      </c>
      <c r="G196" s="94" t="s">
        <v>587</v>
      </c>
      <c r="H196" s="94">
        <v>40001411</v>
      </c>
      <c r="I196" s="94" t="s">
        <v>214</v>
      </c>
      <c r="J196" s="94">
        <v>1440</v>
      </c>
      <c r="K196" s="94" t="s">
        <v>587</v>
      </c>
      <c r="L196" s="94">
        <v>1</v>
      </c>
      <c r="M196" s="94" t="s">
        <v>588</v>
      </c>
      <c r="N196" s="94" t="s">
        <v>589</v>
      </c>
      <c r="O196" s="94" t="s">
        <v>590</v>
      </c>
      <c r="P196" s="94">
        <f t="shared" ref="P196:P260" si="3">+IF(M196="tam",J196/200,J196)</f>
        <v>7.2</v>
      </c>
    </row>
    <row r="197" spans="2:18">
      <c r="B197" s="94" t="s">
        <v>585</v>
      </c>
      <c r="C197" s="94">
        <v>976</v>
      </c>
      <c r="D197" s="94" t="s">
        <v>586</v>
      </c>
      <c r="E197" s="94">
        <v>20</v>
      </c>
      <c r="F197" s="94">
        <v>70</v>
      </c>
      <c r="G197" s="94" t="s">
        <v>587</v>
      </c>
      <c r="H197" s="94">
        <v>40001411</v>
      </c>
      <c r="I197" s="94" t="s">
        <v>197</v>
      </c>
      <c r="J197" s="94">
        <v>7.32</v>
      </c>
      <c r="K197" s="94" t="s">
        <v>587</v>
      </c>
      <c r="L197" s="94">
        <v>1</v>
      </c>
      <c r="M197" s="94" t="s">
        <v>592</v>
      </c>
      <c r="N197" s="94" t="s">
        <v>589</v>
      </c>
      <c r="O197" s="94" t="s">
        <v>590</v>
      </c>
      <c r="P197" s="94">
        <f t="shared" si="3"/>
        <v>7.32</v>
      </c>
    </row>
    <row r="198" spans="2:18" hidden="1">
      <c r="B198" s="94" t="s">
        <v>585</v>
      </c>
      <c r="C198" s="94">
        <v>976</v>
      </c>
      <c r="D198" s="94" t="s">
        <v>586</v>
      </c>
      <c r="E198" s="94">
        <v>20</v>
      </c>
      <c r="F198" s="94">
        <v>70</v>
      </c>
      <c r="G198" s="94" t="s">
        <v>587</v>
      </c>
      <c r="H198" s="94">
        <v>40001411</v>
      </c>
      <c r="I198" s="94" t="s">
        <v>753</v>
      </c>
      <c r="J198" s="94">
        <v>1524</v>
      </c>
      <c r="K198" s="94" t="s">
        <v>587</v>
      </c>
      <c r="L198" s="94">
        <v>1</v>
      </c>
      <c r="M198" s="94" t="s">
        <v>588</v>
      </c>
      <c r="N198" s="94" t="s">
        <v>589</v>
      </c>
      <c r="O198" s="94" t="s">
        <v>590</v>
      </c>
      <c r="P198" s="94">
        <f t="shared" si="3"/>
        <v>7.62</v>
      </c>
    </row>
    <row r="199" spans="2:18">
      <c r="B199" s="94" t="s">
        <v>585</v>
      </c>
      <c r="C199" s="94">
        <v>976</v>
      </c>
      <c r="D199" s="94" t="s">
        <v>586</v>
      </c>
      <c r="E199" s="94">
        <v>20</v>
      </c>
      <c r="F199" s="94">
        <v>70</v>
      </c>
      <c r="G199" s="94" t="s">
        <v>587</v>
      </c>
      <c r="H199" s="94">
        <v>40001411</v>
      </c>
      <c r="I199" s="94" t="s">
        <v>754</v>
      </c>
      <c r="J199" s="94">
        <v>7.2</v>
      </c>
      <c r="K199" s="94" t="s">
        <v>587</v>
      </c>
      <c r="L199" s="94">
        <v>1</v>
      </c>
      <c r="M199" s="94" t="s">
        <v>592</v>
      </c>
      <c r="N199" s="94" t="s">
        <v>589</v>
      </c>
      <c r="O199" s="94" t="s">
        <v>590</v>
      </c>
      <c r="P199" s="94">
        <f t="shared" si="3"/>
        <v>7.2</v>
      </c>
    </row>
    <row r="200" spans="2:18" hidden="1">
      <c r="B200" s="94" t="s">
        <v>585</v>
      </c>
      <c r="C200" s="94">
        <v>976</v>
      </c>
      <c r="D200" s="94" t="s">
        <v>586</v>
      </c>
      <c r="E200" s="94">
        <v>20</v>
      </c>
      <c r="F200" s="94">
        <v>70</v>
      </c>
      <c r="G200" s="94" t="s">
        <v>587</v>
      </c>
      <c r="H200" s="94">
        <v>40001411</v>
      </c>
      <c r="I200" s="94" t="s">
        <v>287</v>
      </c>
      <c r="J200" s="94">
        <v>1440</v>
      </c>
      <c r="K200" s="94" t="s">
        <v>587</v>
      </c>
      <c r="L200" s="94">
        <v>1</v>
      </c>
      <c r="M200" s="94" t="s">
        <v>588</v>
      </c>
      <c r="N200" s="94" t="s">
        <v>589</v>
      </c>
      <c r="O200" s="94" t="s">
        <v>590</v>
      </c>
      <c r="P200" s="94">
        <f t="shared" si="3"/>
        <v>7.2</v>
      </c>
    </row>
    <row r="201" spans="2:18">
      <c r="B201" s="94" t="s">
        <v>585</v>
      </c>
      <c r="C201" s="94">
        <v>976</v>
      </c>
      <c r="D201" s="94" t="s">
        <v>586</v>
      </c>
      <c r="E201" s="94">
        <v>20</v>
      </c>
      <c r="F201" s="94">
        <v>70</v>
      </c>
      <c r="G201" s="94" t="s">
        <v>587</v>
      </c>
      <c r="H201" s="94">
        <v>40001411</v>
      </c>
      <c r="I201" s="94" t="s">
        <v>755</v>
      </c>
      <c r="J201" s="94">
        <v>7.62</v>
      </c>
      <c r="K201" s="94" t="s">
        <v>587</v>
      </c>
      <c r="L201" s="94">
        <v>1</v>
      </c>
      <c r="M201" s="94" t="s">
        <v>592</v>
      </c>
      <c r="N201" s="94" t="s">
        <v>589</v>
      </c>
      <c r="O201" s="94" t="s">
        <v>590</v>
      </c>
      <c r="P201" s="94">
        <f t="shared" si="3"/>
        <v>7.62</v>
      </c>
    </row>
    <row r="202" spans="2:18" hidden="1">
      <c r="B202" s="94" t="s">
        <v>585</v>
      </c>
      <c r="C202" s="94">
        <v>976</v>
      </c>
      <c r="D202" s="94" t="s">
        <v>586</v>
      </c>
      <c r="E202" s="94">
        <v>20</v>
      </c>
      <c r="F202" s="94">
        <v>70</v>
      </c>
      <c r="G202" s="94" t="s">
        <v>587</v>
      </c>
      <c r="H202" s="94">
        <v>40001411</v>
      </c>
      <c r="I202" s="94" t="s">
        <v>756</v>
      </c>
      <c r="J202" s="94">
        <v>854</v>
      </c>
      <c r="K202" s="94" t="s">
        <v>587</v>
      </c>
      <c r="L202" s="94">
        <v>1</v>
      </c>
      <c r="M202" s="94" t="s">
        <v>588</v>
      </c>
      <c r="N202" s="94" t="s">
        <v>589</v>
      </c>
      <c r="O202" s="94" t="s">
        <v>590</v>
      </c>
      <c r="P202" s="94">
        <f t="shared" si="3"/>
        <v>4.2699999999999996</v>
      </c>
    </row>
    <row r="203" spans="2:18">
      <c r="B203" s="94" t="s">
        <v>585</v>
      </c>
      <c r="C203" s="94">
        <v>976</v>
      </c>
      <c r="D203" s="94" t="s">
        <v>586</v>
      </c>
      <c r="E203" s="94">
        <v>20</v>
      </c>
      <c r="F203" s="94">
        <v>70</v>
      </c>
      <c r="G203" s="94" t="s">
        <v>587</v>
      </c>
      <c r="H203" s="94">
        <v>40001411</v>
      </c>
      <c r="I203" s="94" t="s">
        <v>757</v>
      </c>
      <c r="J203" s="94">
        <v>7.2</v>
      </c>
      <c r="K203" s="94" t="s">
        <v>587</v>
      </c>
      <c r="L203" s="94">
        <v>1</v>
      </c>
      <c r="M203" s="94" t="s">
        <v>592</v>
      </c>
      <c r="N203" s="94" t="s">
        <v>589</v>
      </c>
      <c r="O203" s="94" t="s">
        <v>590</v>
      </c>
      <c r="P203" s="94">
        <f t="shared" si="3"/>
        <v>7.2</v>
      </c>
    </row>
    <row r="204" spans="2:18" hidden="1">
      <c r="B204" s="94" t="s">
        <v>585</v>
      </c>
      <c r="C204" s="94">
        <v>976</v>
      </c>
      <c r="D204" s="94" t="s">
        <v>586</v>
      </c>
      <c r="E204" s="94">
        <v>20</v>
      </c>
      <c r="F204" s="94">
        <v>70</v>
      </c>
      <c r="G204" s="94" t="s">
        <v>587</v>
      </c>
      <c r="H204" s="94">
        <v>40001411</v>
      </c>
      <c r="I204" s="94" t="s">
        <v>758</v>
      </c>
      <c r="J204" s="94">
        <v>940</v>
      </c>
      <c r="K204" s="94" t="s">
        <v>587</v>
      </c>
      <c r="L204" s="94">
        <v>1</v>
      </c>
      <c r="M204" s="94" t="s">
        <v>588</v>
      </c>
      <c r="N204" s="94" t="s">
        <v>589</v>
      </c>
      <c r="O204" s="94" t="s">
        <v>590</v>
      </c>
      <c r="P204" s="94">
        <f t="shared" si="3"/>
        <v>4.7</v>
      </c>
    </row>
    <row r="205" spans="2:18">
      <c r="B205" s="94" t="s">
        <v>585</v>
      </c>
      <c r="C205" s="94">
        <v>976</v>
      </c>
      <c r="D205" s="94" t="s">
        <v>586</v>
      </c>
      <c r="E205" s="94">
        <v>20</v>
      </c>
      <c r="F205" s="94">
        <v>70</v>
      </c>
      <c r="G205" s="94" t="s">
        <v>587</v>
      </c>
      <c r="H205" s="94">
        <v>40001411</v>
      </c>
      <c r="I205" s="94" t="s">
        <v>759</v>
      </c>
      <c r="J205" s="94">
        <v>4.2699999999999996</v>
      </c>
      <c r="K205" s="94" t="s">
        <v>587</v>
      </c>
      <c r="L205" s="94">
        <v>1</v>
      </c>
      <c r="M205" s="94" t="s">
        <v>592</v>
      </c>
      <c r="N205" s="94" t="s">
        <v>589</v>
      </c>
      <c r="O205" s="94" t="s">
        <v>590</v>
      </c>
      <c r="P205" s="94">
        <f t="shared" si="3"/>
        <v>4.2699999999999996</v>
      </c>
    </row>
    <row r="206" spans="2:18" hidden="1">
      <c r="B206" s="94" t="s">
        <v>585</v>
      </c>
      <c r="C206" s="94">
        <v>976</v>
      </c>
      <c r="D206" s="94" t="s">
        <v>586</v>
      </c>
      <c r="E206" s="94">
        <v>20</v>
      </c>
      <c r="F206" s="94">
        <v>70</v>
      </c>
      <c r="G206" s="94" t="s">
        <v>587</v>
      </c>
      <c r="H206" s="94">
        <v>40001411</v>
      </c>
      <c r="I206" s="94" t="s">
        <v>760</v>
      </c>
      <c r="J206" s="94">
        <v>914</v>
      </c>
      <c r="K206" s="94" t="s">
        <v>587</v>
      </c>
      <c r="L206" s="94">
        <v>1</v>
      </c>
      <c r="M206" s="94" t="s">
        <v>588</v>
      </c>
      <c r="N206" s="94" t="s">
        <v>589</v>
      </c>
      <c r="O206" s="94" t="s">
        <v>590</v>
      </c>
      <c r="P206" s="94">
        <f t="shared" si="3"/>
        <v>4.57</v>
      </c>
    </row>
    <row r="207" spans="2:18">
      <c r="B207" s="94" t="s">
        <v>585</v>
      </c>
      <c r="C207" s="94">
        <v>976</v>
      </c>
      <c r="D207" s="94" t="s">
        <v>586</v>
      </c>
      <c r="E207" s="94">
        <v>20</v>
      </c>
      <c r="F207" s="94">
        <v>70</v>
      </c>
      <c r="G207" s="94" t="s">
        <v>587</v>
      </c>
      <c r="H207" s="94">
        <v>40001411</v>
      </c>
      <c r="I207" s="94" t="s">
        <v>761</v>
      </c>
      <c r="J207" s="94">
        <v>4.7</v>
      </c>
      <c r="K207" s="94" t="s">
        <v>587</v>
      </c>
      <c r="L207" s="94">
        <v>1</v>
      </c>
      <c r="M207" s="94" t="s">
        <v>592</v>
      </c>
      <c r="N207" s="94" t="s">
        <v>589</v>
      </c>
      <c r="O207" s="94" t="s">
        <v>590</v>
      </c>
      <c r="P207" s="94">
        <f t="shared" si="3"/>
        <v>4.7</v>
      </c>
    </row>
    <row r="208" spans="2:18" hidden="1">
      <c r="B208" s="94" t="s">
        <v>585</v>
      </c>
      <c r="C208" s="94">
        <v>976</v>
      </c>
      <c r="D208" s="94" t="s">
        <v>586</v>
      </c>
      <c r="E208" s="94">
        <v>20</v>
      </c>
      <c r="F208" s="94">
        <v>70</v>
      </c>
      <c r="G208" s="94" t="s">
        <v>587</v>
      </c>
      <c r="H208" s="94">
        <v>40001411</v>
      </c>
      <c r="I208" s="94" t="s">
        <v>762</v>
      </c>
      <c r="J208" s="94">
        <v>1078</v>
      </c>
      <c r="K208" s="94" t="s">
        <v>587</v>
      </c>
      <c r="L208" s="94">
        <v>1</v>
      </c>
      <c r="M208" s="94" t="s">
        <v>588</v>
      </c>
      <c r="N208" s="94" t="s">
        <v>589</v>
      </c>
      <c r="O208" s="94" t="s">
        <v>590</v>
      </c>
      <c r="P208" s="94">
        <f t="shared" si="3"/>
        <v>5.39</v>
      </c>
      <c r="R208" t="e">
        <f>J208/Q208</f>
        <v>#DIV/0!</v>
      </c>
    </row>
    <row r="209" spans="2:16">
      <c r="B209" s="94" t="s">
        <v>585</v>
      </c>
      <c r="C209" s="94">
        <v>976</v>
      </c>
      <c r="D209" s="94" t="s">
        <v>586</v>
      </c>
      <c r="E209" s="94">
        <v>20</v>
      </c>
      <c r="F209" s="94">
        <v>70</v>
      </c>
      <c r="G209" s="94" t="s">
        <v>587</v>
      </c>
      <c r="H209" s="94">
        <v>40001411</v>
      </c>
      <c r="I209" s="94" t="s">
        <v>763</v>
      </c>
      <c r="J209" s="94">
        <v>4.57</v>
      </c>
      <c r="K209" s="94" t="s">
        <v>587</v>
      </c>
      <c r="L209" s="94">
        <v>1</v>
      </c>
      <c r="M209" s="94" t="s">
        <v>592</v>
      </c>
      <c r="N209" s="94" t="s">
        <v>589</v>
      </c>
      <c r="O209" s="94" t="s">
        <v>590</v>
      </c>
      <c r="P209" s="94">
        <f t="shared" si="3"/>
        <v>4.57</v>
      </c>
    </row>
    <row r="210" spans="2:16" hidden="1">
      <c r="B210" s="94" t="s">
        <v>585</v>
      </c>
      <c r="C210" s="94">
        <v>976</v>
      </c>
      <c r="D210" s="94" t="s">
        <v>586</v>
      </c>
      <c r="E210" s="94">
        <v>20</v>
      </c>
      <c r="F210" s="94">
        <v>70</v>
      </c>
      <c r="G210" s="94" t="s">
        <v>587</v>
      </c>
      <c r="H210" s="94">
        <v>40001411</v>
      </c>
      <c r="I210" s="94" t="s">
        <v>472</v>
      </c>
      <c r="J210" s="94">
        <v>1576</v>
      </c>
      <c r="K210" s="94" t="s">
        <v>587</v>
      </c>
      <c r="L210" s="94">
        <v>1</v>
      </c>
      <c r="M210" s="94" t="s">
        <v>588</v>
      </c>
      <c r="N210" s="94" t="s">
        <v>589</v>
      </c>
      <c r="O210" s="94" t="s">
        <v>590</v>
      </c>
      <c r="P210" s="94">
        <f t="shared" si="3"/>
        <v>7.88</v>
      </c>
    </row>
    <row r="211" spans="2:16">
      <c r="B211" s="94" t="s">
        <v>585</v>
      </c>
      <c r="C211" s="94">
        <v>976</v>
      </c>
      <c r="D211" s="94" t="s">
        <v>586</v>
      </c>
      <c r="E211" s="94">
        <v>20</v>
      </c>
      <c r="F211" s="94">
        <v>70</v>
      </c>
      <c r="G211" s="94" t="s">
        <v>587</v>
      </c>
      <c r="H211" s="94">
        <v>40001411</v>
      </c>
      <c r="I211" s="94" t="s">
        <v>764</v>
      </c>
      <c r="J211" s="94">
        <v>5.39</v>
      </c>
      <c r="K211" s="94" t="s">
        <v>587</v>
      </c>
      <c r="L211" s="94">
        <v>1</v>
      </c>
      <c r="M211" s="94" t="s">
        <v>592</v>
      </c>
      <c r="N211" s="94" t="s">
        <v>589</v>
      </c>
      <c r="O211" s="94" t="s">
        <v>590</v>
      </c>
      <c r="P211" s="94">
        <f t="shared" si="3"/>
        <v>5.39</v>
      </c>
    </row>
    <row r="212" spans="2:16" hidden="1">
      <c r="B212" s="94" t="s">
        <v>585</v>
      </c>
      <c r="C212" s="94">
        <v>976</v>
      </c>
      <c r="D212" s="94" t="s">
        <v>586</v>
      </c>
      <c r="E212" s="94">
        <v>20</v>
      </c>
      <c r="F212" s="94">
        <v>70</v>
      </c>
      <c r="G212" s="94" t="s">
        <v>587</v>
      </c>
      <c r="H212" s="94">
        <v>40001411</v>
      </c>
      <c r="I212" s="94" t="s">
        <v>765</v>
      </c>
      <c r="J212" s="94">
        <v>706</v>
      </c>
      <c r="K212" s="94" t="s">
        <v>587</v>
      </c>
      <c r="L212" s="94">
        <v>1</v>
      </c>
      <c r="M212" s="94" t="s">
        <v>588</v>
      </c>
      <c r="N212" s="94" t="s">
        <v>589</v>
      </c>
      <c r="O212" s="94" t="s">
        <v>590</v>
      </c>
      <c r="P212" s="94">
        <f t="shared" si="3"/>
        <v>3.53</v>
      </c>
    </row>
    <row r="213" spans="2:16">
      <c r="B213" s="94" t="s">
        <v>585</v>
      </c>
      <c r="C213" s="94">
        <v>976</v>
      </c>
      <c r="D213" s="94" t="s">
        <v>586</v>
      </c>
      <c r="E213" s="94">
        <v>20</v>
      </c>
      <c r="F213" s="94">
        <v>70</v>
      </c>
      <c r="G213" s="94" t="s">
        <v>587</v>
      </c>
      <c r="H213" s="94">
        <v>40001411</v>
      </c>
      <c r="I213" s="94" t="s">
        <v>218</v>
      </c>
      <c r="J213" s="94">
        <v>7.88</v>
      </c>
      <c r="K213" s="94" t="s">
        <v>587</v>
      </c>
      <c r="L213" s="94">
        <v>1</v>
      </c>
      <c r="M213" s="94" t="s">
        <v>592</v>
      </c>
      <c r="N213" s="94" t="s">
        <v>589</v>
      </c>
      <c r="O213" s="94" t="s">
        <v>590</v>
      </c>
      <c r="P213" s="94">
        <f>+IF(M213="tam",J213/200,J213)</f>
        <v>7.88</v>
      </c>
    </row>
    <row r="214" spans="2:16">
      <c r="B214" s="94" t="s">
        <v>585</v>
      </c>
      <c r="C214" s="94">
        <v>976</v>
      </c>
      <c r="D214" s="94" t="s">
        <v>586</v>
      </c>
      <c r="E214" s="94">
        <v>20</v>
      </c>
      <c r="F214" s="94">
        <v>70</v>
      </c>
      <c r="G214" s="94" t="s">
        <v>587</v>
      </c>
      <c r="H214" s="94">
        <v>40001411</v>
      </c>
      <c r="I214" s="94" t="s">
        <v>766</v>
      </c>
      <c r="J214" s="94">
        <v>3.53</v>
      </c>
      <c r="K214" s="94" t="s">
        <v>587</v>
      </c>
      <c r="L214" s="94">
        <v>1</v>
      </c>
      <c r="M214" s="94" t="s">
        <v>592</v>
      </c>
      <c r="N214" s="94" t="s">
        <v>589</v>
      </c>
      <c r="O214" s="94" t="s">
        <v>590</v>
      </c>
      <c r="P214" s="94">
        <f t="shared" si="3"/>
        <v>3.53</v>
      </c>
    </row>
    <row r="215" spans="2:16" hidden="1">
      <c r="B215" s="94" t="s">
        <v>585</v>
      </c>
      <c r="C215" s="94">
        <v>976</v>
      </c>
      <c r="D215" s="94" t="s">
        <v>586</v>
      </c>
      <c r="E215" s="94">
        <v>20</v>
      </c>
      <c r="F215" s="94">
        <v>70</v>
      </c>
      <c r="G215" s="94" t="s">
        <v>587</v>
      </c>
      <c r="H215" s="94">
        <v>40001411</v>
      </c>
      <c r="I215" s="94" t="s">
        <v>767</v>
      </c>
      <c r="J215" s="94">
        <v>548</v>
      </c>
      <c r="K215" s="94" t="s">
        <v>587</v>
      </c>
      <c r="L215" s="94">
        <v>1</v>
      </c>
      <c r="M215" s="94" t="s">
        <v>588</v>
      </c>
      <c r="N215" s="94" t="s">
        <v>589</v>
      </c>
      <c r="O215" s="94" t="s">
        <v>590</v>
      </c>
      <c r="P215" s="94">
        <f t="shared" si="3"/>
        <v>2.74</v>
      </c>
    </row>
    <row r="216" spans="2:16">
      <c r="B216" s="94" t="s">
        <v>585</v>
      </c>
      <c r="C216" s="94">
        <v>976</v>
      </c>
      <c r="D216" s="94" t="s">
        <v>586</v>
      </c>
      <c r="E216" s="94">
        <v>20</v>
      </c>
      <c r="F216" s="94">
        <v>70</v>
      </c>
      <c r="G216" s="94" t="s">
        <v>587</v>
      </c>
      <c r="H216" s="94">
        <v>40001411</v>
      </c>
      <c r="I216" s="94" t="s">
        <v>768</v>
      </c>
      <c r="J216" s="94">
        <v>2.74</v>
      </c>
      <c r="K216" s="94" t="s">
        <v>587</v>
      </c>
      <c r="L216" s="94">
        <v>1</v>
      </c>
      <c r="M216" s="94" t="s">
        <v>592</v>
      </c>
      <c r="N216" s="94" t="s">
        <v>589</v>
      </c>
      <c r="O216" s="94" t="s">
        <v>590</v>
      </c>
      <c r="P216" s="94">
        <f t="shared" si="3"/>
        <v>2.74</v>
      </c>
    </row>
    <row r="217" spans="2:16" hidden="1">
      <c r="B217" s="94" t="s">
        <v>585</v>
      </c>
      <c r="C217" s="94">
        <v>976</v>
      </c>
      <c r="D217" s="94" t="s">
        <v>586</v>
      </c>
      <c r="E217" s="94">
        <v>20</v>
      </c>
      <c r="F217" s="94">
        <v>70</v>
      </c>
      <c r="G217" s="94" t="s">
        <v>587</v>
      </c>
      <c r="H217" s="94">
        <v>40001411</v>
      </c>
      <c r="I217" s="94" t="s">
        <v>769</v>
      </c>
      <c r="J217" s="94">
        <v>554</v>
      </c>
      <c r="K217" s="94" t="s">
        <v>587</v>
      </c>
      <c r="L217" s="94">
        <v>1</v>
      </c>
      <c r="M217" s="94" t="s">
        <v>588</v>
      </c>
      <c r="N217" s="94" t="s">
        <v>589</v>
      </c>
      <c r="O217" s="94" t="s">
        <v>590</v>
      </c>
      <c r="P217" s="94">
        <f t="shared" si="3"/>
        <v>2.77</v>
      </c>
    </row>
    <row r="218" spans="2:16">
      <c r="B218" s="94" t="s">
        <v>585</v>
      </c>
      <c r="C218" s="94">
        <v>976</v>
      </c>
      <c r="D218" s="94" t="s">
        <v>586</v>
      </c>
      <c r="E218" s="94">
        <v>20</v>
      </c>
      <c r="F218" s="94">
        <v>70</v>
      </c>
      <c r="G218" s="94" t="s">
        <v>587</v>
      </c>
      <c r="H218" s="94">
        <v>40001411</v>
      </c>
      <c r="I218" s="94" t="s">
        <v>770</v>
      </c>
      <c r="J218" s="94">
        <v>2.77</v>
      </c>
      <c r="K218" s="94" t="s">
        <v>587</v>
      </c>
      <c r="L218" s="94">
        <v>1</v>
      </c>
      <c r="M218" s="94" t="s">
        <v>592</v>
      </c>
      <c r="N218" s="94" t="s">
        <v>589</v>
      </c>
      <c r="O218" s="94" t="s">
        <v>590</v>
      </c>
      <c r="P218" s="94">
        <f t="shared" si="3"/>
        <v>2.77</v>
      </c>
    </row>
    <row r="219" spans="2:16" hidden="1">
      <c r="B219" s="94" t="s">
        <v>585</v>
      </c>
      <c r="C219" s="94">
        <v>976</v>
      </c>
      <c r="D219" s="94" t="s">
        <v>586</v>
      </c>
      <c r="E219" s="94">
        <v>20</v>
      </c>
      <c r="F219" s="94">
        <v>70</v>
      </c>
      <c r="G219" s="94" t="s">
        <v>587</v>
      </c>
      <c r="H219" s="94">
        <v>40001411</v>
      </c>
      <c r="I219" s="94" t="s">
        <v>771</v>
      </c>
      <c r="J219" s="94">
        <v>14.41</v>
      </c>
      <c r="K219" s="94" t="s">
        <v>587</v>
      </c>
      <c r="L219" s="94">
        <v>1</v>
      </c>
      <c r="M219" s="94" t="s">
        <v>588</v>
      </c>
      <c r="N219" s="94" t="s">
        <v>589</v>
      </c>
      <c r="O219" s="94" t="s">
        <v>590</v>
      </c>
      <c r="P219" s="94">
        <f t="shared" si="3"/>
        <v>7.2050000000000003E-2</v>
      </c>
    </row>
    <row r="220" spans="2:16" hidden="1">
      <c r="B220" s="94" t="s">
        <v>585</v>
      </c>
      <c r="C220" s="94">
        <v>976</v>
      </c>
      <c r="D220" s="94" t="s">
        <v>586</v>
      </c>
      <c r="E220" s="94">
        <v>20</v>
      </c>
      <c r="F220" s="94">
        <v>70</v>
      </c>
      <c r="G220" s="94" t="s">
        <v>587</v>
      </c>
      <c r="H220" s="94">
        <v>40001411</v>
      </c>
      <c r="I220" s="94" t="s">
        <v>772</v>
      </c>
      <c r="J220" s="94">
        <v>14.13</v>
      </c>
      <c r="K220" s="94" t="s">
        <v>587</v>
      </c>
      <c r="L220" s="94">
        <v>1</v>
      </c>
      <c r="M220" s="94" t="s">
        <v>588</v>
      </c>
      <c r="N220" s="94" t="s">
        <v>589</v>
      </c>
      <c r="O220" s="94" t="s">
        <v>590</v>
      </c>
      <c r="P220" s="94">
        <f t="shared" si="3"/>
        <v>7.0650000000000004E-2</v>
      </c>
    </row>
    <row r="221" spans="2:16" hidden="1">
      <c r="B221" s="94" t="s">
        <v>585</v>
      </c>
      <c r="C221" s="94">
        <v>976</v>
      </c>
      <c r="D221" s="94" t="s">
        <v>586</v>
      </c>
      <c r="E221" s="94">
        <v>20</v>
      </c>
      <c r="F221" s="94">
        <v>70</v>
      </c>
      <c r="G221" s="94" t="s">
        <v>587</v>
      </c>
      <c r="H221" s="94">
        <v>40001411</v>
      </c>
      <c r="I221" s="94" t="s">
        <v>773</v>
      </c>
      <c r="J221" s="94">
        <v>1322</v>
      </c>
      <c r="K221" s="94" t="s">
        <v>587</v>
      </c>
      <c r="L221" s="94">
        <v>1</v>
      </c>
      <c r="M221" s="94" t="s">
        <v>588</v>
      </c>
      <c r="N221" s="94" t="s">
        <v>589</v>
      </c>
      <c r="O221" s="94" t="s">
        <v>590</v>
      </c>
      <c r="P221" s="94">
        <f t="shared" si="3"/>
        <v>6.61</v>
      </c>
    </row>
    <row r="222" spans="2:16">
      <c r="B222" s="94" t="s">
        <v>585</v>
      </c>
      <c r="C222" s="94">
        <v>976</v>
      </c>
      <c r="D222" s="94" t="s">
        <v>586</v>
      </c>
      <c r="E222" s="94">
        <v>20</v>
      </c>
      <c r="F222" s="94">
        <v>70</v>
      </c>
      <c r="G222" s="94" t="s">
        <v>587</v>
      </c>
      <c r="H222" s="94">
        <v>40001411</v>
      </c>
      <c r="I222" s="94" t="s">
        <v>774</v>
      </c>
      <c r="J222" s="94">
        <v>6.61</v>
      </c>
      <c r="K222" s="94" t="s">
        <v>587</v>
      </c>
      <c r="L222" s="94">
        <v>1</v>
      </c>
      <c r="M222" s="94" t="s">
        <v>592</v>
      </c>
      <c r="N222" s="94" t="s">
        <v>589</v>
      </c>
      <c r="O222" s="94" t="s">
        <v>590</v>
      </c>
      <c r="P222" s="94">
        <f t="shared" si="3"/>
        <v>6.61</v>
      </c>
    </row>
    <row r="223" spans="2:16" hidden="1">
      <c r="B223" s="94" t="s">
        <v>585</v>
      </c>
      <c r="C223" s="94">
        <v>976</v>
      </c>
      <c r="D223" s="94" t="s">
        <v>586</v>
      </c>
      <c r="E223" s="94">
        <v>20</v>
      </c>
      <c r="F223" s="94">
        <v>70</v>
      </c>
      <c r="G223" s="94" t="s">
        <v>587</v>
      </c>
      <c r="H223" s="94">
        <v>40001411</v>
      </c>
      <c r="I223" s="94" t="s">
        <v>775</v>
      </c>
      <c r="J223" s="94">
        <v>1338</v>
      </c>
      <c r="K223" s="94" t="s">
        <v>587</v>
      </c>
      <c r="L223" s="94">
        <v>1</v>
      </c>
      <c r="M223" s="94" t="s">
        <v>588</v>
      </c>
      <c r="N223" s="94" t="s">
        <v>589</v>
      </c>
      <c r="O223" s="94" t="s">
        <v>590</v>
      </c>
      <c r="P223" s="94">
        <f t="shared" si="3"/>
        <v>6.69</v>
      </c>
    </row>
    <row r="224" spans="2:16">
      <c r="B224" s="94" t="s">
        <v>585</v>
      </c>
      <c r="C224" s="94">
        <v>976</v>
      </c>
      <c r="D224" s="94" t="s">
        <v>586</v>
      </c>
      <c r="E224" s="94">
        <v>20</v>
      </c>
      <c r="F224" s="94">
        <v>70</v>
      </c>
      <c r="G224" s="94" t="s">
        <v>587</v>
      </c>
      <c r="H224" s="94">
        <v>40001411</v>
      </c>
      <c r="I224" s="94" t="s">
        <v>776</v>
      </c>
      <c r="J224" s="94">
        <v>6.69</v>
      </c>
      <c r="K224" s="94" t="s">
        <v>587</v>
      </c>
      <c r="L224" s="94">
        <v>1</v>
      </c>
      <c r="M224" s="94" t="s">
        <v>592</v>
      </c>
      <c r="N224" s="94" t="s">
        <v>589</v>
      </c>
      <c r="O224" s="94" t="s">
        <v>590</v>
      </c>
      <c r="P224" s="94">
        <f t="shared" si="3"/>
        <v>6.69</v>
      </c>
    </row>
    <row r="225" spans="2:16" hidden="1">
      <c r="B225" s="94" t="s">
        <v>585</v>
      </c>
      <c r="C225" s="94">
        <v>976</v>
      </c>
      <c r="D225" s="94" t="s">
        <v>586</v>
      </c>
      <c r="E225" s="94">
        <v>20</v>
      </c>
      <c r="F225" s="94">
        <v>70</v>
      </c>
      <c r="G225" s="94" t="s">
        <v>587</v>
      </c>
      <c r="H225" s="94">
        <v>40001411</v>
      </c>
      <c r="I225" s="94" t="s">
        <v>777</v>
      </c>
      <c r="J225" s="94">
        <v>1358</v>
      </c>
      <c r="K225" s="94" t="s">
        <v>587</v>
      </c>
      <c r="L225" s="94">
        <v>1</v>
      </c>
      <c r="M225" s="94" t="s">
        <v>588</v>
      </c>
      <c r="N225" s="94" t="s">
        <v>589</v>
      </c>
      <c r="O225" s="94" t="s">
        <v>590</v>
      </c>
      <c r="P225" s="94">
        <f t="shared" si="3"/>
        <v>6.79</v>
      </c>
    </row>
    <row r="226" spans="2:16">
      <c r="B226" s="94" t="s">
        <v>585</v>
      </c>
      <c r="C226" s="94">
        <v>976</v>
      </c>
      <c r="D226" s="94" t="s">
        <v>586</v>
      </c>
      <c r="E226" s="94">
        <v>20</v>
      </c>
      <c r="F226" s="94">
        <v>70</v>
      </c>
      <c r="G226" s="94" t="s">
        <v>587</v>
      </c>
      <c r="H226" s="94">
        <v>40001411</v>
      </c>
      <c r="I226" s="94" t="s">
        <v>778</v>
      </c>
      <c r="J226" s="94">
        <v>6.79</v>
      </c>
      <c r="K226" s="94" t="s">
        <v>587</v>
      </c>
      <c r="L226" s="94">
        <v>1</v>
      </c>
      <c r="M226" s="94" t="s">
        <v>592</v>
      </c>
      <c r="N226" s="94" t="s">
        <v>589</v>
      </c>
      <c r="O226" s="94" t="s">
        <v>590</v>
      </c>
      <c r="P226" s="94">
        <f t="shared" si="3"/>
        <v>6.79</v>
      </c>
    </row>
    <row r="227" spans="2:16" hidden="1">
      <c r="B227" s="94" t="s">
        <v>585</v>
      </c>
      <c r="C227" s="94">
        <v>976</v>
      </c>
      <c r="D227" s="94" t="s">
        <v>586</v>
      </c>
      <c r="E227" s="94">
        <v>20</v>
      </c>
      <c r="F227" s="94">
        <v>70</v>
      </c>
      <c r="G227" s="94" t="s">
        <v>587</v>
      </c>
      <c r="H227" s="94">
        <v>40001411</v>
      </c>
      <c r="I227" s="94" t="s">
        <v>779</v>
      </c>
      <c r="J227" s="94">
        <v>1318</v>
      </c>
      <c r="K227" s="94" t="s">
        <v>587</v>
      </c>
      <c r="L227" s="94">
        <v>1</v>
      </c>
      <c r="M227" s="94" t="s">
        <v>588</v>
      </c>
      <c r="N227" s="94" t="s">
        <v>589</v>
      </c>
      <c r="O227" s="94" t="s">
        <v>590</v>
      </c>
      <c r="P227" s="94">
        <f t="shared" si="3"/>
        <v>6.59</v>
      </c>
    </row>
    <row r="228" spans="2:16">
      <c r="B228" s="94" t="s">
        <v>585</v>
      </c>
      <c r="C228" s="94">
        <v>976</v>
      </c>
      <c r="D228" s="94" t="s">
        <v>586</v>
      </c>
      <c r="E228" s="94">
        <v>20</v>
      </c>
      <c r="F228" s="94">
        <v>70</v>
      </c>
      <c r="G228" s="94" t="s">
        <v>587</v>
      </c>
      <c r="H228" s="94">
        <v>40001411</v>
      </c>
      <c r="I228" s="94" t="s">
        <v>780</v>
      </c>
      <c r="J228" s="94">
        <v>6.59</v>
      </c>
      <c r="K228" s="94" t="s">
        <v>587</v>
      </c>
      <c r="L228" s="94">
        <v>1</v>
      </c>
      <c r="M228" s="94" t="s">
        <v>592</v>
      </c>
      <c r="N228" s="94" t="s">
        <v>589</v>
      </c>
      <c r="O228" s="94" t="s">
        <v>590</v>
      </c>
      <c r="P228" s="94">
        <f t="shared" si="3"/>
        <v>6.59</v>
      </c>
    </row>
    <row r="229" spans="2:16" hidden="1">
      <c r="B229" s="94" t="s">
        <v>585</v>
      </c>
      <c r="C229" s="94">
        <v>976</v>
      </c>
      <c r="D229" s="94" t="s">
        <v>586</v>
      </c>
      <c r="E229" s="94">
        <v>20</v>
      </c>
      <c r="F229" s="94">
        <v>70</v>
      </c>
      <c r="G229" s="94" t="s">
        <v>587</v>
      </c>
      <c r="H229" s="94">
        <v>40001411</v>
      </c>
      <c r="I229" s="94" t="s">
        <v>212</v>
      </c>
      <c r="J229" s="94">
        <v>690</v>
      </c>
      <c r="K229" s="94" t="s">
        <v>587</v>
      </c>
      <c r="L229" s="94">
        <v>1</v>
      </c>
      <c r="M229" s="94" t="s">
        <v>588</v>
      </c>
      <c r="N229" s="94" t="s">
        <v>589</v>
      </c>
      <c r="O229" s="94" t="s">
        <v>590</v>
      </c>
      <c r="P229" s="94">
        <f t="shared" si="3"/>
        <v>3.45</v>
      </c>
    </row>
    <row r="230" spans="2:16">
      <c r="B230" s="94" t="s">
        <v>585</v>
      </c>
      <c r="C230" s="94">
        <v>976</v>
      </c>
      <c r="D230" s="94" t="s">
        <v>586</v>
      </c>
      <c r="E230" s="94">
        <v>20</v>
      </c>
      <c r="F230" s="94">
        <v>70</v>
      </c>
      <c r="G230" s="94" t="s">
        <v>587</v>
      </c>
      <c r="H230" s="94">
        <v>40001411</v>
      </c>
      <c r="I230" s="94" t="s">
        <v>781</v>
      </c>
      <c r="J230" s="94">
        <v>3.45</v>
      </c>
      <c r="K230" s="94" t="s">
        <v>587</v>
      </c>
      <c r="L230" s="94">
        <v>1</v>
      </c>
      <c r="M230" s="94" t="s">
        <v>592</v>
      </c>
      <c r="N230" s="94" t="s">
        <v>589</v>
      </c>
      <c r="O230" s="94" t="s">
        <v>590</v>
      </c>
      <c r="P230" s="94">
        <f t="shared" si="3"/>
        <v>3.45</v>
      </c>
    </row>
    <row r="231" spans="2:16" hidden="1">
      <c r="B231" s="94" t="s">
        <v>585</v>
      </c>
      <c r="C231" s="94">
        <v>976</v>
      </c>
      <c r="D231" s="94" t="s">
        <v>586</v>
      </c>
      <c r="E231" s="94">
        <v>20</v>
      </c>
      <c r="F231" s="94">
        <v>70</v>
      </c>
      <c r="G231" s="94" t="s">
        <v>587</v>
      </c>
      <c r="H231" s="94">
        <v>40001411</v>
      </c>
      <c r="I231" s="94" t="s">
        <v>782</v>
      </c>
      <c r="J231" s="94">
        <v>690</v>
      </c>
      <c r="K231" s="94" t="s">
        <v>587</v>
      </c>
      <c r="L231" s="94">
        <v>1</v>
      </c>
      <c r="M231" s="94" t="s">
        <v>588</v>
      </c>
      <c r="N231" s="94" t="s">
        <v>589</v>
      </c>
      <c r="O231" s="94" t="s">
        <v>590</v>
      </c>
      <c r="P231" s="94">
        <f t="shared" si="3"/>
        <v>3.45</v>
      </c>
    </row>
    <row r="232" spans="2:16">
      <c r="B232" s="94" t="s">
        <v>585</v>
      </c>
      <c r="C232" s="94">
        <v>976</v>
      </c>
      <c r="D232" s="94" t="s">
        <v>586</v>
      </c>
      <c r="E232" s="94">
        <v>20</v>
      </c>
      <c r="F232" s="94">
        <v>70</v>
      </c>
      <c r="G232" s="94" t="s">
        <v>587</v>
      </c>
      <c r="H232" s="94">
        <v>40001411</v>
      </c>
      <c r="I232" s="94" t="s">
        <v>783</v>
      </c>
      <c r="J232" s="94">
        <v>3.45</v>
      </c>
      <c r="K232" s="94" t="s">
        <v>587</v>
      </c>
      <c r="L232" s="94">
        <v>1</v>
      </c>
      <c r="M232" s="94" t="s">
        <v>592</v>
      </c>
      <c r="N232" s="94" t="s">
        <v>589</v>
      </c>
      <c r="O232" s="94" t="s">
        <v>590</v>
      </c>
      <c r="P232" s="94">
        <f t="shared" si="3"/>
        <v>3.45</v>
      </c>
    </row>
    <row r="233" spans="2:16" hidden="1">
      <c r="B233" s="94" t="s">
        <v>585</v>
      </c>
      <c r="C233" s="94">
        <v>976</v>
      </c>
      <c r="D233" s="94" t="s">
        <v>586</v>
      </c>
      <c r="E233" s="94">
        <v>20</v>
      </c>
      <c r="F233" s="94">
        <v>70</v>
      </c>
      <c r="G233" s="94" t="s">
        <v>587</v>
      </c>
      <c r="H233" s="94">
        <v>40001411</v>
      </c>
      <c r="I233" s="94" t="s">
        <v>784</v>
      </c>
      <c r="J233" s="94">
        <v>870</v>
      </c>
      <c r="K233" s="94" t="s">
        <v>587</v>
      </c>
      <c r="L233" s="94">
        <v>1</v>
      </c>
      <c r="M233" s="94" t="s">
        <v>588</v>
      </c>
      <c r="N233" s="94" t="s">
        <v>589</v>
      </c>
      <c r="O233" s="94" t="s">
        <v>590</v>
      </c>
      <c r="P233" s="94">
        <f t="shared" si="3"/>
        <v>4.3499999999999996</v>
      </c>
    </row>
    <row r="234" spans="2:16">
      <c r="B234" s="94" t="s">
        <v>585</v>
      </c>
      <c r="C234" s="94">
        <v>976</v>
      </c>
      <c r="D234" s="94" t="s">
        <v>586</v>
      </c>
      <c r="E234" s="94">
        <v>20</v>
      </c>
      <c r="F234" s="94">
        <v>70</v>
      </c>
      <c r="G234" s="94" t="s">
        <v>587</v>
      </c>
      <c r="H234" s="94">
        <v>40001411</v>
      </c>
      <c r="I234" s="94" t="s">
        <v>785</v>
      </c>
      <c r="J234" s="94">
        <v>4.3499999999999996</v>
      </c>
      <c r="K234" s="94" t="s">
        <v>587</v>
      </c>
      <c r="L234" s="94">
        <v>1</v>
      </c>
      <c r="M234" s="94" t="s">
        <v>592</v>
      </c>
      <c r="N234" s="94" t="s">
        <v>589</v>
      </c>
      <c r="O234" s="94" t="s">
        <v>590</v>
      </c>
      <c r="P234" s="94">
        <f t="shared" si="3"/>
        <v>4.3499999999999996</v>
      </c>
    </row>
    <row r="235" spans="2:16" hidden="1">
      <c r="B235" s="94" t="s">
        <v>585</v>
      </c>
      <c r="C235" s="94">
        <v>976</v>
      </c>
      <c r="D235" s="94" t="s">
        <v>586</v>
      </c>
      <c r="E235" s="94">
        <v>20</v>
      </c>
      <c r="F235" s="94">
        <v>70</v>
      </c>
      <c r="G235" s="94" t="s">
        <v>587</v>
      </c>
      <c r="H235" s="94">
        <v>40001411</v>
      </c>
      <c r="I235" s="94" t="s">
        <v>786</v>
      </c>
      <c r="J235" s="94">
        <v>870</v>
      </c>
      <c r="K235" s="94" t="s">
        <v>587</v>
      </c>
      <c r="L235" s="94">
        <v>1</v>
      </c>
      <c r="M235" s="94" t="s">
        <v>588</v>
      </c>
      <c r="N235" s="94" t="s">
        <v>589</v>
      </c>
      <c r="O235" s="94" t="s">
        <v>590</v>
      </c>
      <c r="P235" s="94">
        <f t="shared" si="3"/>
        <v>4.3499999999999996</v>
      </c>
    </row>
    <row r="236" spans="2:16">
      <c r="B236" s="94" t="s">
        <v>585</v>
      </c>
      <c r="C236" s="94">
        <v>976</v>
      </c>
      <c r="D236" s="94" t="s">
        <v>586</v>
      </c>
      <c r="E236" s="94">
        <v>20</v>
      </c>
      <c r="F236" s="94">
        <v>70</v>
      </c>
      <c r="G236" s="94" t="s">
        <v>587</v>
      </c>
      <c r="H236" s="94">
        <v>40001411</v>
      </c>
      <c r="I236" s="94" t="s">
        <v>787</v>
      </c>
      <c r="J236" s="94">
        <v>4.3499999999999996</v>
      </c>
      <c r="K236" s="94" t="s">
        <v>587</v>
      </c>
      <c r="L236" s="94">
        <v>1</v>
      </c>
      <c r="M236" s="94" t="s">
        <v>592</v>
      </c>
      <c r="N236" s="94" t="s">
        <v>589</v>
      </c>
      <c r="O236" s="94" t="s">
        <v>590</v>
      </c>
      <c r="P236" s="94">
        <f t="shared" si="3"/>
        <v>4.3499999999999996</v>
      </c>
    </row>
    <row r="237" spans="2:16" hidden="1">
      <c r="B237" s="94" t="s">
        <v>585</v>
      </c>
      <c r="C237" s="94">
        <v>976</v>
      </c>
      <c r="D237" s="94" t="s">
        <v>586</v>
      </c>
      <c r="E237" s="94">
        <v>20</v>
      </c>
      <c r="F237" s="94">
        <v>70</v>
      </c>
      <c r="G237" s="94" t="s">
        <v>587</v>
      </c>
      <c r="H237" s="94">
        <v>40001411</v>
      </c>
      <c r="I237" s="94" t="s">
        <v>788</v>
      </c>
      <c r="J237" s="94">
        <v>878</v>
      </c>
      <c r="K237" s="94" t="s">
        <v>587</v>
      </c>
      <c r="L237" s="94">
        <v>1</v>
      </c>
      <c r="M237" s="94" t="s">
        <v>588</v>
      </c>
      <c r="N237" s="94" t="s">
        <v>589</v>
      </c>
      <c r="O237" s="94" t="s">
        <v>590</v>
      </c>
      <c r="P237" s="94">
        <f t="shared" si="3"/>
        <v>4.3899999999999997</v>
      </c>
    </row>
    <row r="238" spans="2:16">
      <c r="B238" s="94" t="s">
        <v>585</v>
      </c>
      <c r="C238" s="94">
        <v>976</v>
      </c>
      <c r="D238" s="94" t="s">
        <v>586</v>
      </c>
      <c r="E238" s="94">
        <v>20</v>
      </c>
      <c r="F238" s="94">
        <v>70</v>
      </c>
      <c r="G238" s="94" t="s">
        <v>587</v>
      </c>
      <c r="H238" s="94">
        <v>40001411</v>
      </c>
      <c r="I238" s="94" t="s">
        <v>789</v>
      </c>
      <c r="J238" s="94">
        <v>4.3899999999999997</v>
      </c>
      <c r="K238" s="94" t="s">
        <v>587</v>
      </c>
      <c r="L238" s="94">
        <v>1</v>
      </c>
      <c r="M238" s="94" t="s">
        <v>592</v>
      </c>
      <c r="N238" s="94" t="s">
        <v>589</v>
      </c>
      <c r="O238" s="94" t="s">
        <v>590</v>
      </c>
      <c r="P238" s="94">
        <f t="shared" si="3"/>
        <v>4.3899999999999997</v>
      </c>
    </row>
    <row r="239" spans="2:16" hidden="1">
      <c r="B239" s="94" t="s">
        <v>585</v>
      </c>
      <c r="C239" s="94">
        <v>976</v>
      </c>
      <c r="D239" s="94" t="s">
        <v>586</v>
      </c>
      <c r="E239" s="94">
        <v>20</v>
      </c>
      <c r="F239" s="94">
        <v>70</v>
      </c>
      <c r="G239" s="94" t="s">
        <v>587</v>
      </c>
      <c r="H239" s="94">
        <v>40001411</v>
      </c>
      <c r="I239" s="94" t="s">
        <v>790</v>
      </c>
      <c r="J239" s="94">
        <v>862</v>
      </c>
      <c r="K239" s="94" t="s">
        <v>587</v>
      </c>
      <c r="L239" s="94">
        <v>1</v>
      </c>
      <c r="M239" s="94" t="s">
        <v>588</v>
      </c>
      <c r="N239" s="94" t="s">
        <v>589</v>
      </c>
      <c r="O239" s="94" t="s">
        <v>590</v>
      </c>
      <c r="P239" s="94">
        <f t="shared" si="3"/>
        <v>4.3099999999999996</v>
      </c>
    </row>
    <row r="240" spans="2:16">
      <c r="B240" s="94" t="s">
        <v>585</v>
      </c>
      <c r="C240" s="94">
        <v>976</v>
      </c>
      <c r="D240" s="94" t="s">
        <v>586</v>
      </c>
      <c r="E240" s="94">
        <v>20</v>
      </c>
      <c r="F240" s="94">
        <v>70</v>
      </c>
      <c r="G240" s="94" t="s">
        <v>587</v>
      </c>
      <c r="H240" s="94">
        <v>40001411</v>
      </c>
      <c r="I240" s="94" t="s">
        <v>791</v>
      </c>
      <c r="J240" s="94">
        <v>4.3099999999999996</v>
      </c>
      <c r="K240" s="94" t="s">
        <v>587</v>
      </c>
      <c r="L240" s="94">
        <v>1</v>
      </c>
      <c r="M240" s="94" t="s">
        <v>592</v>
      </c>
      <c r="N240" s="94" t="s">
        <v>589</v>
      </c>
      <c r="O240" s="94" t="s">
        <v>590</v>
      </c>
      <c r="P240" s="94">
        <f t="shared" si="3"/>
        <v>4.3099999999999996</v>
      </c>
    </row>
    <row r="241" spans="2:16" hidden="1">
      <c r="B241" s="94" t="s">
        <v>585</v>
      </c>
      <c r="C241" s="94">
        <v>976</v>
      </c>
      <c r="D241" s="94" t="s">
        <v>586</v>
      </c>
      <c r="E241" s="94">
        <v>20</v>
      </c>
      <c r="F241" s="94">
        <v>70</v>
      </c>
      <c r="G241" s="94" t="s">
        <v>587</v>
      </c>
      <c r="H241" s="94">
        <v>40001411</v>
      </c>
      <c r="I241" s="94" t="s">
        <v>792</v>
      </c>
      <c r="J241" s="94">
        <v>876</v>
      </c>
      <c r="K241" s="94" t="s">
        <v>587</v>
      </c>
      <c r="L241" s="94">
        <v>1</v>
      </c>
      <c r="M241" s="94" t="s">
        <v>588</v>
      </c>
      <c r="N241" s="94" t="s">
        <v>589</v>
      </c>
      <c r="O241" s="94" t="s">
        <v>590</v>
      </c>
      <c r="P241" s="94">
        <f t="shared" si="3"/>
        <v>4.38</v>
      </c>
    </row>
    <row r="242" spans="2:16">
      <c r="B242" s="94" t="s">
        <v>585</v>
      </c>
      <c r="C242" s="94">
        <v>976</v>
      </c>
      <c r="D242" s="94" t="s">
        <v>586</v>
      </c>
      <c r="E242" s="94">
        <v>20</v>
      </c>
      <c r="F242" s="94">
        <v>70</v>
      </c>
      <c r="G242" s="94" t="s">
        <v>587</v>
      </c>
      <c r="H242" s="94">
        <v>40001411</v>
      </c>
      <c r="I242" s="94" t="s">
        <v>793</v>
      </c>
      <c r="J242" s="94">
        <v>4.38</v>
      </c>
      <c r="K242" s="94" t="s">
        <v>587</v>
      </c>
      <c r="L242" s="94">
        <v>1</v>
      </c>
      <c r="M242" s="94" t="s">
        <v>592</v>
      </c>
      <c r="N242" s="94" t="s">
        <v>589</v>
      </c>
      <c r="O242" s="94" t="s">
        <v>590</v>
      </c>
      <c r="P242" s="94">
        <f t="shared" si="3"/>
        <v>4.38</v>
      </c>
    </row>
    <row r="243" spans="2:16" hidden="1">
      <c r="B243" s="94" t="s">
        <v>585</v>
      </c>
      <c r="C243" s="94">
        <v>976</v>
      </c>
      <c r="D243" s="94" t="s">
        <v>586</v>
      </c>
      <c r="E243" s="94">
        <v>20</v>
      </c>
      <c r="F243" s="94">
        <v>70</v>
      </c>
      <c r="G243" s="94" t="s">
        <v>587</v>
      </c>
      <c r="H243" s="94">
        <v>40001411</v>
      </c>
      <c r="I243" s="94" t="s">
        <v>794</v>
      </c>
      <c r="J243" s="94">
        <v>884</v>
      </c>
      <c r="K243" s="94" t="s">
        <v>587</v>
      </c>
      <c r="L243" s="94">
        <v>1</v>
      </c>
      <c r="M243" s="94" t="s">
        <v>588</v>
      </c>
      <c r="N243" s="94" t="s">
        <v>589</v>
      </c>
      <c r="O243" s="94" t="s">
        <v>590</v>
      </c>
      <c r="P243" s="94">
        <f t="shared" si="3"/>
        <v>4.42</v>
      </c>
    </row>
    <row r="244" spans="2:16">
      <c r="B244" s="94" t="s">
        <v>585</v>
      </c>
      <c r="C244" s="94">
        <v>976</v>
      </c>
      <c r="D244" s="94" t="s">
        <v>586</v>
      </c>
      <c r="E244" s="94">
        <v>20</v>
      </c>
      <c r="F244" s="94">
        <v>70</v>
      </c>
      <c r="G244" s="94" t="s">
        <v>587</v>
      </c>
      <c r="H244" s="94">
        <v>40001411</v>
      </c>
      <c r="I244" s="94" t="s">
        <v>795</v>
      </c>
      <c r="J244" s="94">
        <v>4.42</v>
      </c>
      <c r="K244" s="94" t="s">
        <v>587</v>
      </c>
      <c r="L244" s="94">
        <v>1</v>
      </c>
      <c r="M244" s="94" t="s">
        <v>592</v>
      </c>
      <c r="N244" s="94" t="s">
        <v>589</v>
      </c>
      <c r="O244" s="94" t="s">
        <v>590</v>
      </c>
      <c r="P244" s="94">
        <f t="shared" si="3"/>
        <v>4.42</v>
      </c>
    </row>
    <row r="245" spans="2:16" hidden="1">
      <c r="B245" s="94" t="s">
        <v>585</v>
      </c>
      <c r="C245" s="94">
        <v>976</v>
      </c>
      <c r="D245" s="94" t="s">
        <v>586</v>
      </c>
      <c r="E245" s="94">
        <v>20</v>
      </c>
      <c r="F245" s="94">
        <v>70</v>
      </c>
      <c r="G245" s="94" t="s">
        <v>587</v>
      </c>
      <c r="H245" s="94">
        <v>40001411</v>
      </c>
      <c r="I245" s="94" t="s">
        <v>796</v>
      </c>
      <c r="J245" s="94">
        <v>848</v>
      </c>
      <c r="K245" s="94" t="s">
        <v>587</v>
      </c>
      <c r="L245" s="94">
        <v>1</v>
      </c>
      <c r="M245" s="94" t="s">
        <v>588</v>
      </c>
      <c r="N245" s="94" t="s">
        <v>589</v>
      </c>
      <c r="O245" s="94" t="s">
        <v>590</v>
      </c>
      <c r="P245" s="94">
        <f t="shared" si="3"/>
        <v>4.24</v>
      </c>
    </row>
    <row r="246" spans="2:16">
      <c r="B246" s="94" t="s">
        <v>585</v>
      </c>
      <c r="C246" s="94">
        <v>976</v>
      </c>
      <c r="D246" s="94" t="s">
        <v>586</v>
      </c>
      <c r="E246" s="94">
        <v>20</v>
      </c>
      <c r="F246" s="94">
        <v>70</v>
      </c>
      <c r="G246" s="94" t="s">
        <v>587</v>
      </c>
      <c r="H246" s="94">
        <v>40001411</v>
      </c>
      <c r="I246" s="94" t="s">
        <v>797</v>
      </c>
      <c r="J246" s="94">
        <v>4.24</v>
      </c>
      <c r="K246" s="94" t="s">
        <v>587</v>
      </c>
      <c r="L246" s="94">
        <v>1</v>
      </c>
      <c r="M246" s="94" t="s">
        <v>592</v>
      </c>
      <c r="N246" s="94" t="s">
        <v>589</v>
      </c>
      <c r="O246" s="94" t="s">
        <v>590</v>
      </c>
      <c r="P246" s="94">
        <f t="shared" si="3"/>
        <v>4.24</v>
      </c>
    </row>
    <row r="247" spans="2:16" hidden="1">
      <c r="B247" s="94" t="s">
        <v>585</v>
      </c>
      <c r="C247" s="94">
        <v>976</v>
      </c>
      <c r="D247" s="94" t="s">
        <v>586</v>
      </c>
      <c r="E247" s="94">
        <v>20</v>
      </c>
      <c r="F247" s="94">
        <v>70</v>
      </c>
      <c r="G247" s="94" t="s">
        <v>587</v>
      </c>
      <c r="H247" s="94">
        <v>40001411</v>
      </c>
      <c r="I247" s="94" t="s">
        <v>798</v>
      </c>
      <c r="J247" s="94">
        <v>932</v>
      </c>
      <c r="K247" s="94" t="s">
        <v>587</v>
      </c>
      <c r="L247" s="94">
        <v>1</v>
      </c>
      <c r="M247" s="94" t="s">
        <v>588</v>
      </c>
      <c r="N247" s="94" t="s">
        <v>589</v>
      </c>
      <c r="O247" s="94" t="s">
        <v>590</v>
      </c>
      <c r="P247" s="94">
        <f t="shared" si="3"/>
        <v>4.66</v>
      </c>
    </row>
    <row r="248" spans="2:16">
      <c r="B248" s="94" t="s">
        <v>585</v>
      </c>
      <c r="C248" s="94">
        <v>976</v>
      </c>
      <c r="D248" s="94" t="s">
        <v>586</v>
      </c>
      <c r="E248" s="94">
        <v>20</v>
      </c>
      <c r="F248" s="94">
        <v>70</v>
      </c>
      <c r="G248" s="94" t="s">
        <v>587</v>
      </c>
      <c r="H248" s="94">
        <v>40001411</v>
      </c>
      <c r="I248" s="94" t="s">
        <v>799</v>
      </c>
      <c r="J248" s="94">
        <v>4.66</v>
      </c>
      <c r="K248" s="94" t="s">
        <v>587</v>
      </c>
      <c r="L248" s="94">
        <v>1</v>
      </c>
      <c r="M248" s="94" t="s">
        <v>592</v>
      </c>
      <c r="N248" s="94" t="s">
        <v>589</v>
      </c>
      <c r="O248" s="94" t="s">
        <v>590</v>
      </c>
      <c r="P248" s="94">
        <f t="shared" si="3"/>
        <v>4.66</v>
      </c>
    </row>
    <row r="249" spans="2:16" hidden="1">
      <c r="B249" s="94" t="s">
        <v>585</v>
      </c>
      <c r="C249" s="94">
        <v>976</v>
      </c>
      <c r="D249" s="94" t="s">
        <v>586</v>
      </c>
      <c r="E249" s="94">
        <v>20</v>
      </c>
      <c r="F249" s="94">
        <v>70</v>
      </c>
      <c r="G249" s="94" t="s">
        <v>587</v>
      </c>
      <c r="H249" s="94">
        <v>40001411</v>
      </c>
      <c r="I249" s="94" t="s">
        <v>800</v>
      </c>
      <c r="J249" s="94">
        <v>928</v>
      </c>
      <c r="K249" s="94" t="s">
        <v>587</v>
      </c>
      <c r="L249" s="94">
        <v>1</v>
      </c>
      <c r="M249" s="94" t="s">
        <v>588</v>
      </c>
      <c r="N249" s="94" t="s">
        <v>589</v>
      </c>
      <c r="O249" s="94" t="s">
        <v>590</v>
      </c>
      <c r="P249" s="94">
        <f t="shared" si="3"/>
        <v>4.6399999999999997</v>
      </c>
    </row>
    <row r="250" spans="2:16">
      <c r="B250" s="94" t="s">
        <v>585</v>
      </c>
      <c r="C250" s="94">
        <v>976</v>
      </c>
      <c r="D250" s="94" t="s">
        <v>586</v>
      </c>
      <c r="E250" s="94">
        <v>20</v>
      </c>
      <c r="F250" s="94">
        <v>70</v>
      </c>
      <c r="G250" s="94" t="s">
        <v>587</v>
      </c>
      <c r="H250" s="94">
        <v>40001411</v>
      </c>
      <c r="I250" s="94" t="s">
        <v>801</v>
      </c>
      <c r="J250" s="94">
        <v>4.6399999999999997</v>
      </c>
      <c r="K250" s="94" t="s">
        <v>587</v>
      </c>
      <c r="L250" s="94">
        <v>1</v>
      </c>
      <c r="M250" s="94" t="s">
        <v>592</v>
      </c>
      <c r="N250" s="94" t="s">
        <v>589</v>
      </c>
      <c r="O250" s="94" t="s">
        <v>590</v>
      </c>
      <c r="P250" s="94">
        <f t="shared" si="3"/>
        <v>4.6399999999999997</v>
      </c>
    </row>
    <row r="251" spans="2:16" hidden="1">
      <c r="B251" s="94" t="s">
        <v>585</v>
      </c>
      <c r="C251" s="94">
        <v>976</v>
      </c>
      <c r="D251" s="94" t="s">
        <v>586</v>
      </c>
      <c r="E251" s="94">
        <v>20</v>
      </c>
      <c r="F251" s="94">
        <v>70</v>
      </c>
      <c r="G251" s="94" t="s">
        <v>587</v>
      </c>
      <c r="H251" s="94">
        <v>40001411</v>
      </c>
      <c r="I251" s="94" t="s">
        <v>802</v>
      </c>
      <c r="J251" s="94">
        <v>858</v>
      </c>
      <c r="K251" s="94" t="s">
        <v>587</v>
      </c>
      <c r="L251" s="94">
        <v>1</v>
      </c>
      <c r="M251" s="94" t="s">
        <v>588</v>
      </c>
      <c r="N251" s="94" t="s">
        <v>589</v>
      </c>
      <c r="O251" s="94" t="s">
        <v>590</v>
      </c>
      <c r="P251" s="94">
        <f t="shared" si="3"/>
        <v>4.29</v>
      </c>
    </row>
    <row r="252" spans="2:16">
      <c r="B252" s="94" t="s">
        <v>585</v>
      </c>
      <c r="C252" s="94">
        <v>976</v>
      </c>
      <c r="D252" s="94" t="s">
        <v>586</v>
      </c>
      <c r="E252" s="94">
        <v>20</v>
      </c>
      <c r="F252" s="94">
        <v>70</v>
      </c>
      <c r="G252" s="94" t="s">
        <v>587</v>
      </c>
      <c r="H252" s="94">
        <v>40001411</v>
      </c>
      <c r="I252" s="94" t="s">
        <v>803</v>
      </c>
      <c r="J252" s="94">
        <v>4.29</v>
      </c>
      <c r="K252" s="94" t="s">
        <v>587</v>
      </c>
      <c r="L252" s="94">
        <v>1</v>
      </c>
      <c r="M252" s="94" t="s">
        <v>592</v>
      </c>
      <c r="N252" s="94" t="s">
        <v>589</v>
      </c>
      <c r="O252" s="94" t="s">
        <v>590</v>
      </c>
      <c r="P252" s="94">
        <f t="shared" si="3"/>
        <v>4.29</v>
      </c>
    </row>
    <row r="253" spans="2:16" hidden="1">
      <c r="B253" s="94" t="s">
        <v>585</v>
      </c>
      <c r="C253" s="94">
        <v>976</v>
      </c>
      <c r="D253" s="94" t="s">
        <v>586</v>
      </c>
      <c r="E253" s="94">
        <v>20</v>
      </c>
      <c r="F253" s="94">
        <v>70</v>
      </c>
      <c r="G253" s="94" t="s">
        <v>587</v>
      </c>
      <c r="H253" s="94">
        <v>40001411</v>
      </c>
      <c r="I253" s="128" t="s">
        <v>804</v>
      </c>
      <c r="J253" s="94">
        <v>1280</v>
      </c>
      <c r="K253" s="94" t="s">
        <v>587</v>
      </c>
      <c r="L253" s="94">
        <v>1</v>
      </c>
      <c r="M253" s="94" t="s">
        <v>588</v>
      </c>
      <c r="N253" s="94" t="s">
        <v>589</v>
      </c>
      <c r="O253" s="94" t="s">
        <v>590</v>
      </c>
      <c r="P253" s="94">
        <f t="shared" si="3"/>
        <v>6.4</v>
      </c>
    </row>
    <row r="254" spans="2:16">
      <c r="B254" s="94" t="s">
        <v>585</v>
      </c>
      <c r="C254" s="94">
        <v>976</v>
      </c>
      <c r="D254" s="94" t="s">
        <v>586</v>
      </c>
      <c r="E254" s="94">
        <v>20</v>
      </c>
      <c r="F254" s="94">
        <v>70</v>
      </c>
      <c r="G254" s="94" t="s">
        <v>587</v>
      </c>
      <c r="H254" s="94">
        <v>40001411</v>
      </c>
      <c r="I254" s="128" t="s">
        <v>805</v>
      </c>
      <c r="J254" s="94">
        <v>6.4</v>
      </c>
      <c r="K254" s="94" t="s">
        <v>587</v>
      </c>
      <c r="L254" s="94">
        <v>1</v>
      </c>
      <c r="M254" s="94" t="s">
        <v>592</v>
      </c>
      <c r="N254" s="94" t="s">
        <v>589</v>
      </c>
      <c r="O254" s="94" t="s">
        <v>590</v>
      </c>
      <c r="P254" s="94">
        <f t="shared" si="3"/>
        <v>6.4</v>
      </c>
    </row>
    <row r="255" spans="2:16" hidden="1">
      <c r="B255" s="94" t="s">
        <v>585</v>
      </c>
      <c r="C255" s="94">
        <v>976</v>
      </c>
      <c r="D255" s="94" t="s">
        <v>586</v>
      </c>
      <c r="E255" s="94">
        <v>20</v>
      </c>
      <c r="F255" s="94">
        <v>70</v>
      </c>
      <c r="G255" s="94" t="s">
        <v>587</v>
      </c>
      <c r="H255" s="94">
        <v>40001411</v>
      </c>
      <c r="I255" s="128" t="s">
        <v>806</v>
      </c>
      <c r="J255" s="94">
        <v>1102</v>
      </c>
      <c r="K255" s="94" t="s">
        <v>587</v>
      </c>
      <c r="L255" s="94">
        <v>1</v>
      </c>
      <c r="M255" s="94" t="s">
        <v>588</v>
      </c>
      <c r="N255" s="94" t="s">
        <v>589</v>
      </c>
      <c r="O255" s="94" t="s">
        <v>590</v>
      </c>
      <c r="P255" s="94">
        <f t="shared" si="3"/>
        <v>5.51</v>
      </c>
    </row>
    <row r="256" spans="2:16" hidden="1">
      <c r="B256" s="94" t="s">
        <v>585</v>
      </c>
      <c r="C256" s="94">
        <v>976</v>
      </c>
      <c r="D256" s="94" t="s">
        <v>586</v>
      </c>
      <c r="E256" s="94">
        <v>20</v>
      </c>
      <c r="F256" s="94">
        <v>70</v>
      </c>
      <c r="G256" s="94" t="s">
        <v>587</v>
      </c>
      <c r="H256" s="94">
        <v>40001411</v>
      </c>
      <c r="I256" s="128" t="s">
        <v>807</v>
      </c>
      <c r="J256" s="94">
        <v>1274</v>
      </c>
      <c r="K256" s="94" t="s">
        <v>587</v>
      </c>
      <c r="L256" s="94">
        <v>1</v>
      </c>
      <c r="M256" s="94" t="s">
        <v>588</v>
      </c>
      <c r="N256" s="94" t="s">
        <v>589</v>
      </c>
      <c r="O256" s="94" t="s">
        <v>590</v>
      </c>
      <c r="P256" s="94">
        <f t="shared" si="3"/>
        <v>6.37</v>
      </c>
    </row>
    <row r="257" spans="2:16">
      <c r="B257" s="94" t="s">
        <v>585</v>
      </c>
      <c r="C257" s="94">
        <v>976</v>
      </c>
      <c r="D257" s="94" t="s">
        <v>586</v>
      </c>
      <c r="E257" s="94">
        <v>20</v>
      </c>
      <c r="F257" s="94">
        <v>70</v>
      </c>
      <c r="G257" s="94" t="s">
        <v>587</v>
      </c>
      <c r="H257" s="94">
        <v>40001411</v>
      </c>
      <c r="I257" s="128" t="s">
        <v>808</v>
      </c>
      <c r="J257" s="94">
        <v>6.37</v>
      </c>
      <c r="K257" s="94" t="s">
        <v>587</v>
      </c>
      <c r="L257" s="94">
        <v>1</v>
      </c>
      <c r="M257" s="94" t="s">
        <v>592</v>
      </c>
      <c r="N257" s="94" t="s">
        <v>589</v>
      </c>
      <c r="O257" s="94" t="s">
        <v>590</v>
      </c>
      <c r="P257" s="94">
        <f t="shared" si="3"/>
        <v>6.37</v>
      </c>
    </row>
    <row r="258" spans="2:16" hidden="1">
      <c r="B258" s="94" t="s">
        <v>585</v>
      </c>
      <c r="C258" s="94">
        <v>976</v>
      </c>
      <c r="D258" s="94" t="s">
        <v>586</v>
      </c>
      <c r="E258" s="94">
        <v>20</v>
      </c>
      <c r="F258" s="94">
        <v>70</v>
      </c>
      <c r="G258" s="94" t="s">
        <v>587</v>
      </c>
      <c r="H258" s="94">
        <v>40001411</v>
      </c>
      <c r="I258" s="128" t="s">
        <v>809</v>
      </c>
      <c r="J258" s="94">
        <v>1494</v>
      </c>
      <c r="K258" s="94" t="s">
        <v>587</v>
      </c>
      <c r="L258" s="94">
        <v>1</v>
      </c>
      <c r="M258" s="94" t="s">
        <v>588</v>
      </c>
      <c r="N258" s="94" t="s">
        <v>589</v>
      </c>
      <c r="O258" s="94" t="s">
        <v>590</v>
      </c>
      <c r="P258" s="94">
        <f t="shared" si="3"/>
        <v>7.47</v>
      </c>
    </row>
    <row r="259" spans="2:16">
      <c r="B259" s="94" t="s">
        <v>585</v>
      </c>
      <c r="C259" s="94">
        <v>976</v>
      </c>
      <c r="D259" s="94" t="s">
        <v>586</v>
      </c>
      <c r="E259" s="94">
        <v>20</v>
      </c>
      <c r="F259" s="94">
        <v>70</v>
      </c>
      <c r="G259" s="94" t="s">
        <v>587</v>
      </c>
      <c r="H259" s="94">
        <v>40001411</v>
      </c>
      <c r="I259" s="128" t="s">
        <v>810</v>
      </c>
      <c r="J259" s="94">
        <v>7.47</v>
      </c>
      <c r="K259" s="94" t="s">
        <v>587</v>
      </c>
      <c r="L259" s="94">
        <v>1</v>
      </c>
      <c r="M259" s="94" t="s">
        <v>592</v>
      </c>
      <c r="N259" s="94" t="s">
        <v>589</v>
      </c>
      <c r="O259" s="94" t="s">
        <v>590</v>
      </c>
      <c r="P259" s="94">
        <f t="shared" si="3"/>
        <v>7.47</v>
      </c>
    </row>
    <row r="260" spans="2:16">
      <c r="B260" s="94" t="s">
        <v>585</v>
      </c>
      <c r="C260" s="94">
        <v>976</v>
      </c>
      <c r="D260" s="94" t="s">
        <v>586</v>
      </c>
      <c r="E260" s="94">
        <v>20</v>
      </c>
      <c r="F260" s="94">
        <v>70</v>
      </c>
      <c r="G260" s="94" t="s">
        <v>587</v>
      </c>
      <c r="H260" s="94">
        <v>40001411</v>
      </c>
      <c r="I260" s="128" t="s">
        <v>811</v>
      </c>
      <c r="J260" s="94">
        <v>5.51</v>
      </c>
      <c r="K260" s="94" t="s">
        <v>587</v>
      </c>
      <c r="L260" s="94">
        <v>1</v>
      </c>
      <c r="M260" s="94" t="s">
        <v>592</v>
      </c>
      <c r="N260" s="94" t="s">
        <v>589</v>
      </c>
      <c r="O260" s="94" t="s">
        <v>590</v>
      </c>
      <c r="P260" s="94">
        <f t="shared" si="3"/>
        <v>5.51</v>
      </c>
    </row>
    <row r="261" spans="2:16" hidden="1">
      <c r="B261" s="2"/>
      <c r="C261" s="2"/>
      <c r="D261" s="2"/>
      <c r="E261" s="2"/>
      <c r="F261" s="2"/>
      <c r="G261" s="2"/>
      <c r="H261" s="2"/>
      <c r="I261" s="94" t="s">
        <v>473</v>
      </c>
      <c r="J261" s="2"/>
      <c r="K261" s="2"/>
      <c r="L261" s="2"/>
      <c r="M261" s="2"/>
      <c r="N261" s="2"/>
      <c r="O261" s="2"/>
      <c r="P261" s="94">
        <f t="shared" ref="P261:P284" si="4">+IF(M261="tam",J261/200,J261)</f>
        <v>0</v>
      </c>
    </row>
    <row r="262" spans="2:16" hidden="1">
      <c r="B262" s="94" t="s">
        <v>585</v>
      </c>
      <c r="C262" s="94">
        <v>976</v>
      </c>
      <c r="D262" s="94" t="s">
        <v>586</v>
      </c>
      <c r="E262" s="94">
        <v>20</v>
      </c>
      <c r="F262" s="94">
        <v>70</v>
      </c>
      <c r="G262" s="94" t="s">
        <v>587</v>
      </c>
      <c r="H262" s="94">
        <v>40001411</v>
      </c>
      <c r="I262" s="128" t="s">
        <v>296</v>
      </c>
      <c r="J262" s="94">
        <v>1364</v>
      </c>
      <c r="K262" s="94" t="s">
        <v>587</v>
      </c>
      <c r="L262" s="94">
        <v>1</v>
      </c>
      <c r="M262" s="94" t="s">
        <v>588</v>
      </c>
      <c r="N262" s="94" t="s">
        <v>589</v>
      </c>
      <c r="O262" s="94" t="s">
        <v>590</v>
      </c>
      <c r="P262" s="94">
        <f t="shared" si="4"/>
        <v>6.82</v>
      </c>
    </row>
    <row r="263" spans="2:16">
      <c r="B263" s="94" t="s">
        <v>585</v>
      </c>
      <c r="C263" s="94">
        <v>976</v>
      </c>
      <c r="D263" s="94" t="s">
        <v>586</v>
      </c>
      <c r="E263" s="94">
        <v>20</v>
      </c>
      <c r="F263" s="94">
        <v>70</v>
      </c>
      <c r="G263" s="94" t="s">
        <v>587</v>
      </c>
      <c r="H263" s="94">
        <v>40001411</v>
      </c>
      <c r="I263" s="128" t="s">
        <v>812</v>
      </c>
      <c r="J263" s="94">
        <v>6.82</v>
      </c>
      <c r="K263" s="94" t="s">
        <v>587</v>
      </c>
      <c r="L263" s="94">
        <v>1</v>
      </c>
      <c r="M263" s="94" t="s">
        <v>592</v>
      </c>
      <c r="N263" s="94" t="s">
        <v>589</v>
      </c>
      <c r="O263" s="94" t="s">
        <v>590</v>
      </c>
      <c r="P263" s="94">
        <f t="shared" si="4"/>
        <v>6.82</v>
      </c>
    </row>
    <row r="264" spans="2:16" hidden="1">
      <c r="B264" s="94" t="s">
        <v>585</v>
      </c>
      <c r="C264" s="94">
        <v>976</v>
      </c>
      <c r="D264" s="94" t="s">
        <v>586</v>
      </c>
      <c r="E264" s="94">
        <v>20</v>
      </c>
      <c r="F264" s="94">
        <v>70</v>
      </c>
      <c r="G264" s="94" t="s">
        <v>587</v>
      </c>
      <c r="H264" s="94">
        <v>40001411</v>
      </c>
      <c r="I264" s="128" t="s">
        <v>813</v>
      </c>
      <c r="J264" s="94">
        <v>1020</v>
      </c>
      <c r="K264" s="94" t="s">
        <v>587</v>
      </c>
      <c r="L264" s="94">
        <v>1</v>
      </c>
      <c r="M264" s="94" t="s">
        <v>588</v>
      </c>
      <c r="N264" s="94" t="s">
        <v>589</v>
      </c>
      <c r="O264" s="94" t="s">
        <v>590</v>
      </c>
      <c r="P264" s="94">
        <f t="shared" si="4"/>
        <v>5.0999999999999996</v>
      </c>
    </row>
    <row r="265" spans="2:16">
      <c r="B265" s="94" t="s">
        <v>585</v>
      </c>
      <c r="C265" s="94">
        <v>976</v>
      </c>
      <c r="D265" s="94" t="s">
        <v>586</v>
      </c>
      <c r="E265" s="94">
        <v>20</v>
      </c>
      <c r="F265" s="94">
        <v>70</v>
      </c>
      <c r="G265" s="94" t="s">
        <v>587</v>
      </c>
      <c r="H265" s="94">
        <v>40001411</v>
      </c>
      <c r="I265" s="128" t="s">
        <v>814</v>
      </c>
      <c r="J265" s="94">
        <v>5.0999999999999996</v>
      </c>
      <c r="K265" s="94" t="s">
        <v>587</v>
      </c>
      <c r="L265" s="94">
        <v>1</v>
      </c>
      <c r="M265" s="94" t="s">
        <v>592</v>
      </c>
      <c r="N265" s="94" t="s">
        <v>589</v>
      </c>
      <c r="O265" s="94" t="s">
        <v>590</v>
      </c>
      <c r="P265" s="94">
        <f t="shared" si="4"/>
        <v>5.0999999999999996</v>
      </c>
    </row>
    <row r="266" spans="2:16" hidden="1">
      <c r="B266" s="94" t="s">
        <v>585</v>
      </c>
      <c r="C266" s="94">
        <v>976</v>
      </c>
      <c r="D266" s="94" t="s">
        <v>586</v>
      </c>
      <c r="E266" s="94">
        <v>20</v>
      </c>
      <c r="F266" s="94">
        <v>70</v>
      </c>
      <c r="G266" s="94" t="s">
        <v>587</v>
      </c>
      <c r="H266" s="94">
        <v>40001411</v>
      </c>
      <c r="I266" s="128" t="s">
        <v>815</v>
      </c>
      <c r="J266" s="94">
        <v>1652</v>
      </c>
      <c r="K266" s="94" t="s">
        <v>587</v>
      </c>
      <c r="L266" s="94">
        <v>1</v>
      </c>
      <c r="M266" s="94" t="s">
        <v>588</v>
      </c>
      <c r="N266" s="94" t="s">
        <v>589</v>
      </c>
      <c r="O266" s="94" t="s">
        <v>590</v>
      </c>
      <c r="P266" s="94">
        <f t="shared" si="4"/>
        <v>8.26</v>
      </c>
    </row>
    <row r="267" spans="2:16">
      <c r="B267" s="94" t="s">
        <v>585</v>
      </c>
      <c r="C267" s="94">
        <v>976</v>
      </c>
      <c r="D267" s="94" t="s">
        <v>586</v>
      </c>
      <c r="E267" s="94">
        <v>20</v>
      </c>
      <c r="F267" s="94">
        <v>70</v>
      </c>
      <c r="G267" s="94" t="s">
        <v>587</v>
      </c>
      <c r="H267" s="94">
        <v>40001411</v>
      </c>
      <c r="I267" s="128" t="s">
        <v>816</v>
      </c>
      <c r="J267" s="94">
        <v>8.26</v>
      </c>
      <c r="K267" s="94" t="s">
        <v>587</v>
      </c>
      <c r="L267" s="94">
        <v>1</v>
      </c>
      <c r="M267" s="94" t="s">
        <v>592</v>
      </c>
      <c r="N267" s="94" t="s">
        <v>589</v>
      </c>
      <c r="O267" s="94" t="s">
        <v>590</v>
      </c>
      <c r="P267" s="94">
        <f t="shared" si="4"/>
        <v>8.26</v>
      </c>
    </row>
    <row r="268" spans="2:16" hidden="1">
      <c r="B268" s="94" t="s">
        <v>585</v>
      </c>
      <c r="C268" s="94">
        <v>976</v>
      </c>
      <c r="D268" s="94" t="s">
        <v>586</v>
      </c>
      <c r="E268" s="94">
        <v>20</v>
      </c>
      <c r="F268" s="94">
        <v>70</v>
      </c>
      <c r="G268" s="94" t="s">
        <v>587</v>
      </c>
      <c r="H268" s="94">
        <v>40001411</v>
      </c>
      <c r="I268" s="128" t="s">
        <v>817</v>
      </c>
      <c r="J268" s="94">
        <v>1704</v>
      </c>
      <c r="K268" s="94" t="s">
        <v>587</v>
      </c>
      <c r="L268" s="94">
        <v>1</v>
      </c>
      <c r="M268" s="94" t="s">
        <v>588</v>
      </c>
      <c r="N268" s="94" t="s">
        <v>589</v>
      </c>
      <c r="O268" s="94" t="s">
        <v>590</v>
      </c>
      <c r="P268" s="94">
        <f t="shared" si="4"/>
        <v>8.52</v>
      </c>
    </row>
    <row r="269" spans="2:16">
      <c r="B269" s="94" t="s">
        <v>585</v>
      </c>
      <c r="C269" s="94">
        <v>976</v>
      </c>
      <c r="D269" s="94" t="s">
        <v>586</v>
      </c>
      <c r="E269" s="94">
        <v>20</v>
      </c>
      <c r="F269" s="94">
        <v>70</v>
      </c>
      <c r="G269" s="94" t="s">
        <v>587</v>
      </c>
      <c r="H269" s="94">
        <v>40001411</v>
      </c>
      <c r="I269" s="128" t="s">
        <v>818</v>
      </c>
      <c r="J269" s="94">
        <v>8.52</v>
      </c>
      <c r="K269" s="94" t="s">
        <v>587</v>
      </c>
      <c r="L269" s="94">
        <v>1</v>
      </c>
      <c r="M269" s="94" t="s">
        <v>592</v>
      </c>
      <c r="N269" s="94" t="s">
        <v>589</v>
      </c>
      <c r="O269" s="94" t="s">
        <v>590</v>
      </c>
      <c r="P269" s="94">
        <f t="shared" si="4"/>
        <v>8.52</v>
      </c>
    </row>
    <row r="270" spans="2:16" hidden="1">
      <c r="B270" s="94" t="s">
        <v>585</v>
      </c>
      <c r="C270" s="94">
        <v>976</v>
      </c>
      <c r="D270" s="94" t="s">
        <v>586</v>
      </c>
      <c r="E270" s="94">
        <v>20</v>
      </c>
      <c r="F270" s="94">
        <v>70</v>
      </c>
      <c r="G270" s="94" t="s">
        <v>587</v>
      </c>
      <c r="H270" s="94">
        <v>40001411</v>
      </c>
      <c r="I270" s="128" t="s">
        <v>819</v>
      </c>
      <c r="J270" s="94">
        <v>1494</v>
      </c>
      <c r="K270" s="94" t="s">
        <v>587</v>
      </c>
      <c r="L270" s="94">
        <v>1</v>
      </c>
      <c r="M270" s="94" t="s">
        <v>588</v>
      </c>
      <c r="N270" s="94" t="s">
        <v>589</v>
      </c>
      <c r="O270" s="94" t="s">
        <v>590</v>
      </c>
      <c r="P270" s="94">
        <f t="shared" si="4"/>
        <v>7.47</v>
      </c>
    </row>
    <row r="271" spans="2:16">
      <c r="B271" s="94" t="s">
        <v>585</v>
      </c>
      <c r="C271" s="94">
        <v>976</v>
      </c>
      <c r="D271" s="94" t="s">
        <v>586</v>
      </c>
      <c r="E271" s="94">
        <v>20</v>
      </c>
      <c r="F271" s="94">
        <v>70</v>
      </c>
      <c r="G271" s="94" t="s">
        <v>587</v>
      </c>
      <c r="H271" s="94">
        <v>40001411</v>
      </c>
      <c r="I271" s="128" t="s">
        <v>820</v>
      </c>
      <c r="J271" s="94">
        <v>7.47</v>
      </c>
      <c r="K271" s="94" t="s">
        <v>587</v>
      </c>
      <c r="L271" s="94">
        <v>1</v>
      </c>
      <c r="M271" s="94" t="s">
        <v>592</v>
      </c>
      <c r="N271" s="94" t="s">
        <v>589</v>
      </c>
      <c r="O271" s="94" t="s">
        <v>590</v>
      </c>
      <c r="P271" s="94">
        <f t="shared" si="4"/>
        <v>7.47</v>
      </c>
    </row>
    <row r="272" spans="2:16" hidden="1">
      <c r="B272" s="94" t="s">
        <v>585</v>
      </c>
      <c r="C272" s="94">
        <v>976</v>
      </c>
      <c r="D272" s="94" t="s">
        <v>586</v>
      </c>
      <c r="E272" s="94">
        <v>20</v>
      </c>
      <c r="F272" s="94">
        <v>70</v>
      </c>
      <c r="G272" s="94" t="s">
        <v>587</v>
      </c>
      <c r="H272" s="94">
        <v>40001411</v>
      </c>
      <c r="I272" s="128" t="s">
        <v>821</v>
      </c>
      <c r="J272" s="94">
        <v>1488</v>
      </c>
      <c r="K272" s="94" t="s">
        <v>587</v>
      </c>
      <c r="L272" s="94">
        <v>1</v>
      </c>
      <c r="M272" s="94" t="s">
        <v>588</v>
      </c>
      <c r="N272" s="94" t="s">
        <v>589</v>
      </c>
      <c r="O272" s="94" t="s">
        <v>590</v>
      </c>
      <c r="P272" s="94">
        <f t="shared" si="4"/>
        <v>7.44</v>
      </c>
    </row>
    <row r="273" spans="2:18">
      <c r="B273" s="94" t="s">
        <v>585</v>
      </c>
      <c r="C273" s="94">
        <v>976</v>
      </c>
      <c r="D273" s="94" t="s">
        <v>586</v>
      </c>
      <c r="E273" s="94">
        <v>20</v>
      </c>
      <c r="F273" s="94">
        <v>70</v>
      </c>
      <c r="G273" s="94" t="s">
        <v>587</v>
      </c>
      <c r="H273" s="94">
        <v>40001411</v>
      </c>
      <c r="I273" s="128" t="s">
        <v>822</v>
      </c>
      <c r="J273" s="94">
        <v>7.44</v>
      </c>
      <c r="K273" s="94" t="s">
        <v>587</v>
      </c>
      <c r="L273" s="94">
        <v>1</v>
      </c>
      <c r="M273" s="94" t="s">
        <v>592</v>
      </c>
      <c r="N273" s="94" t="s">
        <v>589</v>
      </c>
      <c r="O273" s="94" t="s">
        <v>590</v>
      </c>
      <c r="P273" s="94">
        <f t="shared" si="4"/>
        <v>7.44</v>
      </c>
    </row>
    <row r="274" spans="2:18" hidden="1">
      <c r="B274" s="94" t="s">
        <v>585</v>
      </c>
      <c r="C274" s="94">
        <v>976</v>
      </c>
      <c r="D274" s="94" t="s">
        <v>586</v>
      </c>
      <c r="E274" s="94">
        <v>20</v>
      </c>
      <c r="F274" s="94">
        <v>70</v>
      </c>
      <c r="G274" s="94" t="s">
        <v>587</v>
      </c>
      <c r="H274" s="94">
        <v>40001411</v>
      </c>
      <c r="I274" s="128" t="s">
        <v>823</v>
      </c>
      <c r="J274" s="94">
        <v>1720</v>
      </c>
      <c r="K274" s="94" t="s">
        <v>587</v>
      </c>
      <c r="L274" s="94">
        <v>1</v>
      </c>
      <c r="M274" s="94" t="s">
        <v>588</v>
      </c>
      <c r="N274" s="94" t="s">
        <v>589</v>
      </c>
      <c r="O274" s="94" t="s">
        <v>590</v>
      </c>
      <c r="P274" s="94">
        <f t="shared" si="4"/>
        <v>8.6</v>
      </c>
    </row>
    <row r="275" spans="2:18">
      <c r="B275" s="94" t="s">
        <v>585</v>
      </c>
      <c r="C275" s="94">
        <v>976</v>
      </c>
      <c r="D275" s="94" t="s">
        <v>586</v>
      </c>
      <c r="E275" s="94">
        <v>20</v>
      </c>
      <c r="F275" s="94">
        <v>70</v>
      </c>
      <c r="G275" s="94" t="s">
        <v>587</v>
      </c>
      <c r="H275" s="94">
        <v>40001411</v>
      </c>
      <c r="I275" s="128" t="s">
        <v>824</v>
      </c>
      <c r="J275" s="94">
        <v>8.6</v>
      </c>
      <c r="K275" s="94" t="s">
        <v>587</v>
      </c>
      <c r="L275" s="94">
        <v>1</v>
      </c>
      <c r="M275" s="94" t="s">
        <v>592</v>
      </c>
      <c r="N275" s="94" t="s">
        <v>589</v>
      </c>
      <c r="O275" s="94" t="s">
        <v>590</v>
      </c>
      <c r="P275" s="94">
        <f t="shared" si="4"/>
        <v>8.6</v>
      </c>
    </row>
    <row r="276" spans="2:18" hidden="1">
      <c r="B276" s="94" t="s">
        <v>585</v>
      </c>
      <c r="C276" s="94">
        <v>976</v>
      </c>
      <c r="D276" s="94" t="s">
        <v>586</v>
      </c>
      <c r="E276" s="94">
        <v>20</v>
      </c>
      <c r="F276" s="94">
        <v>70</v>
      </c>
      <c r="G276" s="94" t="s">
        <v>587</v>
      </c>
      <c r="H276" s="94">
        <v>40001411</v>
      </c>
      <c r="I276" s="128" t="s">
        <v>825</v>
      </c>
      <c r="J276" s="94">
        <v>1560</v>
      </c>
      <c r="K276" s="94" t="s">
        <v>587</v>
      </c>
      <c r="L276" s="94">
        <v>1</v>
      </c>
      <c r="M276" s="94" t="s">
        <v>588</v>
      </c>
      <c r="N276" s="94" t="s">
        <v>589</v>
      </c>
      <c r="O276" s="94" t="s">
        <v>590</v>
      </c>
      <c r="P276" s="94">
        <f t="shared" si="4"/>
        <v>7.8</v>
      </c>
    </row>
    <row r="277" spans="2:18">
      <c r="B277" s="94" t="s">
        <v>585</v>
      </c>
      <c r="C277" s="94">
        <v>976</v>
      </c>
      <c r="D277" s="94" t="s">
        <v>586</v>
      </c>
      <c r="E277" s="94">
        <v>20</v>
      </c>
      <c r="F277" s="94">
        <v>70</v>
      </c>
      <c r="G277" s="94" t="s">
        <v>587</v>
      </c>
      <c r="H277" s="94">
        <v>40001411</v>
      </c>
      <c r="I277" s="128" t="s">
        <v>826</v>
      </c>
      <c r="J277" s="94">
        <v>7.8</v>
      </c>
      <c r="K277" s="94" t="s">
        <v>587</v>
      </c>
      <c r="L277" s="94">
        <v>1</v>
      </c>
      <c r="M277" s="94" t="s">
        <v>592</v>
      </c>
      <c r="N277" s="94" t="s">
        <v>589</v>
      </c>
      <c r="O277" s="94" t="s">
        <v>590</v>
      </c>
      <c r="P277" s="94">
        <f t="shared" si="4"/>
        <v>7.8</v>
      </c>
    </row>
    <row r="278" spans="2:18" hidden="1">
      <c r="B278" s="94" t="s">
        <v>585</v>
      </c>
      <c r="C278" s="94">
        <v>976</v>
      </c>
      <c r="D278" s="94" t="s">
        <v>586</v>
      </c>
      <c r="E278" s="94">
        <v>20</v>
      </c>
      <c r="F278" s="94">
        <v>70</v>
      </c>
      <c r="G278" s="94" t="s">
        <v>587</v>
      </c>
      <c r="H278" s="94">
        <v>40001411</v>
      </c>
      <c r="I278" s="94" t="s">
        <v>474</v>
      </c>
      <c r="J278" s="94">
        <v>282</v>
      </c>
      <c r="K278" s="94" t="s">
        <v>587</v>
      </c>
      <c r="L278" s="94">
        <v>1</v>
      </c>
      <c r="M278" s="94" t="s">
        <v>588</v>
      </c>
      <c r="N278" s="94" t="s">
        <v>589</v>
      </c>
      <c r="O278" s="94" t="s">
        <v>590</v>
      </c>
      <c r="P278" s="94">
        <f t="shared" si="4"/>
        <v>1.41</v>
      </c>
    </row>
    <row r="279" spans="2:18">
      <c r="B279" s="94" t="s">
        <v>585</v>
      </c>
      <c r="C279" s="94">
        <v>976</v>
      </c>
      <c r="D279" s="94" t="s">
        <v>586</v>
      </c>
      <c r="E279" s="94">
        <v>20</v>
      </c>
      <c r="F279" s="94">
        <v>70</v>
      </c>
      <c r="G279" s="94" t="s">
        <v>587</v>
      </c>
      <c r="H279" s="94">
        <v>40001411</v>
      </c>
      <c r="I279" s="94" t="s">
        <v>249</v>
      </c>
      <c r="J279" s="94">
        <v>1.41</v>
      </c>
      <c r="K279" s="94" t="s">
        <v>587</v>
      </c>
      <c r="L279" s="94">
        <v>1</v>
      </c>
      <c r="M279" s="94" t="s">
        <v>592</v>
      </c>
      <c r="N279" s="94" t="s">
        <v>589</v>
      </c>
      <c r="O279" s="94" t="s">
        <v>590</v>
      </c>
      <c r="P279" s="94">
        <f t="shared" si="4"/>
        <v>1.41</v>
      </c>
    </row>
    <row r="280" spans="2:18" hidden="1">
      <c r="B280" s="94" t="s">
        <v>585</v>
      </c>
      <c r="C280" s="94">
        <v>976</v>
      </c>
      <c r="D280" s="94" t="s">
        <v>586</v>
      </c>
      <c r="E280" s="94">
        <v>20</v>
      </c>
      <c r="F280" s="94">
        <v>70</v>
      </c>
      <c r="G280" s="94" t="s">
        <v>587</v>
      </c>
      <c r="H280" s="94">
        <v>40001411</v>
      </c>
      <c r="I280" s="94" t="s">
        <v>827</v>
      </c>
      <c r="J280" s="94">
        <v>274</v>
      </c>
      <c r="K280" s="94" t="s">
        <v>587</v>
      </c>
      <c r="L280" s="94">
        <v>1</v>
      </c>
      <c r="M280" s="94" t="s">
        <v>588</v>
      </c>
      <c r="N280" s="94" t="s">
        <v>589</v>
      </c>
      <c r="O280" s="94" t="s">
        <v>590</v>
      </c>
      <c r="P280" s="94">
        <f t="shared" si="4"/>
        <v>1.37</v>
      </c>
    </row>
    <row r="281" spans="2:18">
      <c r="B281" s="94" t="s">
        <v>585</v>
      </c>
      <c r="C281" s="94">
        <v>976</v>
      </c>
      <c r="D281" s="94" t="s">
        <v>586</v>
      </c>
      <c r="E281" s="94">
        <v>20</v>
      </c>
      <c r="F281" s="94">
        <v>70</v>
      </c>
      <c r="G281" s="94" t="s">
        <v>587</v>
      </c>
      <c r="H281" s="94">
        <v>40001411</v>
      </c>
      <c r="I281" s="94" t="s">
        <v>828</v>
      </c>
      <c r="J281" s="94">
        <v>1.37</v>
      </c>
      <c r="K281" s="94" t="s">
        <v>587</v>
      </c>
      <c r="L281" s="94">
        <v>1</v>
      </c>
      <c r="M281" s="94" t="s">
        <v>592</v>
      </c>
      <c r="N281" s="94" t="s">
        <v>589</v>
      </c>
      <c r="O281" s="94" t="s">
        <v>590</v>
      </c>
      <c r="P281" s="94">
        <f t="shared" si="4"/>
        <v>1.37</v>
      </c>
    </row>
    <row r="282" spans="2:18" hidden="1">
      <c r="B282" s="94" t="s">
        <v>585</v>
      </c>
      <c r="C282" s="94">
        <v>976</v>
      </c>
      <c r="D282" s="94" t="s">
        <v>586</v>
      </c>
      <c r="E282" s="94">
        <v>20</v>
      </c>
      <c r="F282" s="94">
        <v>70</v>
      </c>
      <c r="G282" s="94" t="s">
        <v>587</v>
      </c>
      <c r="H282" s="94">
        <v>40001411</v>
      </c>
      <c r="I282" s="94" t="s">
        <v>829</v>
      </c>
      <c r="J282" s="94">
        <v>462</v>
      </c>
      <c r="K282" s="94" t="s">
        <v>587</v>
      </c>
      <c r="L282" s="94">
        <v>1</v>
      </c>
      <c r="M282" s="94" t="s">
        <v>588</v>
      </c>
      <c r="N282" s="94" t="s">
        <v>589</v>
      </c>
      <c r="O282" s="94" t="s">
        <v>590</v>
      </c>
      <c r="P282" s="94">
        <f t="shared" si="4"/>
        <v>2.31</v>
      </c>
    </row>
    <row r="283" spans="2:18">
      <c r="B283" s="94" t="s">
        <v>585</v>
      </c>
      <c r="C283" s="94">
        <v>976</v>
      </c>
      <c r="D283" s="94" t="s">
        <v>586</v>
      </c>
      <c r="E283" s="94">
        <v>20</v>
      </c>
      <c r="F283" s="94">
        <v>70</v>
      </c>
      <c r="G283" s="94" t="s">
        <v>587</v>
      </c>
      <c r="H283" s="94">
        <v>40001411</v>
      </c>
      <c r="I283" s="94" t="s">
        <v>226</v>
      </c>
      <c r="J283" s="94">
        <v>2.31</v>
      </c>
      <c r="K283" s="94" t="s">
        <v>587</v>
      </c>
      <c r="L283" s="94">
        <v>1</v>
      </c>
      <c r="M283" s="94" t="s">
        <v>592</v>
      </c>
      <c r="N283" s="94" t="s">
        <v>589</v>
      </c>
      <c r="O283" s="94" t="s">
        <v>590</v>
      </c>
      <c r="P283" s="94">
        <f t="shared" si="4"/>
        <v>2.31</v>
      </c>
      <c r="R283" t="e">
        <f>J283/Q283</f>
        <v>#DIV/0!</v>
      </c>
    </row>
    <row r="284" spans="2:18" hidden="1">
      <c r="B284" s="94" t="s">
        <v>585</v>
      </c>
      <c r="C284" s="94">
        <v>976</v>
      </c>
      <c r="D284" s="94" t="s">
        <v>586</v>
      </c>
      <c r="E284" s="94">
        <v>20</v>
      </c>
      <c r="F284" s="94">
        <v>70</v>
      </c>
      <c r="G284" s="94" t="s">
        <v>587</v>
      </c>
      <c r="H284" s="94">
        <v>40001411</v>
      </c>
      <c r="I284" s="128" t="s">
        <v>265</v>
      </c>
      <c r="J284" s="94">
        <v>940</v>
      </c>
      <c r="K284" s="94" t="s">
        <v>587</v>
      </c>
      <c r="L284" s="94">
        <v>1</v>
      </c>
      <c r="M284" s="94" t="s">
        <v>588</v>
      </c>
      <c r="N284" s="94" t="s">
        <v>589</v>
      </c>
      <c r="O284" s="94" t="s">
        <v>590</v>
      </c>
      <c r="P284" s="94">
        <f t="shared" si="4"/>
        <v>4.7</v>
      </c>
    </row>
    <row r="285" spans="2:18">
      <c r="B285" s="171" t="s">
        <v>585</v>
      </c>
      <c r="C285" s="171">
        <v>976</v>
      </c>
      <c r="D285" s="171" t="s">
        <v>586</v>
      </c>
      <c r="E285" s="171">
        <v>20</v>
      </c>
      <c r="F285" s="171">
        <v>70</v>
      </c>
      <c r="G285" s="171" t="s">
        <v>587</v>
      </c>
      <c r="H285" s="171">
        <v>40001411</v>
      </c>
      <c r="I285" s="129" t="s">
        <v>830</v>
      </c>
      <c r="J285" s="171">
        <v>4.7</v>
      </c>
      <c r="K285" s="171" t="s">
        <v>587</v>
      </c>
      <c r="L285" s="171">
        <v>1</v>
      </c>
      <c r="M285" s="171" t="s">
        <v>592</v>
      </c>
      <c r="N285" s="171" t="s">
        <v>589</v>
      </c>
      <c r="O285" s="171" t="s">
        <v>590</v>
      </c>
      <c r="P285" s="130">
        <f>+'DBM-RT'!G9</f>
        <v>4.7108395721925129</v>
      </c>
    </row>
  </sheetData>
  <autoFilter ref="B2:O285" xr:uid="{6103CF46-08F9-4649-88DF-E7D7348EC133}">
    <filterColumn colId="11">
      <filters>
        <filter val="lt"/>
      </filters>
    </filterColumn>
    <sortState xmlns:xlrd2="http://schemas.microsoft.com/office/spreadsheetml/2017/richdata2" ref="B4:O285">
      <sortCondition ref="I2:I28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24C40-4CB9-465E-BE27-E5836B6809A0}">
  <dimension ref="A3:R30"/>
  <sheetViews>
    <sheetView showGridLines="0" topLeftCell="A15" zoomScale="90" zoomScaleNormal="90" workbookViewId="0">
      <selection activeCell="F16" sqref="F16"/>
    </sheetView>
  </sheetViews>
  <sheetFormatPr baseColWidth="10" defaultColWidth="11.42578125" defaultRowHeight="15"/>
  <cols>
    <col min="1" max="1" width="22.85546875" bestFit="1" customWidth="1"/>
    <col min="2" max="3" width="10.7109375" style="7" customWidth="1"/>
    <col min="4" max="4" width="15" style="7" bestFit="1" customWidth="1"/>
    <col min="5" max="6" width="10.7109375" style="7" customWidth="1"/>
    <col min="7" max="7" width="15" style="7" bestFit="1" customWidth="1"/>
    <col min="8" max="9" width="10.7109375" style="7" customWidth="1"/>
    <col min="10" max="10" width="15" style="7" bestFit="1" customWidth="1"/>
    <col min="11" max="12" width="10.7109375" style="7" customWidth="1"/>
    <col min="13" max="13" width="15" style="7" bestFit="1" customWidth="1"/>
    <col min="14" max="18" width="11.42578125" style="7"/>
  </cols>
  <sheetData>
    <row r="3" spans="1:14" ht="15.75" thickBot="1"/>
    <row r="4" spans="1:14">
      <c r="A4" s="419" t="s">
        <v>831</v>
      </c>
      <c r="B4" s="421" t="s">
        <v>832</v>
      </c>
      <c r="C4" s="422"/>
      <c r="D4" s="422"/>
      <c r="E4" s="422" t="s">
        <v>833</v>
      </c>
      <c r="F4" s="422"/>
      <c r="G4" s="423"/>
      <c r="H4" s="421" t="s">
        <v>834</v>
      </c>
      <c r="I4" s="422"/>
      <c r="J4" s="422"/>
      <c r="K4" s="422" t="s">
        <v>833</v>
      </c>
      <c r="L4" s="422"/>
      <c r="M4" s="423"/>
      <c r="N4"/>
    </row>
    <row r="5" spans="1:14" s="353" customFormat="1" ht="21.95" customHeight="1">
      <c r="A5" s="420"/>
      <c r="B5" s="350" t="s">
        <v>835</v>
      </c>
      <c r="C5" s="351" t="s">
        <v>836</v>
      </c>
      <c r="D5" s="351" t="s">
        <v>837</v>
      </c>
      <c r="E5" s="351" t="s">
        <v>835</v>
      </c>
      <c r="F5" s="351" t="s">
        <v>836</v>
      </c>
      <c r="G5" s="352" t="s">
        <v>837</v>
      </c>
      <c r="H5" s="350" t="s">
        <v>835</v>
      </c>
      <c r="I5" s="351" t="s">
        <v>836</v>
      </c>
      <c r="J5" s="351" t="s">
        <v>837</v>
      </c>
      <c r="K5" s="351" t="s">
        <v>835</v>
      </c>
      <c r="L5" s="351" t="s">
        <v>836</v>
      </c>
      <c r="M5" s="352" t="s">
        <v>837</v>
      </c>
    </row>
    <row r="6" spans="1:14" s="353" customFormat="1" ht="21.95" customHeight="1">
      <c r="A6" s="354" t="s">
        <v>838</v>
      </c>
      <c r="B6" s="426">
        <v>3</v>
      </c>
      <c r="C6" s="418">
        <v>5</v>
      </c>
      <c r="D6" s="418">
        <v>6</v>
      </c>
      <c r="E6" s="418">
        <v>1</v>
      </c>
      <c r="F6" s="418">
        <v>2</v>
      </c>
      <c r="G6" s="424">
        <v>2</v>
      </c>
      <c r="H6" s="426">
        <v>5</v>
      </c>
      <c r="I6" s="418">
        <v>9</v>
      </c>
      <c r="J6" s="418">
        <v>10</v>
      </c>
      <c r="K6" s="418">
        <v>1</v>
      </c>
      <c r="L6" s="418">
        <v>4</v>
      </c>
      <c r="M6" s="424">
        <v>4</v>
      </c>
    </row>
    <row r="7" spans="1:14" s="353" customFormat="1" ht="21.95" customHeight="1">
      <c r="A7" s="354" t="s">
        <v>69</v>
      </c>
      <c r="B7" s="426"/>
      <c r="C7" s="418"/>
      <c r="D7" s="418"/>
      <c r="E7" s="418"/>
      <c r="F7" s="418"/>
      <c r="G7" s="424"/>
      <c r="H7" s="426"/>
      <c r="I7" s="418"/>
      <c r="J7" s="418"/>
      <c r="K7" s="418"/>
      <c r="L7" s="418"/>
      <c r="M7" s="424"/>
    </row>
    <row r="8" spans="1:14" s="353" customFormat="1" ht="21.95" customHeight="1">
      <c r="A8" s="354" t="s">
        <v>66</v>
      </c>
      <c r="B8" s="426">
        <v>3</v>
      </c>
      <c r="C8" s="418">
        <v>5</v>
      </c>
      <c r="D8" s="418">
        <v>6</v>
      </c>
      <c r="E8" s="418">
        <v>1</v>
      </c>
      <c r="F8" s="418">
        <v>2</v>
      </c>
      <c r="G8" s="424">
        <v>2</v>
      </c>
      <c r="H8" s="426"/>
      <c r="I8" s="418"/>
      <c r="J8" s="418"/>
      <c r="K8" s="418"/>
      <c r="L8" s="418"/>
      <c r="M8" s="424"/>
    </row>
    <row r="9" spans="1:14" s="353" customFormat="1" ht="21.95" customHeight="1" thickBot="1">
      <c r="A9" s="354" t="s">
        <v>67</v>
      </c>
      <c r="B9" s="426"/>
      <c r="C9" s="418"/>
      <c r="D9" s="418"/>
      <c r="E9" s="418"/>
      <c r="F9" s="418"/>
      <c r="G9" s="424"/>
      <c r="H9" s="427"/>
      <c r="I9" s="428"/>
      <c r="J9" s="428"/>
      <c r="K9" s="428"/>
      <c r="L9" s="428"/>
      <c r="M9" s="425"/>
    </row>
    <row r="10" spans="1:14" s="353" customFormat="1" ht="37.5" customHeight="1" thickBot="1">
      <c r="A10" s="358" t="s">
        <v>65</v>
      </c>
      <c r="B10" s="355">
        <v>3</v>
      </c>
      <c r="C10" s="356">
        <v>6</v>
      </c>
      <c r="D10" s="356">
        <v>6</v>
      </c>
      <c r="E10" s="356">
        <v>1</v>
      </c>
      <c r="F10" s="356">
        <v>2</v>
      </c>
      <c r="G10" s="357">
        <v>2</v>
      </c>
    </row>
    <row r="11" spans="1:14" s="353" customFormat="1" ht="21.95" customHeight="1">
      <c r="D11" s="359" t="s">
        <v>839</v>
      </c>
    </row>
    <row r="12" spans="1:14" s="353" customFormat="1" ht="21.95" customHeight="1" thickBot="1"/>
    <row r="13" spans="1:14" s="353" customFormat="1" ht="21.95" customHeight="1">
      <c r="A13" s="430" t="s">
        <v>840</v>
      </c>
      <c r="B13" s="431"/>
      <c r="C13" s="434">
        <v>37</v>
      </c>
    </row>
    <row r="14" spans="1:14" s="353" customFormat="1" ht="21.95" customHeight="1">
      <c r="A14" s="432"/>
      <c r="B14" s="433"/>
      <c r="C14" s="435"/>
    </row>
    <row r="15" spans="1:14" s="353" customFormat="1" ht="21.95" customHeight="1">
      <c r="A15" s="361"/>
      <c r="B15" s="362"/>
      <c r="C15" s="363"/>
    </row>
    <row r="16" spans="1:14" s="353" customFormat="1" ht="21.95" customHeight="1">
      <c r="A16" s="364"/>
      <c r="B16" s="436" t="s">
        <v>841</v>
      </c>
      <c r="C16" s="438" t="s">
        <v>842</v>
      </c>
    </row>
    <row r="17" spans="1:4" s="353" customFormat="1" ht="21.95" customHeight="1">
      <c r="A17" s="364"/>
      <c r="B17" s="437"/>
      <c r="C17" s="439"/>
    </row>
    <row r="18" spans="1:4" s="353" customFormat="1" ht="21.95" customHeight="1">
      <c r="A18" s="365" t="s">
        <v>843</v>
      </c>
      <c r="B18" s="366">
        <v>3</v>
      </c>
      <c r="C18" s="367">
        <v>2</v>
      </c>
    </row>
    <row r="19" spans="1:4" s="353" customFormat="1" ht="21.95" customHeight="1">
      <c r="A19" s="365" t="s">
        <v>844</v>
      </c>
      <c r="B19" s="366">
        <v>11</v>
      </c>
      <c r="C19" s="360"/>
    </row>
    <row r="20" spans="1:4" s="353" customFormat="1" ht="21.95" customHeight="1">
      <c r="A20" s="365" t="s">
        <v>172</v>
      </c>
      <c r="B20" s="366">
        <v>13</v>
      </c>
      <c r="C20" s="360"/>
    </row>
    <row r="21" spans="1:4" s="353" customFormat="1" ht="21.95" customHeight="1">
      <c r="A21" s="365" t="s">
        <v>845</v>
      </c>
      <c r="B21" s="366">
        <v>11</v>
      </c>
      <c r="C21" s="360"/>
    </row>
    <row r="22" spans="1:4" s="353" customFormat="1" ht="21.95" customHeight="1" thickBot="1">
      <c r="A22" s="368" t="s">
        <v>846</v>
      </c>
      <c r="B22" s="369">
        <v>3</v>
      </c>
      <c r="C22" s="370"/>
    </row>
    <row r="23" spans="1:4" s="353" customFormat="1" ht="21.95" customHeight="1"/>
    <row r="24" spans="1:4" s="353" customFormat="1" ht="21.95" customHeight="1">
      <c r="A24" s="418" t="s">
        <v>847</v>
      </c>
      <c r="B24" s="429" t="s">
        <v>848</v>
      </c>
      <c r="C24" s="429"/>
      <c r="D24" s="429"/>
    </row>
    <row r="25" spans="1:4" s="353" customFormat="1" ht="21.95" customHeight="1">
      <c r="A25" s="418"/>
      <c r="B25" s="429" t="s">
        <v>849</v>
      </c>
      <c r="C25" s="429"/>
      <c r="D25" s="429"/>
    </row>
    <row r="26" spans="1:4" s="353" customFormat="1" ht="21.95" customHeight="1">
      <c r="A26" s="418"/>
      <c r="B26" s="429" t="s">
        <v>850</v>
      </c>
      <c r="C26" s="429"/>
      <c r="D26" s="429"/>
    </row>
    <row r="27" spans="1:4" s="353" customFormat="1" ht="21.95" customHeight="1">
      <c r="A27" s="418" t="s">
        <v>851</v>
      </c>
      <c r="B27" s="429" t="s">
        <v>848</v>
      </c>
      <c r="C27" s="429"/>
      <c r="D27" s="429"/>
    </row>
    <row r="28" spans="1:4" s="353" customFormat="1" ht="21.95" customHeight="1">
      <c r="A28" s="418"/>
      <c r="B28" s="429" t="s">
        <v>849</v>
      </c>
      <c r="C28" s="429"/>
      <c r="D28" s="429"/>
    </row>
    <row r="29" spans="1:4" s="353" customFormat="1" ht="21.95" customHeight="1">
      <c r="A29" s="418"/>
      <c r="B29" s="429" t="s">
        <v>852</v>
      </c>
      <c r="C29" s="429"/>
      <c r="D29" s="429"/>
    </row>
    <row r="30" spans="1:4" s="353" customFormat="1" ht="21.95" customHeight="1"/>
  </sheetData>
  <mergeCells count="35">
    <mergeCell ref="A27:A29"/>
    <mergeCell ref="B27:D27"/>
    <mergeCell ref="B28:D28"/>
    <mergeCell ref="B29:D29"/>
    <mergeCell ref="A13:B14"/>
    <mergeCell ref="C13:C14"/>
    <mergeCell ref="B16:B17"/>
    <mergeCell ref="C16:C17"/>
    <mergeCell ref="A24:A26"/>
    <mergeCell ref="B24:D24"/>
    <mergeCell ref="B25:D25"/>
    <mergeCell ref="B26:D26"/>
    <mergeCell ref="H4:J4"/>
    <mergeCell ref="K4:M4"/>
    <mergeCell ref="M6:M9"/>
    <mergeCell ref="B8:B9"/>
    <mergeCell ref="C8:C9"/>
    <mergeCell ref="D8:D9"/>
    <mergeCell ref="E8:E9"/>
    <mergeCell ref="F8:F9"/>
    <mergeCell ref="G8:G9"/>
    <mergeCell ref="G6:G7"/>
    <mergeCell ref="H6:H9"/>
    <mergeCell ref="I6:I9"/>
    <mergeCell ref="J6:J9"/>
    <mergeCell ref="K6:K9"/>
    <mergeCell ref="L6:L9"/>
    <mergeCell ref="B6:B7"/>
    <mergeCell ref="E6:E7"/>
    <mergeCell ref="F6:F7"/>
    <mergeCell ref="A4:A5"/>
    <mergeCell ref="B4:D4"/>
    <mergeCell ref="E4:G4"/>
    <mergeCell ref="C6:C7"/>
    <mergeCell ref="D6:D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2387D-14AC-429B-B8E4-36129CE2FFF2}">
  <dimension ref="C3:C283"/>
  <sheetViews>
    <sheetView topLeftCell="A173" workbookViewId="0">
      <selection activeCell="G18" sqref="G18"/>
    </sheetView>
  </sheetViews>
  <sheetFormatPr baseColWidth="10" defaultColWidth="11.42578125" defaultRowHeight="15"/>
  <sheetData>
    <row r="3" spans="3:3" ht="15.75" thickBot="1">
      <c r="C3" s="92" t="s">
        <v>233</v>
      </c>
    </row>
    <row r="4" spans="3:3" ht="15.75" thickBot="1">
      <c r="C4" s="92" t="s">
        <v>593</v>
      </c>
    </row>
    <row r="5" spans="3:3" ht="15.75" thickBot="1">
      <c r="C5" s="92" t="s">
        <v>595</v>
      </c>
    </row>
    <row r="6" spans="3:3" ht="15.75" thickBot="1">
      <c r="C6" s="92" t="s">
        <v>597</v>
      </c>
    </row>
    <row r="7" spans="3:3" ht="15.75" thickBot="1">
      <c r="C7" s="92" t="s">
        <v>599</v>
      </c>
    </row>
    <row r="8" spans="3:3" ht="15.75" thickBot="1">
      <c r="C8" s="92" t="s">
        <v>601</v>
      </c>
    </row>
    <row r="9" spans="3:3" ht="15.75" thickBot="1">
      <c r="C9" s="92" t="s">
        <v>603</v>
      </c>
    </row>
    <row r="10" spans="3:3" ht="15.75" thickBot="1">
      <c r="C10" s="92" t="s">
        <v>605</v>
      </c>
    </row>
    <row r="11" spans="3:3" ht="15.75" thickBot="1">
      <c r="C11" s="92" t="s">
        <v>607</v>
      </c>
    </row>
    <row r="12" spans="3:3" ht="15.75" thickBot="1">
      <c r="C12" s="92" t="s">
        <v>609</v>
      </c>
    </row>
    <row r="13" spans="3:3" ht="15.75" thickBot="1">
      <c r="C13" s="92" t="s">
        <v>298</v>
      </c>
    </row>
    <row r="14" spans="3:3" ht="15.75" thickBot="1">
      <c r="C14" s="92" t="s">
        <v>611</v>
      </c>
    </row>
    <row r="15" spans="3:3" ht="15.75" thickBot="1">
      <c r="C15" s="92" t="s">
        <v>613</v>
      </c>
    </row>
    <row r="16" spans="3:3" ht="15.75" thickBot="1">
      <c r="C16" s="92" t="s">
        <v>216</v>
      </c>
    </row>
    <row r="17" spans="3:3" ht="15.75" thickBot="1">
      <c r="C17" s="92" t="s">
        <v>616</v>
      </c>
    </row>
    <row r="18" spans="3:3" ht="15.75" thickBot="1">
      <c r="C18" s="92" t="s">
        <v>169</v>
      </c>
    </row>
    <row r="19" spans="3:3" ht="15.75" thickBot="1">
      <c r="C19" s="92" t="s">
        <v>619</v>
      </c>
    </row>
    <row r="20" spans="3:3" ht="15.75" thickBot="1">
      <c r="C20" s="92" t="s">
        <v>170</v>
      </c>
    </row>
    <row r="21" spans="3:3" ht="15.75" thickBot="1">
      <c r="C21" s="92" t="s">
        <v>621</v>
      </c>
    </row>
    <row r="22" spans="3:3" ht="15.75" thickBot="1">
      <c r="C22" s="92" t="s">
        <v>622</v>
      </c>
    </row>
    <row r="23" spans="3:3" ht="15.75" thickBot="1">
      <c r="C23" s="92" t="s">
        <v>624</v>
      </c>
    </row>
    <row r="24" spans="3:3" ht="15.75" thickBot="1">
      <c r="C24" s="92" t="s">
        <v>626</v>
      </c>
    </row>
    <row r="25" spans="3:3" ht="15.75" thickBot="1">
      <c r="C25" s="92" t="s">
        <v>237</v>
      </c>
    </row>
    <row r="26" spans="3:3" ht="15.75" thickBot="1">
      <c r="C26" s="92" t="s">
        <v>629</v>
      </c>
    </row>
    <row r="27" spans="3:3" ht="15.75" thickBot="1">
      <c r="C27" s="92" t="s">
        <v>301</v>
      </c>
    </row>
    <row r="28" spans="3:3" ht="15.75" thickBot="1">
      <c r="C28" s="92" t="s">
        <v>632</v>
      </c>
    </row>
    <row r="29" spans="3:3" ht="15.75" thickBot="1">
      <c r="C29" s="92" t="s">
        <v>634</v>
      </c>
    </row>
    <row r="30" spans="3:3" ht="15.75" thickBot="1">
      <c r="C30" s="92" t="s">
        <v>204</v>
      </c>
    </row>
    <row r="31" spans="3:3" ht="15.75" thickBot="1">
      <c r="C31" s="92" t="s">
        <v>637</v>
      </c>
    </row>
    <row r="32" spans="3:3" ht="15.75" thickBot="1">
      <c r="C32" s="92" t="s">
        <v>639</v>
      </c>
    </row>
    <row r="33" spans="3:3" ht="15.75" thickBot="1">
      <c r="C33" s="92" t="s">
        <v>644</v>
      </c>
    </row>
    <row r="34" spans="3:3" ht="15.75" thickBot="1">
      <c r="C34" s="92" t="s">
        <v>641</v>
      </c>
    </row>
    <row r="35" spans="3:3" ht="15.75" thickBot="1">
      <c r="C35" s="92" t="s">
        <v>643</v>
      </c>
    </row>
    <row r="36" spans="3:3" ht="15.75" thickBot="1">
      <c r="C36" s="92" t="s">
        <v>646</v>
      </c>
    </row>
    <row r="37" spans="3:3" ht="15.75" thickBot="1">
      <c r="C37" s="92" t="s">
        <v>648</v>
      </c>
    </row>
    <row r="38" spans="3:3" ht="15.75" thickBot="1">
      <c r="C38" s="92" t="s">
        <v>260</v>
      </c>
    </row>
    <row r="39" spans="3:3" ht="15.75" thickBot="1">
      <c r="C39" s="92" t="s">
        <v>651</v>
      </c>
    </row>
    <row r="40" spans="3:3" ht="15.75" thickBot="1">
      <c r="C40" s="92" t="s">
        <v>241</v>
      </c>
    </row>
    <row r="41" spans="3:3" ht="15.75" thickBot="1">
      <c r="C41" s="92" t="s">
        <v>654</v>
      </c>
    </row>
    <row r="42" spans="3:3" ht="15.75" thickBot="1">
      <c r="C42" s="92" t="s">
        <v>656</v>
      </c>
    </row>
    <row r="43" spans="3:3" ht="15.75" thickBot="1">
      <c r="C43" s="92" t="s">
        <v>658</v>
      </c>
    </row>
    <row r="44" spans="3:3" ht="15.75" thickBot="1">
      <c r="C44" s="92" t="s">
        <v>660</v>
      </c>
    </row>
    <row r="45" spans="3:3" ht="15.75" thickBot="1">
      <c r="C45" s="92" t="s">
        <v>662</v>
      </c>
    </row>
    <row r="46" spans="3:3" ht="15.75" thickBot="1">
      <c r="C46" s="92" t="s">
        <v>664</v>
      </c>
    </row>
    <row r="47" spans="3:3" ht="15.75" thickBot="1">
      <c r="C47" s="92" t="s">
        <v>666</v>
      </c>
    </row>
    <row r="48" spans="3:3" ht="15.75" thickBot="1">
      <c r="C48" s="92" t="s">
        <v>667</v>
      </c>
    </row>
    <row r="49" spans="3:3" ht="15.75" thickBot="1">
      <c r="C49" s="92" t="s">
        <v>182</v>
      </c>
    </row>
    <row r="50" spans="3:3" ht="15.75" thickBot="1">
      <c r="C50" s="92" t="s">
        <v>670</v>
      </c>
    </row>
    <row r="51" spans="3:3" ht="15.75" thickBot="1">
      <c r="C51" s="92" t="s">
        <v>303</v>
      </c>
    </row>
    <row r="52" spans="3:3" ht="15.75" thickBot="1">
      <c r="C52" s="92" t="s">
        <v>673</v>
      </c>
    </row>
    <row r="53" spans="3:3" ht="15.75" thickBot="1">
      <c r="C53" s="92" t="s">
        <v>675</v>
      </c>
    </row>
    <row r="54" spans="3:3" ht="15.75" thickBot="1">
      <c r="C54" s="92" t="s">
        <v>191</v>
      </c>
    </row>
    <row r="55" spans="3:3" ht="15.75" thickBot="1">
      <c r="C55" s="92" t="s">
        <v>678</v>
      </c>
    </row>
    <row r="56" spans="3:3" ht="15.75" thickBot="1">
      <c r="C56" s="92" t="s">
        <v>194</v>
      </c>
    </row>
    <row r="57" spans="3:3" ht="15.75" thickBot="1">
      <c r="C57" s="92" t="s">
        <v>680</v>
      </c>
    </row>
    <row r="58" spans="3:3" ht="15.75" thickBot="1">
      <c r="C58" s="92" t="s">
        <v>682</v>
      </c>
    </row>
    <row r="59" spans="3:3" ht="15.75" thickBot="1">
      <c r="C59" s="92" t="s">
        <v>684</v>
      </c>
    </row>
    <row r="60" spans="3:3" ht="15.75" thickBot="1">
      <c r="C60" s="92" t="s">
        <v>686</v>
      </c>
    </row>
    <row r="61" spans="3:3" ht="15.75" thickBot="1">
      <c r="C61" s="92" t="s">
        <v>688</v>
      </c>
    </row>
    <row r="62" spans="3:3" ht="15.75" thickBot="1">
      <c r="C62" s="92" t="s">
        <v>690</v>
      </c>
    </row>
    <row r="63" spans="3:3" ht="15.75" thickBot="1">
      <c r="C63" s="92" t="s">
        <v>188</v>
      </c>
    </row>
    <row r="64" spans="3:3" ht="15.75" thickBot="1">
      <c r="C64" s="92" t="s">
        <v>692</v>
      </c>
    </row>
    <row r="65" spans="3:3" ht="15.75" thickBot="1">
      <c r="C65" s="92" t="s">
        <v>694</v>
      </c>
    </row>
    <row r="66" spans="3:3" ht="15.75" thickBot="1">
      <c r="C66" s="92" t="s">
        <v>695</v>
      </c>
    </row>
    <row r="67" spans="3:3" ht="15.75" thickBot="1">
      <c r="C67" s="92" t="s">
        <v>696</v>
      </c>
    </row>
    <row r="68" spans="3:3" ht="15.75" thickBot="1">
      <c r="C68" s="92" t="s">
        <v>275</v>
      </c>
    </row>
    <row r="69" spans="3:3" ht="15.75" thickBot="1">
      <c r="C69" s="92" t="s">
        <v>174</v>
      </c>
    </row>
    <row r="70" spans="3:3" ht="15.75" thickBot="1">
      <c r="C70" s="92" t="s">
        <v>179</v>
      </c>
    </row>
    <row r="71" spans="3:3" ht="15.75" thickBot="1">
      <c r="C71" s="92" t="s">
        <v>703</v>
      </c>
    </row>
    <row r="72" spans="3:3" ht="15.75" thickBot="1">
      <c r="C72" s="92" t="s">
        <v>705</v>
      </c>
    </row>
    <row r="73" spans="3:3" ht="15.75" thickBot="1">
      <c r="C73" s="92" t="s">
        <v>707</v>
      </c>
    </row>
    <row r="74" spans="3:3" ht="15.75" thickBot="1">
      <c r="C74" s="92" t="s">
        <v>709</v>
      </c>
    </row>
    <row r="75" spans="3:3" ht="15.75" thickBot="1">
      <c r="C75" s="92" t="s">
        <v>711</v>
      </c>
    </row>
    <row r="76" spans="3:3" ht="15.75" thickBot="1">
      <c r="C76" s="92" t="s">
        <v>713</v>
      </c>
    </row>
    <row r="77" spans="3:3" ht="15.75" thickBot="1">
      <c r="C77" s="92" t="s">
        <v>365</v>
      </c>
    </row>
    <row r="78" spans="3:3" ht="15.75" thickBot="1">
      <c r="C78" s="92" t="s">
        <v>716</v>
      </c>
    </row>
    <row r="79" spans="3:3" ht="15.75" thickBot="1">
      <c r="C79" s="92" t="s">
        <v>238</v>
      </c>
    </row>
    <row r="80" spans="3:3" ht="15.75" thickBot="1">
      <c r="C80" s="92" t="s">
        <v>282</v>
      </c>
    </row>
    <row r="81" spans="3:3" ht="15.75" thickBot="1">
      <c r="C81" s="92" t="s">
        <v>208</v>
      </c>
    </row>
    <row r="82" spans="3:3" ht="15.75" thickBot="1">
      <c r="C82" s="92" t="s">
        <v>721</v>
      </c>
    </row>
    <row r="83" spans="3:3" ht="15.75" thickBot="1">
      <c r="C83" s="92" t="s">
        <v>723</v>
      </c>
    </row>
    <row r="84" spans="3:3" ht="15.75" thickBot="1">
      <c r="C84" s="92" t="s">
        <v>725</v>
      </c>
    </row>
    <row r="85" spans="3:3" ht="15.75" thickBot="1">
      <c r="C85" s="92" t="s">
        <v>727</v>
      </c>
    </row>
    <row r="86" spans="3:3" ht="15.75" thickBot="1">
      <c r="C86" s="92" t="s">
        <v>729</v>
      </c>
    </row>
    <row r="87" spans="3:3" ht="15.75" thickBot="1">
      <c r="C87" s="92" t="s">
        <v>731</v>
      </c>
    </row>
    <row r="88" spans="3:3" ht="15.75" thickBot="1">
      <c r="C88" s="92" t="s">
        <v>201</v>
      </c>
    </row>
    <row r="89" spans="3:3" ht="15.75" thickBot="1">
      <c r="C89" s="92" t="s">
        <v>734</v>
      </c>
    </row>
    <row r="90" spans="3:3" ht="15.75" thickBot="1">
      <c r="C90" s="92" t="s">
        <v>736</v>
      </c>
    </row>
    <row r="91" spans="3:3" ht="15.75" thickBot="1">
      <c r="C91" s="92" t="s">
        <v>738</v>
      </c>
    </row>
    <row r="92" spans="3:3" ht="15.75" thickBot="1">
      <c r="C92" s="92" t="s">
        <v>740</v>
      </c>
    </row>
    <row r="93" spans="3:3" ht="15.75" thickBot="1">
      <c r="C93" s="92" t="s">
        <v>742</v>
      </c>
    </row>
    <row r="94" spans="3:3" ht="15.75" thickBot="1">
      <c r="C94" s="92" t="s">
        <v>744</v>
      </c>
    </row>
    <row r="95" spans="3:3" ht="15.75" thickBot="1">
      <c r="C95" s="92" t="s">
        <v>246</v>
      </c>
    </row>
    <row r="96" spans="3:3" ht="15.75" thickBot="1">
      <c r="C96" s="92" t="s">
        <v>747</v>
      </c>
    </row>
    <row r="97" spans="3:3" ht="15.75" thickBot="1">
      <c r="C97" s="92" t="s">
        <v>749</v>
      </c>
    </row>
    <row r="98" spans="3:3" ht="15.75" thickBot="1">
      <c r="C98" s="92" t="s">
        <v>751</v>
      </c>
    </row>
    <row r="99" spans="3:3" ht="15.75" thickBot="1">
      <c r="C99" s="92" t="s">
        <v>214</v>
      </c>
    </row>
    <row r="100" spans="3:3" ht="15.75" thickBot="1">
      <c r="C100" s="92" t="s">
        <v>753</v>
      </c>
    </row>
    <row r="101" spans="3:3" ht="15.75" thickBot="1">
      <c r="C101" s="92" t="s">
        <v>287</v>
      </c>
    </row>
    <row r="102" spans="3:3" ht="15.75" thickBot="1">
      <c r="C102" s="92" t="s">
        <v>756</v>
      </c>
    </row>
    <row r="103" spans="3:3" ht="15.75" thickBot="1">
      <c r="C103" s="92" t="s">
        <v>758</v>
      </c>
    </row>
    <row r="104" spans="3:3" ht="15.75" thickBot="1">
      <c r="C104" s="92" t="s">
        <v>760</v>
      </c>
    </row>
    <row r="105" spans="3:3" ht="15.75" thickBot="1">
      <c r="C105" s="92" t="s">
        <v>762</v>
      </c>
    </row>
    <row r="106" spans="3:3" ht="15.75" thickBot="1">
      <c r="C106" s="92" t="s">
        <v>472</v>
      </c>
    </row>
    <row r="107" spans="3:3" ht="15.75" thickBot="1">
      <c r="C107" s="92" t="s">
        <v>765</v>
      </c>
    </row>
    <row r="108" spans="3:3" ht="15.75" thickBot="1">
      <c r="C108" s="92" t="s">
        <v>767</v>
      </c>
    </row>
    <row r="109" spans="3:3" ht="15.75" thickBot="1">
      <c r="C109" s="92" t="s">
        <v>769</v>
      </c>
    </row>
    <row r="110" spans="3:3" ht="15.75" thickBot="1">
      <c r="C110" s="92" t="s">
        <v>771</v>
      </c>
    </row>
    <row r="111" spans="3:3" ht="15.75" thickBot="1">
      <c r="C111" s="92" t="s">
        <v>772</v>
      </c>
    </row>
    <row r="112" spans="3:3" ht="15.75" thickBot="1">
      <c r="C112" s="92" t="s">
        <v>773</v>
      </c>
    </row>
    <row r="113" spans="3:3" ht="15.75" thickBot="1">
      <c r="C113" s="92" t="s">
        <v>775</v>
      </c>
    </row>
    <row r="114" spans="3:3" ht="15.75" thickBot="1">
      <c r="C114" s="92" t="s">
        <v>777</v>
      </c>
    </row>
    <row r="115" spans="3:3" ht="15.75" thickBot="1">
      <c r="C115" s="92" t="s">
        <v>779</v>
      </c>
    </row>
    <row r="116" spans="3:3" ht="15.75" thickBot="1">
      <c r="C116" s="92" t="s">
        <v>212</v>
      </c>
    </row>
    <row r="117" spans="3:3" ht="15.75" thickBot="1">
      <c r="C117" s="92" t="s">
        <v>782</v>
      </c>
    </row>
    <row r="118" spans="3:3" ht="15.75" thickBot="1">
      <c r="C118" s="92" t="s">
        <v>784</v>
      </c>
    </row>
    <row r="119" spans="3:3" ht="15.75" thickBot="1">
      <c r="C119" s="92" t="s">
        <v>786</v>
      </c>
    </row>
    <row r="120" spans="3:3" ht="15.75" thickBot="1">
      <c r="C120" s="92" t="s">
        <v>788</v>
      </c>
    </row>
    <row r="121" spans="3:3" ht="15.75" thickBot="1">
      <c r="C121" s="92" t="s">
        <v>790</v>
      </c>
    </row>
    <row r="122" spans="3:3" ht="15.75" thickBot="1">
      <c r="C122" s="92" t="s">
        <v>792</v>
      </c>
    </row>
    <row r="123" spans="3:3" ht="15.75" thickBot="1">
      <c r="C123" s="92" t="s">
        <v>794</v>
      </c>
    </row>
    <row r="124" spans="3:3" ht="15.75" thickBot="1">
      <c r="C124" s="92" t="s">
        <v>796</v>
      </c>
    </row>
    <row r="125" spans="3:3" ht="15.75" thickBot="1">
      <c r="C125" s="92" t="s">
        <v>798</v>
      </c>
    </row>
    <row r="126" spans="3:3" ht="15.75" thickBot="1">
      <c r="C126" s="92" t="s">
        <v>800</v>
      </c>
    </row>
    <row r="127" spans="3:3" ht="15.75" thickBot="1">
      <c r="C127" s="92" t="s">
        <v>802</v>
      </c>
    </row>
    <row r="128" spans="3:3" ht="15.75" thickBot="1">
      <c r="C128" s="92" t="s">
        <v>804</v>
      </c>
    </row>
    <row r="129" spans="3:3" ht="15.75" thickBot="1">
      <c r="C129" s="92" t="s">
        <v>806</v>
      </c>
    </row>
    <row r="130" spans="3:3" ht="15.75" thickBot="1">
      <c r="C130" s="92" t="s">
        <v>807</v>
      </c>
    </row>
    <row r="131" spans="3:3" ht="15.75" thickBot="1">
      <c r="C131" s="92" t="s">
        <v>809</v>
      </c>
    </row>
    <row r="132" spans="3:3" ht="15.75" thickBot="1">
      <c r="C132" s="92" t="s">
        <v>296</v>
      </c>
    </row>
    <row r="133" spans="3:3" ht="15.75" thickBot="1">
      <c r="C133" s="92" t="s">
        <v>813</v>
      </c>
    </row>
    <row r="134" spans="3:3" ht="15.75" thickBot="1">
      <c r="C134" s="92" t="s">
        <v>817</v>
      </c>
    </row>
    <row r="135" spans="3:3" ht="15.75" thickBot="1">
      <c r="C135" s="92" t="s">
        <v>819</v>
      </c>
    </row>
    <row r="136" spans="3:3" ht="15.75" thickBot="1">
      <c r="C136" s="92" t="s">
        <v>821</v>
      </c>
    </row>
    <row r="137" spans="3:3" ht="15.75" thickBot="1">
      <c r="C137" s="92" t="s">
        <v>823</v>
      </c>
    </row>
    <row r="138" spans="3:3" ht="15.75" thickBot="1">
      <c r="C138" s="92" t="s">
        <v>825</v>
      </c>
    </row>
    <row r="139" spans="3:3" ht="15.75" thickBot="1">
      <c r="C139" s="92" t="s">
        <v>474</v>
      </c>
    </row>
    <row r="140" spans="3:3" ht="15.75" thickBot="1">
      <c r="C140" s="92" t="s">
        <v>827</v>
      </c>
    </row>
    <row r="141" spans="3:3" ht="15.75" thickBot="1">
      <c r="C141" s="92" t="s">
        <v>829</v>
      </c>
    </row>
    <row r="142" spans="3:3" ht="15.75" thickBot="1">
      <c r="C142" s="92" t="s">
        <v>265</v>
      </c>
    </row>
    <row r="143" spans="3:3" ht="15.75" thickBot="1">
      <c r="C143" s="92" t="s">
        <v>815</v>
      </c>
    </row>
    <row r="144" spans="3:3" ht="15.75" thickBot="1">
      <c r="C144" s="92" t="s">
        <v>701</v>
      </c>
    </row>
    <row r="145" spans="3:3" ht="15.75" thickBot="1">
      <c r="C145" s="92" t="s">
        <v>591</v>
      </c>
    </row>
    <row r="146" spans="3:3" ht="15.75" thickBot="1">
      <c r="C146" s="92" t="s">
        <v>594</v>
      </c>
    </row>
    <row r="147" spans="3:3" ht="15.75" thickBot="1">
      <c r="C147" s="92" t="s">
        <v>596</v>
      </c>
    </row>
    <row r="148" spans="3:3" ht="15.75" thickBot="1">
      <c r="C148" s="92" t="s">
        <v>598</v>
      </c>
    </row>
    <row r="149" spans="3:3" ht="15.75" thickBot="1">
      <c r="C149" s="92" t="s">
        <v>600</v>
      </c>
    </row>
    <row r="150" spans="3:3" ht="15.75" thickBot="1">
      <c r="C150" s="92" t="s">
        <v>602</v>
      </c>
    </row>
    <row r="151" spans="3:3" ht="15.75" thickBot="1">
      <c r="C151" s="92" t="s">
        <v>604</v>
      </c>
    </row>
    <row r="152" spans="3:3" ht="15.75" thickBot="1">
      <c r="C152" s="92" t="s">
        <v>606</v>
      </c>
    </row>
    <row r="153" spans="3:3" ht="15.75" thickBot="1">
      <c r="C153" s="92" t="s">
        <v>608</v>
      </c>
    </row>
    <row r="154" spans="3:3" ht="15.75" thickBot="1">
      <c r="C154" s="92" t="s">
        <v>610</v>
      </c>
    </row>
    <row r="155" spans="3:3" ht="15.75" thickBot="1">
      <c r="C155" s="92" t="s">
        <v>230</v>
      </c>
    </row>
    <row r="156" spans="3:3" ht="15.75" thickBot="1">
      <c r="C156" s="92" t="s">
        <v>612</v>
      </c>
    </row>
    <row r="157" spans="3:3" ht="15.75" thickBot="1">
      <c r="C157" s="92" t="s">
        <v>614</v>
      </c>
    </row>
    <row r="158" spans="3:3" ht="15.75" thickBot="1">
      <c r="C158" s="92" t="s">
        <v>615</v>
      </c>
    </row>
    <row r="159" spans="3:3" ht="15.75" thickBot="1">
      <c r="C159" s="92" t="s">
        <v>617</v>
      </c>
    </row>
    <row r="160" spans="3:3" ht="15.75" thickBot="1">
      <c r="C160" s="92" t="s">
        <v>618</v>
      </c>
    </row>
    <row r="161" spans="3:3" ht="15.75" thickBot="1">
      <c r="C161" s="92" t="s">
        <v>620</v>
      </c>
    </row>
    <row r="162" spans="3:3" ht="15.75" thickBot="1">
      <c r="C162" s="92" t="s">
        <v>278</v>
      </c>
    </row>
    <row r="163" spans="3:3" ht="15.75" thickBot="1">
      <c r="C163" s="92" t="s">
        <v>258</v>
      </c>
    </row>
    <row r="164" spans="3:3" ht="15.75" thickBot="1">
      <c r="C164" s="92" t="s">
        <v>623</v>
      </c>
    </row>
    <row r="165" spans="3:3" ht="15.75" thickBot="1">
      <c r="C165" s="92" t="s">
        <v>625</v>
      </c>
    </row>
    <row r="166" spans="3:3" ht="15.75" thickBot="1">
      <c r="C166" s="92" t="s">
        <v>627</v>
      </c>
    </row>
    <row r="167" spans="3:3" ht="15.75" thickBot="1">
      <c r="C167" s="92" t="s">
        <v>628</v>
      </c>
    </row>
    <row r="168" spans="3:3" ht="15.75" thickBot="1">
      <c r="C168" s="92" t="s">
        <v>630</v>
      </c>
    </row>
    <row r="169" spans="3:3" ht="15.75" thickBot="1">
      <c r="C169" s="92" t="s">
        <v>631</v>
      </c>
    </row>
    <row r="170" spans="3:3" ht="15.75" thickBot="1">
      <c r="C170" s="92" t="s">
        <v>633</v>
      </c>
    </row>
    <row r="171" spans="3:3" ht="15.75" thickBot="1">
      <c r="C171" s="92" t="s">
        <v>635</v>
      </c>
    </row>
    <row r="172" spans="3:3" ht="15.75" thickBot="1">
      <c r="C172" s="92" t="s">
        <v>636</v>
      </c>
    </row>
    <row r="173" spans="3:3" ht="15.75" thickBot="1">
      <c r="C173" s="92" t="s">
        <v>638</v>
      </c>
    </row>
    <row r="174" spans="3:3" ht="15.75" thickBot="1">
      <c r="C174" s="92" t="s">
        <v>640</v>
      </c>
    </row>
    <row r="175" spans="3:3" ht="15.75" thickBot="1">
      <c r="C175" s="92" t="s">
        <v>645</v>
      </c>
    </row>
    <row r="176" spans="3:3" ht="15.75" thickBot="1">
      <c r="C176" s="92" t="s">
        <v>642</v>
      </c>
    </row>
    <row r="177" spans="3:3" ht="15.75" thickBot="1">
      <c r="C177" s="92" t="s">
        <v>283</v>
      </c>
    </row>
    <row r="178" spans="3:3" ht="15.75" thickBot="1">
      <c r="C178" s="92" t="s">
        <v>647</v>
      </c>
    </row>
    <row r="179" spans="3:3" ht="15.75" thickBot="1">
      <c r="C179" s="92" t="s">
        <v>649</v>
      </c>
    </row>
    <row r="180" spans="3:3" ht="15.75" thickBot="1">
      <c r="C180" s="92" t="s">
        <v>650</v>
      </c>
    </row>
    <row r="181" spans="3:3" ht="15.75" thickBot="1">
      <c r="C181" s="92" t="s">
        <v>652</v>
      </c>
    </row>
    <row r="182" spans="3:3" ht="15.75" thickBot="1">
      <c r="C182" s="92" t="s">
        <v>653</v>
      </c>
    </row>
    <row r="183" spans="3:3" ht="15.75" thickBot="1">
      <c r="C183" s="92" t="s">
        <v>655</v>
      </c>
    </row>
    <row r="184" spans="3:3" ht="15.75" thickBot="1">
      <c r="C184" s="92" t="s">
        <v>657</v>
      </c>
    </row>
    <row r="185" spans="3:3" ht="15.75" thickBot="1">
      <c r="C185" s="92" t="s">
        <v>659</v>
      </c>
    </row>
    <row r="186" spans="3:3" ht="15.75" thickBot="1">
      <c r="C186" s="92" t="s">
        <v>661</v>
      </c>
    </row>
    <row r="187" spans="3:3" ht="15.75" thickBot="1">
      <c r="C187" s="92" t="s">
        <v>663</v>
      </c>
    </row>
    <row r="188" spans="3:3" ht="15.75" thickBot="1">
      <c r="C188" s="92" t="s">
        <v>665</v>
      </c>
    </row>
    <row r="189" spans="3:3" ht="15.75" thickBot="1">
      <c r="C189" s="92" t="s">
        <v>262</v>
      </c>
    </row>
    <row r="190" spans="3:3" ht="15.75" thickBot="1">
      <c r="C190" s="92" t="s">
        <v>668</v>
      </c>
    </row>
    <row r="191" spans="3:3" ht="15.75" thickBot="1">
      <c r="C191" s="92" t="s">
        <v>669</v>
      </c>
    </row>
    <row r="192" spans="3:3" ht="15.75" thickBot="1">
      <c r="C192" s="92" t="s">
        <v>671</v>
      </c>
    </row>
    <row r="193" spans="3:3" ht="15.75" thickBot="1">
      <c r="C193" s="92" t="s">
        <v>672</v>
      </c>
    </row>
    <row r="194" spans="3:3" ht="15.75" thickBot="1">
      <c r="C194" s="92" t="s">
        <v>674</v>
      </c>
    </row>
    <row r="195" spans="3:3" ht="15.75" thickBot="1">
      <c r="C195" s="92" t="s">
        <v>676</v>
      </c>
    </row>
    <row r="196" spans="3:3" ht="15.75" thickBot="1">
      <c r="C196" s="92" t="s">
        <v>677</v>
      </c>
    </row>
    <row r="197" spans="3:3" ht="15.75" thickBot="1">
      <c r="C197" s="92" t="s">
        <v>679</v>
      </c>
    </row>
    <row r="198" spans="3:3" ht="15.75" thickBot="1">
      <c r="C198" s="92" t="s">
        <v>243</v>
      </c>
    </row>
    <row r="199" spans="3:3" ht="15.75" thickBot="1">
      <c r="C199" s="92" t="s">
        <v>681</v>
      </c>
    </row>
    <row r="200" spans="3:3" ht="15.75" thickBot="1">
      <c r="C200" s="92" t="s">
        <v>683</v>
      </c>
    </row>
    <row r="201" spans="3:3" ht="15.75" thickBot="1">
      <c r="C201" s="92" t="s">
        <v>685</v>
      </c>
    </row>
    <row r="202" spans="3:3" ht="15.75" thickBot="1">
      <c r="C202" s="92" t="s">
        <v>687</v>
      </c>
    </row>
    <row r="203" spans="3:3" ht="15.75" thickBot="1">
      <c r="C203" s="92" t="s">
        <v>689</v>
      </c>
    </row>
    <row r="204" spans="3:3" ht="15.75" thickBot="1">
      <c r="C204" s="92" t="s">
        <v>691</v>
      </c>
    </row>
    <row r="205" spans="3:3" ht="15.75" thickBot="1">
      <c r="C205" s="92" t="s">
        <v>263</v>
      </c>
    </row>
    <row r="206" spans="3:3" ht="15.75" thickBot="1">
      <c r="C206" s="92" t="s">
        <v>693</v>
      </c>
    </row>
    <row r="207" spans="3:3" ht="15.75" thickBot="1">
      <c r="C207" s="92" t="s">
        <v>697</v>
      </c>
    </row>
    <row r="208" spans="3:3" ht="15.75" thickBot="1">
      <c r="C208" s="92" t="s">
        <v>698</v>
      </c>
    </row>
    <row r="209" spans="3:3" ht="15.75" thickBot="1">
      <c r="C209" s="92" t="s">
        <v>699</v>
      </c>
    </row>
    <row r="210" spans="3:3" ht="15.75" thickBot="1">
      <c r="C210" s="92" t="s">
        <v>700</v>
      </c>
    </row>
    <row r="211" spans="3:3" ht="15.75" thickBot="1">
      <c r="C211" s="92" t="s">
        <v>704</v>
      </c>
    </row>
    <row r="212" spans="3:3" ht="15.75" thickBot="1">
      <c r="C212" s="92" t="s">
        <v>706</v>
      </c>
    </row>
    <row r="213" spans="3:3" ht="15.75" thickBot="1">
      <c r="C213" s="92" t="s">
        <v>708</v>
      </c>
    </row>
    <row r="214" spans="3:3" ht="15.75" thickBot="1">
      <c r="C214" s="92" t="s">
        <v>710</v>
      </c>
    </row>
    <row r="215" spans="3:3" ht="15.75" thickBot="1">
      <c r="C215" s="92" t="s">
        <v>712</v>
      </c>
    </row>
    <row r="216" spans="3:3" ht="15.75" thickBot="1">
      <c r="C216" s="92" t="s">
        <v>714</v>
      </c>
    </row>
    <row r="217" spans="3:3" ht="15.75" thickBot="1">
      <c r="C217" s="92" t="s">
        <v>715</v>
      </c>
    </row>
    <row r="218" spans="3:3" ht="15.75" thickBot="1">
      <c r="C218" s="92" t="s">
        <v>717</v>
      </c>
    </row>
    <row r="219" spans="3:3" ht="15.75" thickBot="1">
      <c r="C219" s="92" t="s">
        <v>718</v>
      </c>
    </row>
    <row r="220" spans="3:3" ht="15.75" thickBot="1">
      <c r="C220" s="92" t="s">
        <v>719</v>
      </c>
    </row>
    <row r="221" spans="3:3" ht="15.75" thickBot="1">
      <c r="C221" s="92" t="s">
        <v>720</v>
      </c>
    </row>
    <row r="222" spans="3:3" ht="15.75" thickBot="1">
      <c r="C222" s="92" t="s">
        <v>722</v>
      </c>
    </row>
    <row r="223" spans="3:3" ht="15.75" thickBot="1">
      <c r="C223" s="92" t="s">
        <v>724</v>
      </c>
    </row>
    <row r="224" spans="3:3" ht="15.75" thickBot="1">
      <c r="C224" s="92" t="s">
        <v>726</v>
      </c>
    </row>
    <row r="225" spans="3:3" ht="15.75" thickBot="1">
      <c r="C225" s="92" t="s">
        <v>728</v>
      </c>
    </row>
    <row r="226" spans="3:3" ht="15.75" thickBot="1">
      <c r="C226" s="92" t="s">
        <v>730</v>
      </c>
    </row>
    <row r="227" spans="3:3" ht="15.75" thickBot="1">
      <c r="C227" s="92" t="s">
        <v>732</v>
      </c>
    </row>
    <row r="228" spans="3:3" ht="15.75" thickBot="1">
      <c r="C228" s="92" t="s">
        <v>733</v>
      </c>
    </row>
    <row r="229" spans="3:3" ht="15.75" thickBot="1">
      <c r="C229" s="92" t="s">
        <v>735</v>
      </c>
    </row>
    <row r="230" spans="3:3" ht="15.75" thickBot="1">
      <c r="C230" s="92" t="s">
        <v>737</v>
      </c>
    </row>
    <row r="231" spans="3:3" ht="15.75" thickBot="1">
      <c r="C231" s="92" t="s">
        <v>739</v>
      </c>
    </row>
    <row r="232" spans="3:3" ht="15.75" thickBot="1">
      <c r="C232" s="92" t="s">
        <v>741</v>
      </c>
    </row>
    <row r="233" spans="3:3" ht="15.75" thickBot="1">
      <c r="C233" s="92" t="s">
        <v>743</v>
      </c>
    </row>
    <row r="234" spans="3:3" ht="15.75" thickBot="1">
      <c r="C234" s="92" t="s">
        <v>745</v>
      </c>
    </row>
    <row r="235" spans="3:3" ht="15.75" thickBot="1">
      <c r="C235" s="92" t="s">
        <v>746</v>
      </c>
    </row>
    <row r="236" spans="3:3" ht="15.75" thickBot="1">
      <c r="C236" s="92" t="s">
        <v>748</v>
      </c>
    </row>
    <row r="237" spans="3:3" ht="15.75" thickBot="1">
      <c r="C237" s="92" t="s">
        <v>750</v>
      </c>
    </row>
    <row r="238" spans="3:3" ht="15.75" thickBot="1">
      <c r="C238" s="92" t="s">
        <v>752</v>
      </c>
    </row>
    <row r="239" spans="3:3" ht="15.75" thickBot="1">
      <c r="C239" s="92" t="s">
        <v>754</v>
      </c>
    </row>
    <row r="240" spans="3:3" ht="15.75" thickBot="1">
      <c r="C240" s="92" t="s">
        <v>755</v>
      </c>
    </row>
    <row r="241" spans="3:3" ht="15.75" thickBot="1">
      <c r="C241" s="92" t="s">
        <v>757</v>
      </c>
    </row>
    <row r="242" spans="3:3" ht="15.75" thickBot="1">
      <c r="C242" s="92" t="s">
        <v>759</v>
      </c>
    </row>
    <row r="243" spans="3:3" ht="15.75" thickBot="1">
      <c r="C243" s="92" t="s">
        <v>761</v>
      </c>
    </row>
    <row r="244" spans="3:3" ht="15.75" thickBot="1">
      <c r="C244" s="92" t="s">
        <v>763</v>
      </c>
    </row>
    <row r="245" spans="3:3" ht="15.75" thickBot="1">
      <c r="C245" s="92" t="s">
        <v>764</v>
      </c>
    </row>
    <row r="246" spans="3:3" ht="15.75" thickBot="1">
      <c r="C246" s="92" t="s">
        <v>218</v>
      </c>
    </row>
    <row r="247" spans="3:3" ht="15.75" thickBot="1">
      <c r="C247" s="92" t="s">
        <v>766</v>
      </c>
    </row>
    <row r="248" spans="3:3" ht="15.75" thickBot="1">
      <c r="C248" s="92" t="s">
        <v>768</v>
      </c>
    </row>
    <row r="249" spans="3:3" ht="15.75" thickBot="1">
      <c r="C249" s="92" t="s">
        <v>770</v>
      </c>
    </row>
    <row r="250" spans="3:3" ht="15.75" thickBot="1">
      <c r="C250" s="92" t="s">
        <v>774</v>
      </c>
    </row>
    <row r="251" spans="3:3" ht="15.75" thickBot="1">
      <c r="C251" s="92" t="s">
        <v>776</v>
      </c>
    </row>
    <row r="252" spans="3:3" ht="15.75" thickBot="1">
      <c r="C252" s="92" t="s">
        <v>778</v>
      </c>
    </row>
    <row r="253" spans="3:3" ht="15.75" thickBot="1">
      <c r="C253" s="92" t="s">
        <v>780</v>
      </c>
    </row>
    <row r="254" spans="3:3" ht="15.75" thickBot="1">
      <c r="C254" s="92" t="s">
        <v>781</v>
      </c>
    </row>
    <row r="255" spans="3:3" ht="15.75" thickBot="1">
      <c r="C255" s="92" t="s">
        <v>783</v>
      </c>
    </row>
    <row r="256" spans="3:3" ht="15.75" thickBot="1">
      <c r="C256" s="92" t="s">
        <v>785</v>
      </c>
    </row>
    <row r="257" spans="3:3" ht="15.75" thickBot="1">
      <c r="C257" s="92" t="s">
        <v>787</v>
      </c>
    </row>
    <row r="258" spans="3:3" ht="15.75" thickBot="1">
      <c r="C258" s="92" t="s">
        <v>789</v>
      </c>
    </row>
    <row r="259" spans="3:3" ht="15.75" thickBot="1">
      <c r="C259" s="92" t="s">
        <v>791</v>
      </c>
    </row>
    <row r="260" spans="3:3" ht="15.75" thickBot="1">
      <c r="C260" s="92" t="s">
        <v>793</v>
      </c>
    </row>
    <row r="261" spans="3:3" ht="15.75" thickBot="1">
      <c r="C261" s="92" t="s">
        <v>795</v>
      </c>
    </row>
    <row r="262" spans="3:3" ht="15.75" thickBot="1">
      <c r="C262" s="92" t="s">
        <v>797</v>
      </c>
    </row>
    <row r="263" spans="3:3" ht="15.75" thickBot="1">
      <c r="C263" s="92" t="s">
        <v>799</v>
      </c>
    </row>
    <row r="264" spans="3:3" ht="15.75" thickBot="1">
      <c r="C264" s="92" t="s">
        <v>801</v>
      </c>
    </row>
    <row r="265" spans="3:3" ht="15.75" thickBot="1">
      <c r="C265" s="92" t="s">
        <v>803</v>
      </c>
    </row>
    <row r="266" spans="3:3" ht="15.75" thickBot="1">
      <c r="C266" s="92" t="s">
        <v>805</v>
      </c>
    </row>
    <row r="267" spans="3:3" ht="15.75" thickBot="1">
      <c r="C267" s="92" t="s">
        <v>811</v>
      </c>
    </row>
    <row r="268" spans="3:3" ht="15.75" thickBot="1">
      <c r="C268" s="92" t="s">
        <v>808</v>
      </c>
    </row>
    <row r="269" spans="3:3" ht="15.75" thickBot="1">
      <c r="C269" s="92" t="s">
        <v>810</v>
      </c>
    </row>
    <row r="270" spans="3:3" ht="15.75" thickBot="1">
      <c r="C270" s="92" t="s">
        <v>812</v>
      </c>
    </row>
    <row r="271" spans="3:3" ht="15.75" thickBot="1">
      <c r="C271" s="92" t="s">
        <v>814</v>
      </c>
    </row>
    <row r="272" spans="3:3" ht="15.75" thickBot="1">
      <c r="C272" s="92" t="s">
        <v>818</v>
      </c>
    </row>
    <row r="273" spans="3:3" ht="15.75" thickBot="1">
      <c r="C273" s="92" t="s">
        <v>820</v>
      </c>
    </row>
    <row r="274" spans="3:3" ht="15.75" thickBot="1">
      <c r="C274" s="92" t="s">
        <v>822</v>
      </c>
    </row>
    <row r="275" spans="3:3" ht="15.75" thickBot="1">
      <c r="C275" s="92" t="s">
        <v>824</v>
      </c>
    </row>
    <row r="276" spans="3:3" ht="15.75" thickBot="1">
      <c r="C276" s="92" t="s">
        <v>826</v>
      </c>
    </row>
    <row r="277" spans="3:3" ht="15.75" thickBot="1">
      <c r="C277" s="92" t="s">
        <v>249</v>
      </c>
    </row>
    <row r="278" spans="3:3" ht="15.75" thickBot="1">
      <c r="C278" s="92" t="s">
        <v>828</v>
      </c>
    </row>
    <row r="279" spans="3:3" ht="15.75" thickBot="1">
      <c r="C279" s="92" t="s">
        <v>226</v>
      </c>
    </row>
    <row r="280" spans="3:3" ht="15.75" thickBot="1">
      <c r="C280" s="92" t="s">
        <v>830</v>
      </c>
    </row>
    <row r="281" spans="3:3" ht="15.75" thickBot="1">
      <c r="C281" s="92" t="s">
        <v>816</v>
      </c>
    </row>
    <row r="282" spans="3:3" ht="15.75" thickBot="1">
      <c r="C282" s="92" t="s">
        <v>702</v>
      </c>
    </row>
    <row r="283" spans="3:3" ht="15.75" thickBot="1">
      <c r="C283" s="92" t="s">
        <v>177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C5496-AAC1-4D34-90F4-DF4CA15FBF05}">
  <dimension ref="A1:L34"/>
  <sheetViews>
    <sheetView showGridLines="0" workbookViewId="0">
      <selection activeCell="C25" sqref="C25"/>
    </sheetView>
  </sheetViews>
  <sheetFormatPr baseColWidth="10" defaultColWidth="11.42578125" defaultRowHeight="15"/>
  <cols>
    <col min="3" max="3" width="22.42578125" customWidth="1"/>
    <col min="4" max="4" width="5.7109375" customWidth="1"/>
    <col min="7" max="7" width="18.28515625" customWidth="1"/>
    <col min="8" max="8" width="4.42578125" customWidth="1"/>
    <col min="9" max="9" width="13.42578125" customWidth="1"/>
    <col min="10" max="10" width="16.42578125" customWidth="1"/>
  </cols>
  <sheetData>
    <row r="1" spans="1:11">
      <c r="A1" t="s">
        <v>853</v>
      </c>
      <c r="I1" s="121" t="s">
        <v>854</v>
      </c>
      <c r="J1" s="121" t="s">
        <v>855</v>
      </c>
    </row>
    <row r="2" spans="1:11">
      <c r="A2">
        <f>4100/22/850</f>
        <v>0.21925133689839574</v>
      </c>
      <c r="C2" s="10" t="s">
        <v>856</v>
      </c>
      <c r="D2" s="10" t="s">
        <v>163</v>
      </c>
      <c r="E2" s="10" t="s">
        <v>468</v>
      </c>
      <c r="F2" s="10" t="s">
        <v>76</v>
      </c>
      <c r="G2" s="10" t="s">
        <v>857</v>
      </c>
      <c r="I2" s="123" t="s">
        <v>656</v>
      </c>
      <c r="J2" s="123">
        <v>7.76</v>
      </c>
      <c r="K2" s="440" t="s">
        <v>858</v>
      </c>
    </row>
    <row r="3" spans="1:11">
      <c r="C3" s="114" t="s">
        <v>261</v>
      </c>
      <c r="D3" s="114">
        <v>4.43</v>
      </c>
      <c r="E3" s="125">
        <f>4100/22/850+D3</f>
        <v>4.6492513368983959</v>
      </c>
      <c r="F3" s="125">
        <v>1.55</v>
      </c>
      <c r="G3" s="125">
        <f>+F3*E3</f>
        <v>7.2063395721925136</v>
      </c>
      <c r="I3" s="122" t="s">
        <v>657</v>
      </c>
      <c r="J3" s="122">
        <v>7.76</v>
      </c>
      <c r="K3" s="440"/>
    </row>
    <row r="4" spans="1:11">
      <c r="C4" s="126" t="s">
        <v>242</v>
      </c>
      <c r="D4" s="126">
        <v>3.88</v>
      </c>
      <c r="E4" s="127">
        <f>4100/22/850+D4</f>
        <v>4.099251336898396</v>
      </c>
      <c r="F4" s="127">
        <v>1.55</v>
      </c>
      <c r="G4" s="127">
        <f>+F4*E4</f>
        <v>6.3538395721925145</v>
      </c>
      <c r="I4" s="122" t="s">
        <v>670</v>
      </c>
      <c r="J4" s="122">
        <v>7.5</v>
      </c>
      <c r="K4" s="440"/>
    </row>
    <row r="5" spans="1:11">
      <c r="C5" s="126" t="s">
        <v>183</v>
      </c>
      <c r="D5" s="126">
        <v>3.81</v>
      </c>
      <c r="E5" s="127">
        <f>4100/22/850+D5</f>
        <v>4.0292513368983958</v>
      </c>
      <c r="F5" s="127">
        <v>1.55</v>
      </c>
      <c r="G5" s="127">
        <f>+F5*E5</f>
        <v>6.2453395721925133</v>
      </c>
      <c r="I5" s="122" t="s">
        <v>671</v>
      </c>
      <c r="J5" s="122">
        <v>7.5</v>
      </c>
      <c r="K5" s="440"/>
    </row>
    <row r="6" spans="1:11">
      <c r="F6">
        <f>+G6/E3</f>
        <v>1.5378820119391312</v>
      </c>
      <c r="G6">
        <v>7.15</v>
      </c>
      <c r="I6" s="122" t="s">
        <v>675</v>
      </c>
      <c r="J6" s="122">
        <v>7.3</v>
      </c>
      <c r="K6" s="440"/>
    </row>
    <row r="7" spans="1:11">
      <c r="I7" s="122" t="s">
        <v>676</v>
      </c>
      <c r="J7" s="122">
        <v>7.3</v>
      </c>
      <c r="K7" s="440"/>
    </row>
    <row r="8" spans="1:11">
      <c r="C8" s="10" t="s">
        <v>859</v>
      </c>
      <c r="D8" s="10" t="s">
        <v>163</v>
      </c>
      <c r="E8" s="10" t="s">
        <v>468</v>
      </c>
      <c r="F8" s="10" t="s">
        <v>76</v>
      </c>
      <c r="G8" s="10" t="s">
        <v>857</v>
      </c>
      <c r="I8" s="122" t="s">
        <v>260</v>
      </c>
      <c r="J8" s="122">
        <v>7.22</v>
      </c>
      <c r="K8" s="440"/>
    </row>
    <row r="9" spans="1:11">
      <c r="C9" s="20" t="s">
        <v>473</v>
      </c>
      <c r="D9" s="20">
        <v>2.82</v>
      </c>
      <c r="E9" s="135">
        <f>+D9+$A$2</f>
        <v>3.0392513368983956</v>
      </c>
      <c r="F9" s="135">
        <v>1.55</v>
      </c>
      <c r="G9" s="135">
        <f>+F9*E9</f>
        <v>4.7108395721925129</v>
      </c>
      <c r="I9" s="122" t="s">
        <v>650</v>
      </c>
      <c r="J9" s="122">
        <v>7.22</v>
      </c>
      <c r="K9" s="440"/>
    </row>
    <row r="10" spans="1:11">
      <c r="C10" s="20" t="s">
        <v>199</v>
      </c>
      <c r="D10" s="20">
        <v>2.2999999999999998</v>
      </c>
      <c r="E10" s="135">
        <f>+D10+$A$2</f>
        <v>2.5192513368983955</v>
      </c>
      <c r="F10" s="135">
        <v>1.55</v>
      </c>
      <c r="G10" s="135">
        <f>+F10*E10</f>
        <v>3.9048395721925133</v>
      </c>
      <c r="I10" s="122" t="s">
        <v>654</v>
      </c>
      <c r="J10" s="122">
        <v>7.16</v>
      </c>
      <c r="K10" s="440"/>
    </row>
    <row r="11" spans="1:11">
      <c r="C11" s="20" t="s">
        <v>220</v>
      </c>
      <c r="D11" s="20">
        <v>0.62</v>
      </c>
      <c r="E11" s="135">
        <f>+D11+$A$2</f>
        <v>0.83925133689839571</v>
      </c>
      <c r="F11" s="135">
        <v>1.55</v>
      </c>
      <c r="G11" s="135">
        <f>+F11*E11</f>
        <v>1.3008395721925134</v>
      </c>
      <c r="I11" s="122" t="s">
        <v>655</v>
      </c>
      <c r="J11" s="122">
        <v>7.16</v>
      </c>
      <c r="K11" s="440"/>
    </row>
    <row r="12" spans="1:11">
      <c r="I12" s="122" t="s">
        <v>660</v>
      </c>
      <c r="J12" s="122">
        <v>7.16</v>
      </c>
      <c r="K12" s="440"/>
    </row>
    <row r="13" spans="1:11">
      <c r="I13" s="122" t="s">
        <v>661</v>
      </c>
      <c r="J13" s="122">
        <v>7.16</v>
      </c>
      <c r="K13" s="440"/>
    </row>
    <row r="14" spans="1:11">
      <c r="I14" s="122" t="s">
        <v>651</v>
      </c>
      <c r="J14" s="122">
        <v>7.15</v>
      </c>
      <c r="K14" s="440"/>
    </row>
    <row r="15" spans="1:11">
      <c r="I15" s="122" t="s">
        <v>652</v>
      </c>
      <c r="J15" s="122">
        <v>7.15</v>
      </c>
      <c r="K15" s="440"/>
    </row>
    <row r="16" spans="1:11">
      <c r="I16" s="124" t="s">
        <v>673</v>
      </c>
      <c r="J16" s="124">
        <v>6.93</v>
      </c>
      <c r="K16" s="441" t="s">
        <v>860</v>
      </c>
    </row>
    <row r="17" spans="9:11">
      <c r="I17" s="124" t="s">
        <v>674</v>
      </c>
      <c r="J17" s="124">
        <v>6.93</v>
      </c>
      <c r="K17" s="442"/>
    </row>
    <row r="18" spans="9:11">
      <c r="I18" s="124" t="s">
        <v>182</v>
      </c>
      <c r="J18" s="124">
        <v>6.82</v>
      </c>
      <c r="K18" s="442"/>
    </row>
    <row r="19" spans="9:11">
      <c r="I19" s="124" t="s">
        <v>669</v>
      </c>
      <c r="J19" s="124">
        <v>6.82</v>
      </c>
      <c r="K19" s="442"/>
    </row>
    <row r="20" spans="9:11">
      <c r="I20" s="124" t="s">
        <v>303</v>
      </c>
      <c r="J20" s="124">
        <v>6.62</v>
      </c>
      <c r="K20" s="442"/>
    </row>
    <row r="21" spans="9:11">
      <c r="I21" s="124" t="s">
        <v>672</v>
      </c>
      <c r="J21" s="124">
        <v>6.62</v>
      </c>
      <c r="K21" s="442"/>
    </row>
    <row r="22" spans="9:11">
      <c r="I22" s="124" t="s">
        <v>241</v>
      </c>
      <c r="J22" s="124">
        <v>6.61</v>
      </c>
      <c r="K22" s="442"/>
    </row>
    <row r="23" spans="9:11">
      <c r="I23" s="124" t="s">
        <v>653</v>
      </c>
      <c r="J23" s="124">
        <v>6.61</v>
      </c>
      <c r="K23" s="442"/>
    </row>
    <row r="24" spans="9:11">
      <c r="I24" s="124" t="s">
        <v>664</v>
      </c>
      <c r="J24" s="124">
        <v>6.39</v>
      </c>
      <c r="K24" s="442"/>
    </row>
    <row r="25" spans="9:11">
      <c r="I25" s="124" t="s">
        <v>665</v>
      </c>
      <c r="J25" s="124">
        <v>6.39</v>
      </c>
      <c r="K25" s="442"/>
    </row>
    <row r="26" spans="9:11">
      <c r="I26" s="124" t="s">
        <v>658</v>
      </c>
      <c r="J26" s="124">
        <v>6.26</v>
      </c>
      <c r="K26" s="442"/>
    </row>
    <row r="27" spans="9:11">
      <c r="I27" s="124" t="s">
        <v>659</v>
      </c>
      <c r="J27" s="124">
        <v>6.26</v>
      </c>
      <c r="K27" s="443"/>
    </row>
    <row r="28" spans="9:11">
      <c r="I28" s="120" t="s">
        <v>666</v>
      </c>
      <c r="J28" s="120">
        <v>5.85</v>
      </c>
    </row>
    <row r="29" spans="9:11">
      <c r="I29" s="119" t="s">
        <v>262</v>
      </c>
      <c r="J29" s="119">
        <v>5.85</v>
      </c>
    </row>
    <row r="30" spans="9:11">
      <c r="I30" s="119" t="s">
        <v>662</v>
      </c>
      <c r="J30" s="119">
        <v>5.0199999999999996</v>
      </c>
    </row>
    <row r="31" spans="9:11">
      <c r="I31" s="119" t="s">
        <v>663</v>
      </c>
      <c r="J31" s="119">
        <v>5.0199999999999996</v>
      </c>
    </row>
    <row r="32" spans="9:11">
      <c r="I32" s="119" t="s">
        <v>667</v>
      </c>
      <c r="J32" s="119">
        <v>5</v>
      </c>
    </row>
    <row r="33" spans="9:12">
      <c r="I33" s="119" t="s">
        <v>668</v>
      </c>
      <c r="J33" s="119">
        <v>5</v>
      </c>
    </row>
    <row r="34" spans="9:12">
      <c r="I34" s="119" t="s">
        <v>177</v>
      </c>
      <c r="J34" s="119">
        <v>3.25</v>
      </c>
      <c r="L34">
        <f>(J34+J10)/2</f>
        <v>5.2050000000000001</v>
      </c>
    </row>
  </sheetData>
  <autoFilter ref="I1:J34" xr:uid="{A87C5496-AAC1-4D34-90F4-DF4CA15FBF05}">
    <sortState xmlns:xlrd2="http://schemas.microsoft.com/office/spreadsheetml/2017/richdata2" ref="I2:J34">
      <sortCondition descending="1" ref="J1:J34"/>
    </sortState>
  </autoFilter>
  <mergeCells count="2">
    <mergeCell ref="K2:K15"/>
    <mergeCell ref="K16:K2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AC34-4796-4515-8551-396CF0D50BD2}">
  <dimension ref="A1:H40"/>
  <sheetViews>
    <sheetView workbookViewId="0">
      <selection activeCell="F31" sqref="F31"/>
    </sheetView>
  </sheetViews>
  <sheetFormatPr baseColWidth="10" defaultColWidth="11.42578125" defaultRowHeight="15"/>
  <cols>
    <col min="1" max="1" width="37.28515625" bestFit="1" customWidth="1"/>
    <col min="2" max="2" width="25.5703125" bestFit="1" customWidth="1"/>
    <col min="4" max="4" width="12.5703125" bestFit="1" customWidth="1"/>
    <col min="8" max="8" width="16" customWidth="1"/>
  </cols>
  <sheetData>
    <row r="1" spans="1:8" ht="15.75" thickBot="1">
      <c r="A1" s="23" t="s">
        <v>861</v>
      </c>
      <c r="B1" s="23" t="s">
        <v>862</v>
      </c>
      <c r="C1" s="23" t="s">
        <v>863</v>
      </c>
    </row>
    <row r="2" spans="1:8" ht="15.75" thickBot="1">
      <c r="A2" s="24" t="s">
        <v>864</v>
      </c>
      <c r="B2" s="25" t="s">
        <v>865</v>
      </c>
      <c r="C2" s="26">
        <v>0.6</v>
      </c>
      <c r="G2" s="58" t="s">
        <v>866</v>
      </c>
      <c r="H2" s="58" t="s">
        <v>867</v>
      </c>
    </row>
    <row r="3" spans="1:8" ht="15.75" thickBot="1">
      <c r="A3" s="27" t="s">
        <v>868</v>
      </c>
      <c r="B3" s="28" t="s">
        <v>869</v>
      </c>
      <c r="C3" s="29">
        <v>0.1</v>
      </c>
      <c r="G3" s="59">
        <v>44927</v>
      </c>
      <c r="H3" s="60">
        <v>570849.64963223436</v>
      </c>
    </row>
    <row r="4" spans="1:8" ht="15.75" thickBot="1">
      <c r="A4" s="27" t="s">
        <v>870</v>
      </c>
      <c r="B4" s="28" t="s">
        <v>871</v>
      </c>
      <c r="C4" s="29">
        <v>0.3</v>
      </c>
      <c r="G4" s="59">
        <v>44958</v>
      </c>
      <c r="H4" s="60">
        <v>570849.64963223436</v>
      </c>
    </row>
    <row r="5" spans="1:8">
      <c r="A5" s="30"/>
      <c r="B5" s="30"/>
      <c r="C5" s="31">
        <v>1</v>
      </c>
      <c r="G5" s="59">
        <v>44986</v>
      </c>
      <c r="H5" s="60">
        <v>651685.33424747386</v>
      </c>
    </row>
    <row r="6" spans="1:8">
      <c r="A6" s="32" t="s">
        <v>872</v>
      </c>
      <c r="B6" s="30"/>
      <c r="C6" s="30"/>
      <c r="G6" s="59">
        <v>45017</v>
      </c>
      <c r="H6" s="60">
        <v>659619.18646035274</v>
      </c>
    </row>
    <row r="7" spans="1:8">
      <c r="G7" s="59">
        <v>45047</v>
      </c>
      <c r="H7" s="60">
        <v>722553.74866520741</v>
      </c>
    </row>
    <row r="8" spans="1:8">
      <c r="A8" s="33" t="s">
        <v>864</v>
      </c>
      <c r="B8" s="33" t="s">
        <v>873</v>
      </c>
      <c r="C8" s="33" t="s">
        <v>874</v>
      </c>
      <c r="D8" s="33" t="s">
        <v>875</v>
      </c>
      <c r="G8" s="59">
        <v>45078</v>
      </c>
      <c r="H8" s="60">
        <v>802652.28238047718</v>
      </c>
    </row>
    <row r="9" spans="1:8">
      <c r="A9" s="34">
        <v>45200</v>
      </c>
      <c r="B9" s="35">
        <f>H12/$H$12</f>
        <v>1</v>
      </c>
      <c r="C9" s="36">
        <v>0</v>
      </c>
      <c r="D9" s="2"/>
      <c r="G9" s="59">
        <v>45108</v>
      </c>
      <c r="H9" s="60">
        <v>881737.22144349059</v>
      </c>
    </row>
    <row r="10" spans="1:8">
      <c r="A10" s="34">
        <v>45231</v>
      </c>
      <c r="B10" s="35">
        <f t="shared" ref="B10:B14" si="0">H13/$H$12</f>
        <v>1.1210844142963567</v>
      </c>
      <c r="C10" s="37">
        <f>+B10/B9-1</f>
        <v>0.12108441429635675</v>
      </c>
      <c r="D10" s="2"/>
      <c r="G10" s="59">
        <v>45139</v>
      </c>
      <c r="H10" s="60">
        <v>938950.45981154044</v>
      </c>
    </row>
    <row r="11" spans="1:8">
      <c r="A11" s="34">
        <v>45261</v>
      </c>
      <c r="B11" s="35">
        <f t="shared" si="0"/>
        <v>1.2128150311875359</v>
      </c>
      <c r="C11" s="37">
        <f t="shared" ref="C11:C13" si="1">+B11/B10-1</f>
        <v>8.1823113158480121E-2</v>
      </c>
      <c r="D11" s="38">
        <f>(B11-B9)/B9</f>
        <v>0.21281503118753586</v>
      </c>
      <c r="G11" s="59">
        <v>45170</v>
      </c>
      <c r="H11" s="60">
        <v>983484.26274223847</v>
      </c>
    </row>
    <row r="12" spans="1:8">
      <c r="A12" s="34">
        <v>45292</v>
      </c>
      <c r="B12" s="35">
        <f t="shared" si="0"/>
        <v>1.5068048439858561</v>
      </c>
      <c r="C12" s="37">
        <f t="shared" si="1"/>
        <v>0.24240284399382661</v>
      </c>
      <c r="D12" s="38">
        <f t="shared" ref="D12:D13" si="2">(B12-B10)/B10</f>
        <v>0.34406011248635093</v>
      </c>
      <c r="G12" s="59">
        <v>45200</v>
      </c>
      <c r="H12" s="60">
        <v>1093522.7163854612</v>
      </c>
    </row>
    <row r="13" spans="1:8">
      <c r="A13" s="34">
        <v>45323</v>
      </c>
      <c r="B13" s="35">
        <f t="shared" si="0"/>
        <v>1.7830450445667219</v>
      </c>
      <c r="C13" s="37">
        <f t="shared" si="1"/>
        <v>0.18332845270801279</v>
      </c>
      <c r="D13" s="38">
        <f t="shared" si="2"/>
        <v>0.47017063502324957</v>
      </c>
      <c r="G13" s="59">
        <v>45231</v>
      </c>
      <c r="H13" s="60">
        <v>1225931.2740187556</v>
      </c>
    </row>
    <row r="14" spans="1:8">
      <c r="A14" s="34">
        <v>45352</v>
      </c>
      <c r="B14" s="35">
        <f t="shared" si="0"/>
        <v>1.8354625399331099</v>
      </c>
      <c r="C14" s="37">
        <f>+B14/B13-1</f>
        <v>2.9397740413857898E-2</v>
      </c>
      <c r="D14" s="68">
        <f>(B14-B11)/B11</f>
        <v>0.51339032971573961</v>
      </c>
      <c r="G14" s="59">
        <v>45261</v>
      </c>
      <c r="H14" s="60">
        <v>1326240.7873773121</v>
      </c>
    </row>
    <row r="15" spans="1:8">
      <c r="G15" s="59">
        <v>45292</v>
      </c>
      <c r="H15" s="60">
        <v>1647725.3260581845</v>
      </c>
    </row>
    <row r="16" spans="1:8">
      <c r="A16" s="33" t="s">
        <v>876</v>
      </c>
      <c r="B16" s="33" t="s">
        <v>877</v>
      </c>
      <c r="C16" s="33" t="s">
        <v>874</v>
      </c>
      <c r="D16" s="33" t="s">
        <v>875</v>
      </c>
      <c r="G16" s="59">
        <v>45323</v>
      </c>
      <c r="H16" s="60">
        <v>1949800.2605722374</v>
      </c>
    </row>
    <row r="17" spans="1:8">
      <c r="A17" s="34">
        <v>45200</v>
      </c>
      <c r="B17" s="39">
        <v>293</v>
      </c>
      <c r="C17" s="36">
        <v>0</v>
      </c>
      <c r="D17" s="2"/>
      <c r="G17" s="59">
        <v>45352</v>
      </c>
      <c r="H17" s="60">
        <v>2007119.9824914124</v>
      </c>
    </row>
    <row r="18" spans="1:8">
      <c r="A18" s="34">
        <v>45231</v>
      </c>
      <c r="B18" s="39">
        <v>293</v>
      </c>
      <c r="C18" s="36">
        <v>0</v>
      </c>
      <c r="D18" s="2"/>
    </row>
    <row r="19" spans="1:8">
      <c r="A19" s="34">
        <v>45261</v>
      </c>
      <c r="B19" s="39">
        <v>302</v>
      </c>
      <c r="C19" s="40">
        <f>(B19-B18)/B18</f>
        <v>3.0716723549488054E-2</v>
      </c>
      <c r="D19" s="41">
        <f>C19</f>
        <v>3.0716723549488054E-2</v>
      </c>
    </row>
    <row r="20" spans="1:8">
      <c r="A20" s="34">
        <v>45292</v>
      </c>
      <c r="B20" s="39">
        <v>372</v>
      </c>
      <c r="C20" s="40">
        <f>(B20-B19)/B19</f>
        <v>0.23178807947019867</v>
      </c>
      <c r="D20" s="69">
        <f>C20</f>
        <v>0.23178807947019867</v>
      </c>
    </row>
    <row r="21" spans="1:8">
      <c r="A21" s="56"/>
      <c r="B21" s="61"/>
      <c r="C21" s="62"/>
      <c r="D21" s="63"/>
    </row>
    <row r="22" spans="1:8">
      <c r="A22" s="7"/>
      <c r="B22" s="7"/>
      <c r="C22" s="7"/>
      <c r="G22" s="66">
        <v>0.17952744770779305</v>
      </c>
    </row>
    <row r="23" spans="1:8">
      <c r="A23" s="33" t="s">
        <v>878</v>
      </c>
      <c r="B23" s="33" t="s">
        <v>877</v>
      </c>
      <c r="C23" s="33" t="s">
        <v>874</v>
      </c>
      <c r="D23" s="33" t="s">
        <v>875</v>
      </c>
    </row>
    <row r="24" spans="1:8">
      <c r="A24" s="34">
        <v>45200</v>
      </c>
      <c r="B24" s="35">
        <v>100</v>
      </c>
      <c r="C24" s="42">
        <v>0</v>
      </c>
      <c r="D24" s="2"/>
    </row>
    <row r="25" spans="1:8">
      <c r="A25" s="34">
        <v>45231</v>
      </c>
      <c r="B25" s="35">
        <f>B24*(1+C25)</f>
        <v>109.2</v>
      </c>
      <c r="C25" s="42">
        <v>9.1999999999999998E-2</v>
      </c>
      <c r="D25" s="2"/>
    </row>
    <row r="26" spans="1:8">
      <c r="A26" s="34">
        <v>45261</v>
      </c>
      <c r="B26" s="35">
        <f>B25*(1+C26)</f>
        <v>117.49920000000002</v>
      </c>
      <c r="C26" s="42">
        <v>7.5999999999999998E-2</v>
      </c>
      <c r="D26" s="43">
        <f>(B26-B24)/B24</f>
        <v>0.17499200000000015</v>
      </c>
    </row>
    <row r="27" spans="1:8">
      <c r="A27" s="34">
        <v>45292</v>
      </c>
      <c r="B27" s="35">
        <f>B26*(1+C27)</f>
        <v>138.59353148370752</v>
      </c>
      <c r="C27" s="67">
        <v>0.179527447707793</v>
      </c>
      <c r="D27" s="70">
        <f>(B27-B26)/B26</f>
        <v>0.17952744770779294</v>
      </c>
    </row>
    <row r="28" spans="1:8">
      <c r="A28" s="56"/>
      <c r="B28" s="57"/>
      <c r="C28" s="64"/>
      <c r="D28" s="65"/>
    </row>
    <row r="30" spans="1:8">
      <c r="A30" s="44" t="s">
        <v>879</v>
      </c>
      <c r="B30" s="41">
        <f>C2*D14+C3*D20+C4*D27</f>
        <v>0.3850712400888015</v>
      </c>
    </row>
    <row r="33" spans="1:4" ht="15.75" thickBot="1">
      <c r="A33" s="45" t="s">
        <v>880</v>
      </c>
    </row>
    <row r="34" spans="1:4" ht="15.75" thickBot="1">
      <c r="A34" s="46"/>
      <c r="B34" s="47"/>
      <c r="C34" s="48">
        <v>45200</v>
      </c>
      <c r="D34" s="48">
        <v>45261</v>
      </c>
    </row>
    <row r="35" spans="1:4" ht="30.75" thickBot="1">
      <c r="A35" s="49" t="s">
        <v>881</v>
      </c>
      <c r="B35" s="50">
        <v>0.1</v>
      </c>
      <c r="C35" s="51">
        <v>1</v>
      </c>
      <c r="D35" s="51" t="s">
        <v>882</v>
      </c>
    </row>
    <row r="36" spans="1:4" ht="15.75" thickBot="1">
      <c r="A36" s="49" t="s">
        <v>883</v>
      </c>
      <c r="B36" s="50">
        <v>0.45</v>
      </c>
      <c r="C36" s="51">
        <v>1</v>
      </c>
      <c r="D36" s="52">
        <f>D11</f>
        <v>0.21281503118753586</v>
      </c>
    </row>
    <row r="37" spans="1:4" ht="15.75" thickBot="1">
      <c r="A37" s="49" t="s">
        <v>884</v>
      </c>
      <c r="B37" s="50">
        <v>0.05</v>
      </c>
      <c r="C37" s="51">
        <v>1</v>
      </c>
      <c r="D37" s="52">
        <f>D19</f>
        <v>3.0716723549488054E-2</v>
      </c>
    </row>
    <row r="38" spans="1:4" ht="15.75" thickBot="1">
      <c r="A38" s="49" t="s">
        <v>885</v>
      </c>
      <c r="B38" s="50">
        <v>0.4</v>
      </c>
      <c r="C38" s="51">
        <v>1</v>
      </c>
      <c r="D38" s="52">
        <f>D26</f>
        <v>0.17499200000000015</v>
      </c>
    </row>
    <row r="39" spans="1:4">
      <c r="A39" s="53"/>
      <c r="B39" s="53"/>
      <c r="C39" s="53"/>
      <c r="D39" s="53"/>
    </row>
    <row r="40" spans="1:4">
      <c r="A40" s="54" t="s">
        <v>886</v>
      </c>
      <c r="B40" s="53"/>
      <c r="C40" s="53"/>
      <c r="D40" s="55">
        <f>1.1*(B36*D36+B37*D37+B38*D38)</f>
        <v>0.1840293402330522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53CD5-6C62-49FB-8E65-11489E4104C7}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5B63-5AE7-41CE-BA4F-6324E34445AB}">
  <dimension ref="B1:U36"/>
  <sheetViews>
    <sheetView showGridLines="0" tabSelected="1" zoomScale="80" zoomScaleNormal="80" workbookViewId="0">
      <pane xSplit="3" ySplit="1" topLeftCell="D14" activePane="bottomRight" state="frozen"/>
      <selection pane="topRight" activeCell="D1" sqref="D1"/>
      <selection pane="bottomLeft" activeCell="A2" sqref="A2"/>
      <selection pane="bottomRight" activeCell="I29" sqref="I29:P29"/>
    </sheetView>
  </sheetViews>
  <sheetFormatPr baseColWidth="10" defaultColWidth="11.42578125" defaultRowHeight="18"/>
  <cols>
    <col min="1" max="1" width="1.42578125" style="150" customWidth="1"/>
    <col min="2" max="2" width="13.42578125" style="150" customWidth="1"/>
    <col min="3" max="3" width="23.5703125" style="150" customWidth="1"/>
    <col min="4" max="4" width="2.42578125" style="150" customWidth="1"/>
    <col min="5" max="5" width="20" style="150" customWidth="1"/>
    <col min="6" max="6" width="13.85546875" style="150" customWidth="1"/>
    <col min="7" max="7" width="10.85546875" style="150" customWidth="1"/>
    <col min="8" max="8" width="28" style="150" customWidth="1"/>
    <col min="9" max="9" width="15.5703125" style="150" customWidth="1"/>
    <col min="10" max="10" width="15" style="150" customWidth="1"/>
    <col min="11" max="11" width="20.85546875" style="150" customWidth="1"/>
    <col min="12" max="12" width="22.42578125" style="150" customWidth="1"/>
    <col min="13" max="13" width="16.42578125" style="150" customWidth="1"/>
    <col min="14" max="14" width="20.85546875" style="150" customWidth="1"/>
    <col min="15" max="15" width="15.5703125" style="150" customWidth="1"/>
    <col min="16" max="16" width="24.7109375" style="150" customWidth="1"/>
    <col min="17" max="17" width="22.42578125" style="150" customWidth="1"/>
    <col min="18" max="18" width="12.140625" style="150" customWidth="1"/>
    <col min="19" max="19" width="2.42578125" style="150" customWidth="1"/>
    <col min="20" max="20" width="20.85546875" style="150" customWidth="1"/>
    <col min="21" max="21" width="15.5703125" style="150" customWidth="1"/>
    <col min="22" max="16384" width="11.42578125" style="150"/>
  </cols>
  <sheetData>
    <row r="1" spans="2:21" ht="8.25" customHeight="1"/>
    <row r="2" spans="2:21">
      <c r="B2" s="149" t="s">
        <v>61</v>
      </c>
      <c r="C2" s="149">
        <v>848.5</v>
      </c>
      <c r="E2" s="222" t="s">
        <v>62</v>
      </c>
    </row>
    <row r="3" spans="2:21" ht="11.25" customHeight="1"/>
    <row r="4" spans="2:21">
      <c r="B4" s="395" t="s">
        <v>63</v>
      </c>
      <c r="C4" s="395" t="s">
        <v>64</v>
      </c>
      <c r="D4" s="223"/>
      <c r="E4" s="394" t="s">
        <v>65</v>
      </c>
      <c r="F4" s="386"/>
      <c r="H4" s="386" t="s">
        <v>66</v>
      </c>
      <c r="I4" s="386"/>
      <c r="K4" s="386" t="s">
        <v>67</v>
      </c>
      <c r="L4" s="386"/>
      <c r="N4" s="386" t="s">
        <v>68</v>
      </c>
      <c r="O4" s="386"/>
      <c r="Q4" s="386" t="s">
        <v>69</v>
      </c>
      <c r="R4" s="386"/>
      <c r="T4" s="386" t="s">
        <v>70</v>
      </c>
      <c r="U4" s="386"/>
    </row>
    <row r="5" spans="2:21">
      <c r="B5" s="395"/>
      <c r="C5" s="395"/>
      <c r="D5" s="223"/>
      <c r="E5" s="168" t="s">
        <v>71</v>
      </c>
      <c r="F5" s="169" t="s">
        <v>72</v>
      </c>
      <c r="H5" s="170" t="s">
        <v>71</v>
      </c>
      <c r="I5" s="170" t="s">
        <v>72</v>
      </c>
      <c r="K5" s="170" t="s">
        <v>71</v>
      </c>
      <c r="L5" s="170" t="s">
        <v>72</v>
      </c>
      <c r="N5" s="170" t="s">
        <v>71</v>
      </c>
      <c r="O5" s="170" t="s">
        <v>72</v>
      </c>
      <c r="Q5" s="170" t="s">
        <v>71</v>
      </c>
      <c r="R5" s="170" t="s">
        <v>72</v>
      </c>
      <c r="T5" s="170" t="s">
        <v>71</v>
      </c>
      <c r="U5" s="170" t="s">
        <v>72</v>
      </c>
    </row>
    <row r="6" spans="2:21">
      <c r="B6" s="387" t="s">
        <v>73</v>
      </c>
      <c r="C6" s="167" t="s">
        <v>74</v>
      </c>
      <c r="E6" s="231">
        <f>+SUMPRODUCT('PUNTOS DE INYECCIÓN'!D60:D90,'PUNTOS DE INYECCIÓN'!S60:S90)</f>
        <v>317319.38308766583</v>
      </c>
      <c r="F6" s="149"/>
      <c r="H6" s="233">
        <f>+SUMPRODUCT('PUNTOS DE INYECCIÓN'!D33:D54,'PUNTOS DE INYECCIÓN'!S33:S54)</f>
        <v>140481.15562759904</v>
      </c>
      <c r="I6" s="233"/>
      <c r="K6" s="233">
        <f>+SUMPRODUCT('PUNTOS DE INYECCIÓN'!D106:D120,'PUNTOS DE INYECCIÓN'!S106:S120)</f>
        <v>163865.88882329175</v>
      </c>
      <c r="L6" s="233"/>
      <c r="N6" s="233">
        <f>+SUMPRODUCT('PUNTOS DE INYECCIÓN'!D5:D28,'PUNTOS DE INYECCIÓN'!S5:S28)</f>
        <v>233615.02877035033</v>
      </c>
      <c r="O6" s="233"/>
      <c r="Q6" s="233">
        <f>+SUMPRODUCT('PUNTOS DE INYECCIÓN'!D94:D102,'PUNTOS DE INYECCIÓN'!S94:S102)</f>
        <v>33389.365452309932</v>
      </c>
      <c r="R6" s="233"/>
      <c r="T6" s="233">
        <f>E6+H6+K6+N6+Q6</f>
        <v>888670.82176121685</v>
      </c>
      <c r="U6" s="233"/>
    </row>
    <row r="7" spans="2:21">
      <c r="B7" s="388"/>
      <c r="C7" s="152" t="s">
        <v>75</v>
      </c>
      <c r="E7" s="232">
        <f>+SUMPRODUCT('PUNTOS DE INYECCIÓN'!D60:D90,'PUNTOS DE INYECCIÓN'!R60:R90)*(1-E24)</f>
        <v>504734.89420000004</v>
      </c>
      <c r="F7" s="172">
        <f>+SUMPRODUCT('PUNTOS DE INYECCIÓN'!E60:E90,'PUNTOS DE INYECCIÓN'!N60:N90)</f>
        <v>595139.47560000001</v>
      </c>
      <c r="H7" s="232">
        <f>'PUNTOS DE INYECCIÓN'!T55*(1-E24)</f>
        <v>220737.74</v>
      </c>
      <c r="I7" s="172">
        <f>'PUNTOS DE INYECCIÓN'!O55</f>
        <v>305704.64</v>
      </c>
      <c r="K7" s="232">
        <f>'PUNTOS DE INYECCIÓN'!T121*(1-E24)</f>
        <v>262654.12</v>
      </c>
      <c r="L7" s="172">
        <f>'PUNTOS DE INYECCIÓN'!O121</f>
        <v>380090.56000000006</v>
      </c>
      <c r="N7" s="232">
        <f>'PUNTOS DE INYECCIÓN'!T30*(1-E24)</f>
        <v>376009.88</v>
      </c>
      <c r="O7" s="172">
        <f>'PUNTOS DE INYECCIÓN'!O30</f>
        <v>439521.07</v>
      </c>
      <c r="Q7" s="232">
        <f>'PUNTOS DE INYECCIÓN'!T103*(1-E24)</f>
        <v>54929.569999999992</v>
      </c>
      <c r="R7" s="172">
        <f>'PUNTOS DE INYECCIÓN'!O103</f>
        <v>61923.140000000007</v>
      </c>
      <c r="T7" s="232">
        <f>E7+H7+K7+N7+Q7</f>
        <v>1419066.2042</v>
      </c>
      <c r="U7" s="172">
        <f>R7+O7+L7+I7+F7</f>
        <v>1782378.8856000002</v>
      </c>
    </row>
    <row r="8" spans="2:21">
      <c r="B8" s="388"/>
      <c r="C8" s="151" t="s">
        <v>76</v>
      </c>
      <c r="E8" s="161">
        <f>+E7/E6</f>
        <v>1.5906210622518351</v>
      </c>
      <c r="F8" s="173">
        <f>+E7/F7-1</f>
        <v>-0.15190486450064</v>
      </c>
      <c r="H8" s="161">
        <f>+H7/H6</f>
        <v>1.5712978656379566</v>
      </c>
      <c r="I8" s="173">
        <f>+H7/I7-1</f>
        <v>-0.27793788147932597</v>
      </c>
      <c r="K8" s="161">
        <f>+K7/K6</f>
        <v>1.6028602528939908</v>
      </c>
      <c r="L8" s="173">
        <f>+K7/L7-1</f>
        <v>-0.3089696308164035</v>
      </c>
      <c r="N8" s="161">
        <f>+N7/N6</f>
        <v>1.6095277858584498</v>
      </c>
      <c r="O8" s="173">
        <f>+N7/O7-1</f>
        <v>-0.14450089958144674</v>
      </c>
      <c r="Q8" s="161">
        <f>+Q7/Q6</f>
        <v>1.6451217103378606</v>
      </c>
      <c r="R8" s="173">
        <f>+Q7/R7-1</f>
        <v>-0.11293952470756508</v>
      </c>
      <c r="T8" s="161">
        <f>+T7/T6</f>
        <v>1.5968412256268483</v>
      </c>
      <c r="U8" s="449">
        <f>+T7/U7-1</f>
        <v>-0.20383583105434877</v>
      </c>
    </row>
    <row r="9" spans="2:21">
      <c r="B9" s="388"/>
      <c r="C9" s="151" t="s">
        <v>77</v>
      </c>
      <c r="E9" s="160">
        <f>+E7-E6-5.75%*E7</f>
        <v>158393.25469583421</v>
      </c>
      <c r="F9" s="153"/>
      <c r="H9" s="160">
        <f>+H7-H6-5.75%*H7</f>
        <v>67564.164322400946</v>
      </c>
      <c r="I9" s="153"/>
      <c r="K9" s="160">
        <f>+K7-K6-5.75%*K7</f>
        <v>83685.619276708239</v>
      </c>
      <c r="L9" s="153"/>
      <c r="N9" s="160">
        <f>+N7-N6-5.75%*N7</f>
        <v>120774.28312964967</v>
      </c>
      <c r="O9" s="153"/>
      <c r="Q9" s="160">
        <f>+Q7-Q6-5.75%*Q7</f>
        <v>18381.754272690061</v>
      </c>
      <c r="R9" s="153"/>
      <c r="T9" s="160">
        <f>+T7-T6-5.75%*T7</f>
        <v>448799.07569728314</v>
      </c>
      <c r="U9" s="153"/>
    </row>
    <row r="10" spans="2:21">
      <c r="B10" s="388"/>
      <c r="C10" s="164" t="s">
        <v>78</v>
      </c>
      <c r="D10" s="224"/>
      <c r="E10" s="166">
        <f>+E9/E7</f>
        <v>0.31381475011131538</v>
      </c>
      <c r="F10" s="153"/>
      <c r="H10" s="166">
        <f>+H9/H7</f>
        <v>0.30608342878929967</v>
      </c>
      <c r="I10" s="153"/>
      <c r="K10" s="166">
        <f>+K9/K7</f>
        <v>0.31861529252504489</v>
      </c>
      <c r="L10" s="153"/>
      <c r="N10" s="166">
        <f>+N9/N7</f>
        <v>0.3211997597766571</v>
      </c>
      <c r="O10" s="153"/>
      <c r="Q10" s="166">
        <f>+Q9/Q7</f>
        <v>0.33464223864650794</v>
      </c>
      <c r="R10" s="153"/>
      <c r="T10" s="166">
        <f>+T9/T7</f>
        <v>0.31626366294185271</v>
      </c>
      <c r="U10" s="153"/>
    </row>
    <row r="11" spans="2:21">
      <c r="B11" s="156"/>
      <c r="E11" s="157"/>
      <c r="F11" s="154"/>
      <c r="H11" s="157"/>
      <c r="I11" s="154"/>
      <c r="K11" s="157"/>
      <c r="L11" s="154"/>
      <c r="N11" s="157"/>
      <c r="O11" s="154"/>
      <c r="Q11" s="157"/>
      <c r="R11" s="154"/>
      <c r="T11" s="157"/>
      <c r="U11" s="154"/>
    </row>
    <row r="12" spans="2:21">
      <c r="B12" s="444" t="s">
        <v>79</v>
      </c>
      <c r="C12" s="149" t="s">
        <v>80</v>
      </c>
      <c r="E12" s="158">
        <f>+Scio!C40</f>
        <v>78973.333333333343</v>
      </c>
      <c r="H12" s="158">
        <f>Scio!C49/2</f>
        <v>51930</v>
      </c>
      <c r="K12" s="158">
        <f>Scio!C49/2</f>
        <v>51930</v>
      </c>
      <c r="N12" s="158">
        <f>+Scio!F58</f>
        <v>88281</v>
      </c>
      <c r="Q12" s="158">
        <f>+Scio!G58</f>
        <v>15579</v>
      </c>
      <c r="R12" s="334"/>
      <c r="T12" s="158">
        <f>E12+H12+K12+N12+Q12</f>
        <v>286693.33333333337</v>
      </c>
    </row>
    <row r="13" spans="2:21">
      <c r="B13" s="445"/>
      <c r="C13" s="227" t="s">
        <v>75</v>
      </c>
      <c r="E13" s="158">
        <f>+Scio!M5/C2*(1-E25)</f>
        <v>95903.166845062457</v>
      </c>
      <c r="H13" s="158">
        <f>+Scio!M4/C2*(1-E25)</f>
        <v>87366.814606159402</v>
      </c>
      <c r="K13" s="158">
        <f>Scio!M7/$C$2*(1-$E$25)</f>
        <v>93147.365326679166</v>
      </c>
      <c r="N13" s="158">
        <f>Scio!M3/$C$2*(1-$E$25)</f>
        <v>153564.27471084928</v>
      </c>
      <c r="Q13" s="158">
        <f>Scio!M6/$C$2*(1-$E$25)</f>
        <v>28469.893044282293</v>
      </c>
      <c r="T13" s="158">
        <f>E13+H13+K13+N13+Q13</f>
        <v>458451.5145330326</v>
      </c>
      <c r="U13" s="158">
        <v>458451.5145330326</v>
      </c>
    </row>
    <row r="14" spans="2:21">
      <c r="B14" s="445"/>
      <c r="C14" s="149" t="s">
        <v>81</v>
      </c>
      <c r="E14" s="155">
        <f>+E13/E19</f>
        <v>0.15966881399123886</v>
      </c>
      <c r="H14" s="155">
        <f>+H13/H19</f>
        <v>0.28356223009373466</v>
      </c>
      <c r="K14" s="155">
        <f>+K13/K19</f>
        <v>0.2617958866617881</v>
      </c>
      <c r="N14" s="155">
        <f>+N13/N19</f>
        <v>0.28997690567942519</v>
      </c>
      <c r="Q14" s="155">
        <f>+Q13/Q19</f>
        <v>0.3413678218667397</v>
      </c>
      <c r="T14" s="155">
        <f>+T13/T19</f>
        <v>0.24417959413048851</v>
      </c>
      <c r="U14" s="446">
        <f>+T13/U13-1</f>
        <v>0</v>
      </c>
    </row>
    <row r="15" spans="2:21">
      <c r="B15" s="445"/>
      <c r="C15" s="149" t="s">
        <v>77</v>
      </c>
      <c r="D15" s="225"/>
      <c r="E15" s="158">
        <f>+E13-E12-5.75%*E13</f>
        <v>11415.401418138023</v>
      </c>
      <c r="H15" s="158">
        <f>+H13-H12-5.75%*H13</f>
        <v>30413.222766305236</v>
      </c>
      <c r="K15" s="158">
        <f>+K13-K12-5.75%*K13</f>
        <v>35861.391820395118</v>
      </c>
      <c r="N15" s="158">
        <f>+N13-N12-5.75%*N13</f>
        <v>56453.328914975442</v>
      </c>
      <c r="Q15" s="158">
        <f>+Q13-Q12-5.75%*Q13</f>
        <v>11253.874194236061</v>
      </c>
      <c r="T15" s="158">
        <f>+T13-T12-5.75%*T13</f>
        <v>145397.21911404986</v>
      </c>
    </row>
    <row r="16" spans="2:21">
      <c r="B16" s="445"/>
      <c r="C16" s="164" t="s">
        <v>78</v>
      </c>
      <c r="D16" s="226"/>
      <c r="E16" s="166">
        <f>E15/E13</f>
        <v>0.11903049496353249</v>
      </c>
      <c r="H16" s="166">
        <f>H15/H13</f>
        <v>0.34810955284801115</v>
      </c>
      <c r="K16" s="166">
        <f>K15/K13</f>
        <v>0.38499630874823831</v>
      </c>
      <c r="N16" s="166">
        <f>N15/N13</f>
        <v>0.36762019695839471</v>
      </c>
      <c r="Q16" s="166">
        <f>Q15/Q13</f>
        <v>0.39529035731647105</v>
      </c>
      <c r="T16" s="166">
        <f>T15/T13</f>
        <v>0.31714851953787931</v>
      </c>
    </row>
    <row r="17" spans="2:20">
      <c r="E17" s="159"/>
      <c r="H17" s="159"/>
      <c r="K17" s="159"/>
      <c r="N17" s="159"/>
      <c r="Q17" s="159"/>
      <c r="T17" s="159"/>
    </row>
    <row r="18" spans="2:20">
      <c r="B18" s="391" t="s">
        <v>82</v>
      </c>
      <c r="C18" s="151" t="s">
        <v>74</v>
      </c>
      <c r="D18" s="225"/>
      <c r="E18" s="158">
        <f>+E12+E6</f>
        <v>396292.71642099915</v>
      </c>
      <c r="H18" s="158">
        <f>+H12+H6</f>
        <v>192411.15562759904</v>
      </c>
      <c r="K18" s="158">
        <f>+K12+K6</f>
        <v>215795.88882329175</v>
      </c>
      <c r="N18" s="158">
        <f>+N12+N6</f>
        <v>321896.02877035033</v>
      </c>
      <c r="Q18" s="158">
        <f>+Q12+Q6</f>
        <v>48968.365452309932</v>
      </c>
      <c r="T18" s="158">
        <f>+T12+T6</f>
        <v>1175364.1550945502</v>
      </c>
    </row>
    <row r="19" spans="2:20">
      <c r="B19" s="392"/>
      <c r="C19" s="151" t="s">
        <v>75</v>
      </c>
      <c r="D19" s="225"/>
      <c r="E19" s="158">
        <f>+E13+E7</f>
        <v>600638.0610450625</v>
      </c>
      <c r="H19" s="158">
        <f>+H13+H7</f>
        <v>308104.55460615939</v>
      </c>
      <c r="K19" s="158">
        <f>+K13+K7</f>
        <v>355801.48532667919</v>
      </c>
      <c r="N19" s="158">
        <f>+N13+N7</f>
        <v>529574.15471084928</v>
      </c>
      <c r="Q19" s="158">
        <f>+Q13+Q7</f>
        <v>83399.463044282282</v>
      </c>
      <c r="T19" s="158">
        <f>+T13+T7</f>
        <v>1877517.7187330327</v>
      </c>
    </row>
    <row r="20" spans="2:20">
      <c r="B20" s="392"/>
      <c r="C20" s="151" t="s">
        <v>77</v>
      </c>
      <c r="D20" s="225"/>
      <c r="E20" s="158">
        <f>+E19-E18-5.75%*E19</f>
        <v>169808.65611397225</v>
      </c>
      <c r="H20" s="158">
        <f>+H19-H18-5.75%*H19</f>
        <v>97977.387088706178</v>
      </c>
      <c r="K20" s="158">
        <f>+K19-K18-5.75%*K19</f>
        <v>119547.01109710339</v>
      </c>
      <c r="N20" s="158">
        <f>+N19-N18-5.75%*N19</f>
        <v>177227.61204462513</v>
      </c>
      <c r="Q20" s="158">
        <f>+Q19-Q18-5.75%*Q19</f>
        <v>29635.628466926119</v>
      </c>
      <c r="T20" s="158">
        <f>+T19-T18-5.75%*T19</f>
        <v>594196.29481133306</v>
      </c>
    </row>
    <row r="21" spans="2:20">
      <c r="B21" s="393"/>
      <c r="C21" s="163" t="s">
        <v>78</v>
      </c>
      <c r="D21" s="226"/>
      <c r="E21" s="165">
        <f>+E20/E19</f>
        <v>0.28271377910770201</v>
      </c>
      <c r="H21" s="165">
        <f>+H20/H19</f>
        <v>0.31800045024958384</v>
      </c>
      <c r="K21" s="165">
        <f>+K20/K19</f>
        <v>0.33599356952470638</v>
      </c>
      <c r="N21" s="165">
        <f>+N20/N19</f>
        <v>0.33466061451090356</v>
      </c>
      <c r="Q21" s="165">
        <f>+Q20/Q19</f>
        <v>0.35534555481718877</v>
      </c>
      <c r="T21" s="165">
        <f>+T20/T19</f>
        <v>0.31647972686633419</v>
      </c>
    </row>
    <row r="23" spans="2:20">
      <c r="B23" s="447" t="s">
        <v>83</v>
      </c>
      <c r="C23" s="447"/>
      <c r="D23" s="149"/>
      <c r="E23" s="180">
        <v>0</v>
      </c>
      <c r="H23" s="234"/>
      <c r="K23" s="234"/>
      <c r="N23" s="234"/>
      <c r="Q23" s="234"/>
      <c r="T23" s="234"/>
    </row>
    <row r="24" spans="2:20">
      <c r="B24" s="389" t="s">
        <v>1350</v>
      </c>
      <c r="C24" s="448"/>
      <c r="D24" s="390"/>
      <c r="E24" s="180">
        <v>0</v>
      </c>
      <c r="G24" s="453">
        <v>1</v>
      </c>
      <c r="H24" s="450" t="s">
        <v>1334</v>
      </c>
      <c r="I24" s="451"/>
      <c r="J24" s="451"/>
      <c r="K24" s="452"/>
      <c r="L24" s="149" t="s">
        <v>1338</v>
      </c>
      <c r="N24" s="234"/>
      <c r="Q24" s="234"/>
      <c r="T24" s="234"/>
    </row>
    <row r="25" spans="2:20">
      <c r="B25" s="447" t="s">
        <v>84</v>
      </c>
      <c r="C25" s="447"/>
      <c r="D25" s="149"/>
      <c r="E25" s="162">
        <v>0</v>
      </c>
      <c r="G25" s="453">
        <v>2</v>
      </c>
      <c r="H25" s="450" t="s">
        <v>1335</v>
      </c>
      <c r="I25" s="451"/>
      <c r="J25" s="451"/>
      <c r="K25" s="452"/>
      <c r="L25" s="149"/>
    </row>
    <row r="26" spans="2:20">
      <c r="B26" s="447" t="s">
        <v>1348</v>
      </c>
      <c r="C26" s="447"/>
      <c r="D26" s="149"/>
      <c r="E26" s="454" t="s">
        <v>1349</v>
      </c>
      <c r="G26" s="453">
        <v>3</v>
      </c>
      <c r="H26" s="450" t="s">
        <v>1337</v>
      </c>
      <c r="I26" s="451"/>
      <c r="J26" s="451"/>
      <c r="K26" s="452"/>
      <c r="L26" s="149"/>
    </row>
    <row r="27" spans="2:20">
      <c r="G27" s="453">
        <v>4</v>
      </c>
      <c r="H27" s="450" t="s">
        <v>1336</v>
      </c>
      <c r="I27" s="451"/>
      <c r="J27" s="451"/>
      <c r="K27" s="452"/>
      <c r="L27" s="149"/>
    </row>
    <row r="29" spans="2:20">
      <c r="H29" s="149" t="s">
        <v>1353</v>
      </c>
      <c r="I29" s="455">
        <f>+T6</f>
        <v>888670.82176121685</v>
      </c>
      <c r="J29" s="455">
        <f>+T7</f>
        <v>1419066.2042</v>
      </c>
      <c r="K29" s="153">
        <f>+U7</f>
        <v>1782378.8856000002</v>
      </c>
      <c r="L29" s="155">
        <f>(J29-I29-5.75%*J29)/J29</f>
        <v>0.31626366294185271</v>
      </c>
      <c r="M29" s="155">
        <f>+J29/K29-1</f>
        <v>-0.20383583105434877</v>
      </c>
      <c r="N29" s="158">
        <f>+T12</f>
        <v>286693.33333333337</v>
      </c>
      <c r="O29" s="158">
        <f>+T13</f>
        <v>458451.5145330326</v>
      </c>
      <c r="P29" s="155">
        <f>+(O29-N29-5.75%*O29)/O29</f>
        <v>0.31714851953787931</v>
      </c>
    </row>
    <row r="30" spans="2:20">
      <c r="H30" s="456"/>
      <c r="I30" s="457"/>
      <c r="J30" s="457"/>
      <c r="K30" s="458"/>
      <c r="L30" s="459"/>
      <c r="M30" s="459"/>
      <c r="N30" s="460"/>
      <c r="O30" s="460"/>
      <c r="P30" s="459"/>
    </row>
    <row r="31" spans="2:20">
      <c r="I31" s="447" t="s">
        <v>0</v>
      </c>
      <c r="J31" s="447"/>
      <c r="K31" s="447"/>
      <c r="L31" s="447"/>
      <c r="M31" s="447"/>
      <c r="N31" s="447" t="s">
        <v>1352</v>
      </c>
      <c r="O31" s="447"/>
      <c r="P31" s="447"/>
    </row>
    <row r="32" spans="2:20">
      <c r="G32" s="149" t="s">
        <v>1339</v>
      </c>
      <c r="H32" s="149" t="s">
        <v>1340</v>
      </c>
      <c r="I32" s="149" t="s">
        <v>74</v>
      </c>
      <c r="J32" s="149" t="s">
        <v>75</v>
      </c>
      <c r="K32" s="149" t="s">
        <v>1351</v>
      </c>
      <c r="L32" s="149" t="s">
        <v>1345</v>
      </c>
      <c r="M32" s="149" t="s">
        <v>1346</v>
      </c>
      <c r="N32" s="149" t="s">
        <v>74</v>
      </c>
      <c r="O32" s="149" t="s">
        <v>75</v>
      </c>
      <c r="P32" s="149" t="s">
        <v>1345</v>
      </c>
      <c r="Q32" s="149" t="s">
        <v>1347</v>
      </c>
    </row>
    <row r="33" spans="7:17">
      <c r="G33" s="149">
        <v>0</v>
      </c>
      <c r="H33" s="149" t="s">
        <v>1341</v>
      </c>
      <c r="J33" s="149"/>
      <c r="L33" s="149"/>
      <c r="M33" s="149"/>
      <c r="N33" s="149"/>
      <c r="O33" s="149"/>
      <c r="P33" s="149"/>
      <c r="Q33" s="155" t="e">
        <f>+O33/$O$33-1</f>
        <v>#DIV/0!</v>
      </c>
    </row>
    <row r="34" spans="7:17">
      <c r="G34" s="149">
        <v>1</v>
      </c>
      <c r="H34" s="149" t="s">
        <v>1342</v>
      </c>
      <c r="I34" s="149"/>
      <c r="J34" s="149"/>
      <c r="K34" s="149"/>
      <c r="L34" s="149"/>
      <c r="M34" s="149"/>
      <c r="N34" s="149"/>
      <c r="O34" s="149"/>
      <c r="P34" s="149"/>
      <c r="Q34" s="155" t="e">
        <f t="shared" ref="Q34:Q36" si="0">+O34/$O$33-1</f>
        <v>#DIV/0!</v>
      </c>
    </row>
    <row r="35" spans="7:17">
      <c r="G35" s="149">
        <v>2</v>
      </c>
      <c r="H35" s="149" t="s">
        <v>1344</v>
      </c>
      <c r="I35" s="149"/>
      <c r="J35" s="149"/>
      <c r="K35" s="149"/>
      <c r="L35" s="149"/>
      <c r="M35" s="149"/>
      <c r="N35" s="149"/>
      <c r="O35" s="149"/>
      <c r="P35" s="149"/>
      <c r="Q35" s="155" t="e">
        <f t="shared" si="0"/>
        <v>#DIV/0!</v>
      </c>
    </row>
    <row r="36" spans="7:17">
      <c r="G36" s="149">
        <v>3</v>
      </c>
      <c r="H36" s="149" t="s">
        <v>1343</v>
      </c>
      <c r="I36" s="149"/>
      <c r="J36" s="149"/>
      <c r="K36" s="149"/>
      <c r="L36" s="149"/>
      <c r="M36" s="149"/>
      <c r="N36" s="149"/>
      <c r="O36" s="149"/>
      <c r="P36" s="149"/>
      <c r="Q36" s="155" t="e">
        <f t="shared" si="0"/>
        <v>#DIV/0!</v>
      </c>
    </row>
  </sheetData>
  <mergeCells count="21">
    <mergeCell ref="B26:C26"/>
    <mergeCell ref="I31:M31"/>
    <mergeCell ref="N31:P31"/>
    <mergeCell ref="H24:K24"/>
    <mergeCell ref="H25:K25"/>
    <mergeCell ref="H26:K26"/>
    <mergeCell ref="H27:K27"/>
    <mergeCell ref="B23:C23"/>
    <mergeCell ref="B25:C25"/>
    <mergeCell ref="B18:B21"/>
    <mergeCell ref="E4:F4"/>
    <mergeCell ref="C4:C5"/>
    <mergeCell ref="B4:B5"/>
    <mergeCell ref="B12:B16"/>
    <mergeCell ref="B24:D24"/>
    <mergeCell ref="Q4:R4"/>
    <mergeCell ref="T4:U4"/>
    <mergeCell ref="H4:I4"/>
    <mergeCell ref="B6:B10"/>
    <mergeCell ref="K4:L4"/>
    <mergeCell ref="N4:O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B789-92EA-4209-AD5C-6FF94820AF18}">
  <dimension ref="B1:O68"/>
  <sheetViews>
    <sheetView showGridLines="0" topLeftCell="B1" workbookViewId="0">
      <selection activeCell="L14" sqref="L14"/>
    </sheetView>
  </sheetViews>
  <sheetFormatPr baseColWidth="10" defaultColWidth="11.42578125" defaultRowHeight="15"/>
  <cols>
    <col min="1" max="1" width="3.5703125" style="7" customWidth="1"/>
    <col min="2" max="2" width="34.140625" style="7" customWidth="1"/>
    <col min="3" max="3" width="18.7109375" style="7" customWidth="1"/>
    <col min="4" max="4" width="17" style="7" customWidth="1"/>
    <col min="5" max="5" width="14.28515625" style="7" customWidth="1"/>
    <col min="6" max="6" width="13.28515625" style="7" customWidth="1"/>
    <col min="7" max="7" width="12.28515625" style="7" customWidth="1"/>
    <col min="8" max="8" width="20" style="7" customWidth="1"/>
    <col min="9" max="10" width="13" style="7" customWidth="1"/>
    <col min="11" max="12" width="19.5703125" style="7" customWidth="1"/>
    <col min="13" max="13" width="17.28515625" style="7" customWidth="1"/>
    <col min="14" max="16384" width="11.42578125" style="7"/>
  </cols>
  <sheetData>
    <row r="1" spans="2:15">
      <c r="B1" s="147" t="s">
        <v>85</v>
      </c>
    </row>
    <row r="2" spans="2:15" s="17" customFormat="1" ht="28.5" customHeight="1">
      <c r="B2" s="18" t="s">
        <v>86</v>
      </c>
      <c r="C2" s="18" t="s">
        <v>87</v>
      </c>
      <c r="D2" s="18" t="s">
        <v>88</v>
      </c>
      <c r="E2" s="18" t="s">
        <v>89</v>
      </c>
      <c r="F2" s="18" t="s">
        <v>90</v>
      </c>
      <c r="G2" s="18" t="s">
        <v>91</v>
      </c>
      <c r="H2" s="18" t="s">
        <v>92</v>
      </c>
      <c r="I2" s="19" t="s">
        <v>93</v>
      </c>
      <c r="J2" s="18" t="s">
        <v>889</v>
      </c>
      <c r="K2" s="18" t="s">
        <v>94</v>
      </c>
      <c r="L2" s="19" t="s">
        <v>95</v>
      </c>
      <c r="M2" s="18" t="s">
        <v>96</v>
      </c>
    </row>
    <row r="3" spans="2:15">
      <c r="B3" s="3" t="s">
        <v>97</v>
      </c>
      <c r="C3" s="372">
        <v>111305</v>
      </c>
      <c r="D3" s="22">
        <f>+C3/SUM($C$3:$C$7)</f>
        <v>0.30338354491590586</v>
      </c>
      <c r="E3" s="4">
        <v>178</v>
      </c>
      <c r="F3" s="4">
        <v>540</v>
      </c>
      <c r="G3" s="4">
        <f>+F3*2</f>
        <v>1080</v>
      </c>
      <c r="H3" s="5">
        <f>+K18</f>
        <v>204790.78336487984</v>
      </c>
      <c r="I3" s="8">
        <f>+K19</f>
        <v>86894.933012228707</v>
      </c>
      <c r="J3" s="375">
        <f>IF('EERR Global'!$E$26="SI",Scio!N3,0)</f>
        <v>0</v>
      </c>
      <c r="K3" s="9">
        <f t="shared" ref="K3:K7" si="0">+I3*G3*(1-J3)</f>
        <v>93846527.653207004</v>
      </c>
      <c r="L3" s="8">
        <f>+H3*E3</f>
        <v>36452759.438948609</v>
      </c>
      <c r="M3" s="9">
        <f>+L3+K3</f>
        <v>130299287.09215561</v>
      </c>
      <c r="N3" s="375">
        <v>0.31</v>
      </c>
    </row>
    <row r="4" spans="2:15">
      <c r="B4" s="3" t="s">
        <v>98</v>
      </c>
      <c r="C4" s="372">
        <v>61181</v>
      </c>
      <c r="D4" s="22">
        <f t="shared" ref="D4:D7" si="1">+C4/SUM($C$3:$C$7)</f>
        <v>0.1667607803917168</v>
      </c>
      <c r="E4" s="4">
        <v>157</v>
      </c>
      <c r="F4" s="4">
        <v>148</v>
      </c>
      <c r="G4" s="4">
        <f t="shared" ref="G4:G7" si="2">+F4*2</f>
        <v>296</v>
      </c>
      <c r="H4" s="5">
        <f>+K14</f>
        <v>308342.94281341753</v>
      </c>
      <c r="I4" s="8">
        <f>+I3</f>
        <v>86894.933012228707</v>
      </c>
      <c r="J4" s="375">
        <f>IF('EERR Global'!$E$26="SI",Scio!N4,0)</f>
        <v>0</v>
      </c>
      <c r="K4" s="9">
        <f t="shared" si="0"/>
        <v>25720900.171619698</v>
      </c>
      <c r="L4" s="8">
        <f>+H4*E4</f>
        <v>48409842.021706551</v>
      </c>
      <c r="M4" s="9">
        <f>+L4+K4</f>
        <v>74130742.19332625</v>
      </c>
      <c r="N4" s="375">
        <v>0.12</v>
      </c>
    </row>
    <row r="5" spans="2:15">
      <c r="B5" s="3" t="s">
        <v>99</v>
      </c>
      <c r="C5" s="372">
        <v>105269.83000000002</v>
      </c>
      <c r="D5" s="22">
        <f t="shared" si="1"/>
        <v>0.28693350880997959</v>
      </c>
      <c r="E5" s="4">
        <v>154</v>
      </c>
      <c r="F5" s="4">
        <v>195</v>
      </c>
      <c r="G5" s="4">
        <f t="shared" si="2"/>
        <v>390</v>
      </c>
      <c r="H5" s="5">
        <f>+K14</f>
        <v>308342.94281341753</v>
      </c>
      <c r="I5" s="8">
        <f t="shared" ref="I5:I7" si="3">+I4</f>
        <v>86894.933012228707</v>
      </c>
      <c r="J5" s="375">
        <f>IF('EERR Global'!$E$26="SI",Scio!N5,0)</f>
        <v>0</v>
      </c>
      <c r="K5" s="9">
        <f t="shared" si="0"/>
        <v>33889023.874769196</v>
      </c>
      <c r="L5" s="8">
        <f>+H5*E5</f>
        <v>47484813.193266302</v>
      </c>
      <c r="M5" s="9">
        <f>+L5+K5</f>
        <v>81373837.068035498</v>
      </c>
      <c r="N5" s="375">
        <v>0.32</v>
      </c>
    </row>
    <row r="6" spans="2:15">
      <c r="B6" s="3" t="s">
        <v>100</v>
      </c>
      <c r="C6" s="372">
        <v>10188</v>
      </c>
      <c r="D6" s="22">
        <f t="shared" si="1"/>
        <v>2.7769386421124378E-2</v>
      </c>
      <c r="E6" s="4">
        <v>41</v>
      </c>
      <c r="F6" s="4">
        <v>52</v>
      </c>
      <c r="G6" s="4">
        <f t="shared" si="2"/>
        <v>104</v>
      </c>
      <c r="H6" s="5">
        <f>+K13</f>
        <v>368771.49304394494</v>
      </c>
      <c r="I6" s="8">
        <f t="shared" si="3"/>
        <v>86894.933012228707</v>
      </c>
      <c r="J6" s="375">
        <f>IF('EERR Global'!$E$26="SI",Scio!N6,0)</f>
        <v>0</v>
      </c>
      <c r="K6" s="9">
        <f t="shared" si="0"/>
        <v>9037073.0332717858</v>
      </c>
      <c r="L6" s="8">
        <f>+H6*E6</f>
        <v>15119631.214801742</v>
      </c>
      <c r="M6" s="9">
        <f>+L6+K6</f>
        <v>24156704.248073526</v>
      </c>
      <c r="N6" s="375">
        <v>0.31</v>
      </c>
    </row>
    <row r="7" spans="2:15">
      <c r="B7" s="3" t="s">
        <v>101</v>
      </c>
      <c r="C7" s="372">
        <v>78935</v>
      </c>
      <c r="D7" s="22">
        <f t="shared" si="1"/>
        <v>0.21515277946127334</v>
      </c>
      <c r="E7" s="4">
        <v>165</v>
      </c>
      <c r="F7" s="4">
        <v>210</v>
      </c>
      <c r="G7" s="4">
        <f t="shared" si="2"/>
        <v>420</v>
      </c>
      <c r="H7" s="5">
        <f>+K15</f>
        <v>257816.16736091647</v>
      </c>
      <c r="I7" s="8">
        <f t="shared" si="3"/>
        <v>86894.933012228707</v>
      </c>
      <c r="J7" s="375">
        <f>IF('EERR Global'!$E$26="SI",Scio!N7,0)</f>
        <v>0</v>
      </c>
      <c r="K7" s="9">
        <f t="shared" si="0"/>
        <v>36495871.865136057</v>
      </c>
      <c r="L7" s="8">
        <f>+H7*E7</f>
        <v>42539667.614551216</v>
      </c>
      <c r="M7" s="9">
        <f>+L7+K7</f>
        <v>79035539.479687274</v>
      </c>
      <c r="N7" s="375">
        <v>0.12</v>
      </c>
    </row>
    <row r="8" spans="2:15">
      <c r="E8" s="7">
        <f>+E3+E6</f>
        <v>219</v>
      </c>
      <c r="F8" s="7">
        <f>+F3+F6</f>
        <v>592</v>
      </c>
      <c r="I8" s="20" t="s">
        <v>102</v>
      </c>
      <c r="J8" s="21"/>
      <c r="K8" s="21">
        <f>+SUM(K3:K7)</f>
        <v>198989396.59800375</v>
      </c>
      <c r="L8" s="133">
        <f>+SUM(L3:L7)</f>
        <v>190006713.4832744</v>
      </c>
      <c r="M8" s="21">
        <f>+SUM(M3:M7)</f>
        <v>388996110.08127815</v>
      </c>
    </row>
    <row r="9" spans="2:15">
      <c r="E9" s="7">
        <f>+E4+E7</f>
        <v>322</v>
      </c>
      <c r="F9" s="7">
        <f>+F4+F7</f>
        <v>358</v>
      </c>
      <c r="I9" s="134" t="s">
        <v>103</v>
      </c>
      <c r="J9" s="6"/>
      <c r="K9" s="6">
        <f>+K8/O9</f>
        <v>235212.05271631648</v>
      </c>
      <c r="L9" s="6">
        <f>+L8/O9</f>
        <v>224594.22397550166</v>
      </c>
      <c r="M9" s="6">
        <f>+M8/O9</f>
        <v>459806.27669181814</v>
      </c>
      <c r="N9" s="132" t="s">
        <v>61</v>
      </c>
      <c r="O9" s="10">
        <v>846</v>
      </c>
    </row>
    <row r="10" spans="2:15">
      <c r="E10" s="71"/>
      <c r="F10" s="71"/>
      <c r="G10" s="71"/>
    </row>
    <row r="11" spans="2:15" ht="51">
      <c r="B11" s="15" t="s">
        <v>104</v>
      </c>
      <c r="C11" s="16" t="s">
        <v>104</v>
      </c>
      <c r="D11" s="16"/>
      <c r="E11" s="16" t="s">
        <v>105</v>
      </c>
      <c r="F11" s="16"/>
      <c r="G11" s="16" t="s">
        <v>106</v>
      </c>
      <c r="H11" s="16" t="s">
        <v>107</v>
      </c>
      <c r="I11" s="16" t="s">
        <v>108</v>
      </c>
      <c r="J11" s="16" t="s">
        <v>109</v>
      </c>
      <c r="K11" s="16" t="s">
        <v>110</v>
      </c>
      <c r="L11" s="131"/>
    </row>
    <row r="12" spans="2:15">
      <c r="B12" s="11" t="s">
        <v>111</v>
      </c>
      <c r="C12" s="12" t="s">
        <v>112</v>
      </c>
      <c r="D12" s="12"/>
      <c r="E12" s="12" t="s">
        <v>113</v>
      </c>
      <c r="F12" s="12"/>
      <c r="G12" s="12" t="s">
        <v>114</v>
      </c>
      <c r="H12" s="12">
        <v>90024.45</v>
      </c>
      <c r="I12" s="12">
        <v>225061.125</v>
      </c>
      <c r="J12" s="12">
        <v>266247.31087500002</v>
      </c>
      <c r="K12" s="12">
        <f>+J12*(1+FA!$B$30)</f>
        <v>368771.49304394494</v>
      </c>
      <c r="L12" s="12"/>
    </row>
    <row r="13" spans="2:15">
      <c r="B13" s="11" t="s">
        <v>111</v>
      </c>
      <c r="C13" s="12" t="s">
        <v>115</v>
      </c>
      <c r="D13" s="12"/>
      <c r="E13" s="12" t="s">
        <v>113</v>
      </c>
      <c r="F13" s="12"/>
      <c r="G13" s="12" t="s">
        <v>116</v>
      </c>
      <c r="H13" s="12">
        <v>90024.45</v>
      </c>
      <c r="I13" s="12">
        <v>225061.125</v>
      </c>
      <c r="J13" s="12">
        <v>266247.31087500002</v>
      </c>
      <c r="K13" s="12">
        <f>+J13*(1+FA!$B$30)</f>
        <v>368771.49304394494</v>
      </c>
      <c r="L13" s="12"/>
    </row>
    <row r="14" spans="2:15">
      <c r="B14" s="11" t="s">
        <v>111</v>
      </c>
      <c r="C14" s="12" t="s">
        <v>117</v>
      </c>
      <c r="D14" s="12"/>
      <c r="E14" s="12" t="s">
        <v>113</v>
      </c>
      <c r="F14" s="12"/>
      <c r="G14" s="12" t="s">
        <v>118</v>
      </c>
      <c r="H14" s="12">
        <v>75272.639999999999</v>
      </c>
      <c r="I14" s="12">
        <v>188181.6</v>
      </c>
      <c r="J14" s="12">
        <v>222618.8328</v>
      </c>
      <c r="K14" s="12">
        <f>+J14*(1+FA!$B$30)</f>
        <v>308342.94281341753</v>
      </c>
      <c r="L14" s="12"/>
    </row>
    <row r="15" spans="2:15">
      <c r="B15" s="11" t="s">
        <v>111</v>
      </c>
      <c r="C15" s="12" t="s">
        <v>119</v>
      </c>
      <c r="D15" s="12"/>
      <c r="E15" s="12" t="s">
        <v>113</v>
      </c>
      <c r="F15" s="12"/>
      <c r="G15" s="12" t="s">
        <v>120</v>
      </c>
      <c r="H15" s="12">
        <v>62938.05</v>
      </c>
      <c r="I15" s="12">
        <v>157345.125</v>
      </c>
      <c r="J15" s="12">
        <v>186139.282875</v>
      </c>
      <c r="K15" s="12">
        <f>+J15*(1+FA!$B$30)</f>
        <v>257816.16736091647</v>
      </c>
      <c r="L15" s="12"/>
    </row>
    <row r="16" spans="2:15">
      <c r="B16" s="11" t="s">
        <v>111</v>
      </c>
      <c r="C16" s="12" t="s">
        <v>121</v>
      </c>
      <c r="D16" s="12"/>
      <c r="E16" s="12" t="s">
        <v>113</v>
      </c>
      <c r="F16" s="12"/>
      <c r="G16" s="12" t="s">
        <v>122</v>
      </c>
      <c r="H16" s="12">
        <v>75170.98</v>
      </c>
      <c r="I16" s="12">
        <v>150341.96</v>
      </c>
      <c r="J16" s="12">
        <v>177854.53868</v>
      </c>
      <c r="K16" s="12">
        <f>+J16*(1+FA!$B$30)</f>
        <v>246341.2064449293</v>
      </c>
      <c r="L16" s="12"/>
    </row>
    <row r="17" spans="2:12">
      <c r="B17" s="11" t="s">
        <v>111</v>
      </c>
      <c r="C17" s="12" t="s">
        <v>123</v>
      </c>
      <c r="D17" s="12"/>
      <c r="E17" s="12" t="s">
        <v>113</v>
      </c>
      <c r="F17" s="12"/>
      <c r="G17" s="12" t="s">
        <v>124</v>
      </c>
      <c r="H17" s="12">
        <v>52625.34</v>
      </c>
      <c r="I17" s="12">
        <v>131563.34999999998</v>
      </c>
      <c r="J17" s="12">
        <v>155639.44304999997</v>
      </c>
      <c r="K17" s="12">
        <f>+J17*(1+FA!$B$30)</f>
        <v>215571.71639199386</v>
      </c>
      <c r="L17" s="12"/>
    </row>
    <row r="18" spans="2:12">
      <c r="B18" s="11" t="s">
        <v>111</v>
      </c>
      <c r="C18" s="12" t="s">
        <v>125</v>
      </c>
      <c r="D18" s="12"/>
      <c r="E18" s="12" t="s">
        <v>113</v>
      </c>
      <c r="F18" s="12"/>
      <c r="G18" s="12" t="s">
        <v>126</v>
      </c>
      <c r="H18" s="12">
        <v>49993.5</v>
      </c>
      <c r="I18" s="12">
        <v>124983.74999999999</v>
      </c>
      <c r="J18" s="12">
        <v>147855.77625</v>
      </c>
      <c r="K18" s="12">
        <f>+J18*(1+FA!$B$30)</f>
        <v>204790.78336487984</v>
      </c>
      <c r="L18" s="12"/>
    </row>
    <row r="19" spans="2:12">
      <c r="B19" s="11" t="s">
        <v>111</v>
      </c>
      <c r="C19" s="12" t="s">
        <v>127</v>
      </c>
      <c r="D19" s="12"/>
      <c r="E19" s="12" t="s">
        <v>113</v>
      </c>
      <c r="F19" s="12"/>
      <c r="G19" s="12" t="s">
        <v>128</v>
      </c>
      <c r="H19" s="12">
        <v>10606.39</v>
      </c>
      <c r="I19" s="12">
        <v>53031.95</v>
      </c>
      <c r="J19" s="12">
        <v>62736.796849999999</v>
      </c>
      <c r="K19" s="12">
        <f>+J19*(1+FA!$B$30)</f>
        <v>86894.933012228707</v>
      </c>
      <c r="L19" s="12"/>
    </row>
    <row r="20" spans="2:12">
      <c r="B20" s="11" t="s">
        <v>111</v>
      </c>
      <c r="C20" s="12" t="s">
        <v>129</v>
      </c>
      <c r="D20" s="12"/>
      <c r="E20" s="12" t="s">
        <v>113</v>
      </c>
      <c r="F20" s="12"/>
      <c r="G20" s="12" t="s">
        <v>130</v>
      </c>
      <c r="H20" s="12">
        <v>75351.710000000006</v>
      </c>
      <c r="I20" s="12">
        <v>188379.27500000002</v>
      </c>
      <c r="J20" s="12">
        <v>222852.68232500003</v>
      </c>
      <c r="K20" s="12">
        <f>+J20*(1+FA!$B$30)</f>
        <v>308666.84106500354</v>
      </c>
      <c r="L20" s="12"/>
    </row>
    <row r="21" spans="2:12">
      <c r="B21" s="13" t="s">
        <v>111</v>
      </c>
      <c r="C21" s="14" t="s">
        <v>131</v>
      </c>
      <c r="D21" s="14"/>
      <c r="E21" s="14" t="s">
        <v>113</v>
      </c>
      <c r="F21" s="14"/>
      <c r="G21" s="14" t="s">
        <v>132</v>
      </c>
      <c r="H21" s="14">
        <v>207474.17</v>
      </c>
      <c r="I21" s="14">
        <v>311211.255</v>
      </c>
      <c r="J21" s="14">
        <v>368162.91466500005</v>
      </c>
      <c r="K21" s="14">
        <f>+J21*(1+FA!$B$30)</f>
        <v>509931.86476975918</v>
      </c>
      <c r="L21" s="12"/>
    </row>
    <row r="23" spans="2:12">
      <c r="B23" s="147" t="s">
        <v>133</v>
      </c>
    </row>
    <row r="25" spans="2:12" hidden="1"/>
    <row r="26" spans="2:12" hidden="1"/>
    <row r="27" spans="2:12" hidden="1"/>
    <row r="28" spans="2:12" hidden="1"/>
    <row r="29" spans="2:12" hidden="1"/>
    <row r="30" spans="2:12" hidden="1"/>
    <row r="31" spans="2:12" hidden="1"/>
    <row r="33" spans="2:5">
      <c r="B33" s="396" t="s">
        <v>134</v>
      </c>
      <c r="C33" s="397"/>
      <c r="D33" s="397"/>
      <c r="E33" s="398"/>
    </row>
    <row r="34" spans="2:5">
      <c r="B34" s="10" t="s">
        <v>135</v>
      </c>
      <c r="C34" s="10" t="s">
        <v>136</v>
      </c>
      <c r="D34" s="10" t="s">
        <v>137</v>
      </c>
      <c r="E34" s="10" t="s">
        <v>138</v>
      </c>
    </row>
    <row r="35" spans="2:5">
      <c r="B35" s="10" t="s">
        <v>139</v>
      </c>
      <c r="C35" s="340">
        <v>2</v>
      </c>
      <c r="D35" s="340">
        <v>4</v>
      </c>
      <c r="E35" s="340">
        <v>11</v>
      </c>
    </row>
    <row r="36" spans="2:5">
      <c r="B36" s="10" t="s">
        <v>140</v>
      </c>
      <c r="C36" s="6">
        <f>(190000+70000+3000)*1.4/60+3000/4</f>
        <v>6886.666666666667</v>
      </c>
      <c r="D36" s="6">
        <f>1500*1.4+3000*1/10</f>
        <v>2400</v>
      </c>
      <c r="E36" s="6">
        <f>+E45</f>
        <v>3600</v>
      </c>
    </row>
    <row r="37" spans="2:5">
      <c r="B37" s="10" t="s">
        <v>141</v>
      </c>
      <c r="C37" s="399">
        <f>+C36*C35+D36*D35+E36*E35</f>
        <v>62973.333333333336</v>
      </c>
      <c r="D37" s="400"/>
      <c r="E37" s="401"/>
    </row>
    <row r="38" spans="2:5">
      <c r="B38" s="148" t="s">
        <v>142</v>
      </c>
      <c r="C38" s="399">
        <v>10000</v>
      </c>
      <c r="D38" s="400"/>
      <c r="E38" s="401"/>
    </row>
    <row r="39" spans="2:5">
      <c r="B39" s="148" t="s">
        <v>143</v>
      </c>
      <c r="C39" s="399">
        <f>4000*3/2</f>
        <v>6000</v>
      </c>
      <c r="D39" s="400"/>
      <c r="E39" s="401"/>
    </row>
    <row r="40" spans="2:5">
      <c r="B40" s="72" t="s">
        <v>96</v>
      </c>
      <c r="C40" s="402">
        <f>+C39+C38+C37</f>
        <v>78973.333333333343</v>
      </c>
      <c r="D40" s="403"/>
      <c r="E40" s="404"/>
    </row>
    <row r="42" spans="2:5">
      <c r="B42" s="396" t="s">
        <v>144</v>
      </c>
      <c r="C42" s="397"/>
      <c r="D42" s="397"/>
      <c r="E42" s="398"/>
    </row>
    <row r="43" spans="2:5">
      <c r="B43" s="10" t="s">
        <v>135</v>
      </c>
      <c r="C43" s="10" t="s">
        <v>136</v>
      </c>
      <c r="D43" s="10" t="s">
        <v>137</v>
      </c>
      <c r="E43" s="10" t="s">
        <v>138</v>
      </c>
    </row>
    <row r="44" spans="2:5">
      <c r="B44" s="10" t="s">
        <v>139</v>
      </c>
      <c r="C44" s="340">
        <v>3</v>
      </c>
      <c r="D44" s="340">
        <v>7</v>
      </c>
      <c r="E44" s="340">
        <v>14</v>
      </c>
    </row>
    <row r="45" spans="2:5">
      <c r="B45" s="10" t="s">
        <v>140</v>
      </c>
      <c r="C45" s="6">
        <f>(190000+70000+3000)*1.4/60+3000/4</f>
        <v>6886.666666666667</v>
      </c>
      <c r="D45" s="6">
        <f>1500*1.4+3000*1/10</f>
        <v>2400</v>
      </c>
      <c r="E45" s="6">
        <v>3600</v>
      </c>
    </row>
    <row r="46" spans="2:5">
      <c r="B46" s="10" t="s">
        <v>141</v>
      </c>
      <c r="C46" s="399">
        <f>+C45*C44+D45*D44+E45*E44</f>
        <v>87860</v>
      </c>
      <c r="D46" s="400"/>
      <c r="E46" s="401"/>
    </row>
    <row r="47" spans="2:5">
      <c r="B47" s="148" t="s">
        <v>142</v>
      </c>
      <c r="C47" s="399">
        <v>10000</v>
      </c>
      <c r="D47" s="400"/>
      <c r="E47" s="401"/>
    </row>
    <row r="48" spans="2:5">
      <c r="B48" s="148" t="s">
        <v>143</v>
      </c>
      <c r="C48" s="399">
        <f>4000*3/2</f>
        <v>6000</v>
      </c>
      <c r="D48" s="400"/>
      <c r="E48" s="401"/>
    </row>
    <row r="49" spans="2:7">
      <c r="B49" s="72" t="s">
        <v>96</v>
      </c>
      <c r="C49" s="402">
        <f>+C48+C47+C46</f>
        <v>103860</v>
      </c>
      <c r="D49" s="403"/>
      <c r="E49" s="404"/>
    </row>
    <row r="51" spans="2:7">
      <c r="B51" s="396" t="s">
        <v>145</v>
      </c>
      <c r="C51" s="397"/>
      <c r="D51" s="397"/>
      <c r="E51" s="398"/>
    </row>
    <row r="52" spans="2:7">
      <c r="B52" s="10" t="s">
        <v>135</v>
      </c>
      <c r="C52" s="10" t="s">
        <v>136</v>
      </c>
      <c r="D52" s="10" t="s">
        <v>137</v>
      </c>
      <c r="E52" s="10" t="s">
        <v>138</v>
      </c>
    </row>
    <row r="53" spans="2:7">
      <c r="B53" s="10" t="s">
        <v>139</v>
      </c>
      <c r="C53" s="340">
        <v>3</v>
      </c>
      <c r="D53" s="340">
        <v>7</v>
      </c>
      <c r="E53" s="340">
        <v>14</v>
      </c>
    </row>
    <row r="54" spans="2:7">
      <c r="B54" s="10" t="s">
        <v>140</v>
      </c>
      <c r="C54" s="6">
        <f>(190000+70000+3000)*1.4/60+3000/4</f>
        <v>6886.666666666667</v>
      </c>
      <c r="D54" s="6">
        <f>1500*1.4+3000*1/10</f>
        <v>2400</v>
      </c>
      <c r="E54" s="6">
        <f>+E45</f>
        <v>3600</v>
      </c>
    </row>
    <row r="55" spans="2:7">
      <c r="B55" s="10" t="s">
        <v>141</v>
      </c>
      <c r="C55" s="399">
        <f>+C54*C53+D54*D53+E54*E53</f>
        <v>87860</v>
      </c>
      <c r="D55" s="400"/>
      <c r="E55" s="401"/>
    </row>
    <row r="56" spans="2:7">
      <c r="B56" s="148" t="s">
        <v>142</v>
      </c>
      <c r="C56" s="399">
        <v>10000</v>
      </c>
      <c r="D56" s="400"/>
      <c r="E56" s="401"/>
    </row>
    <row r="57" spans="2:7">
      <c r="B57" s="148" t="s">
        <v>143</v>
      </c>
      <c r="C57" s="399">
        <f>4000*3/2</f>
        <v>6000</v>
      </c>
      <c r="D57" s="400"/>
      <c r="E57" s="401"/>
      <c r="F57" s="10" t="s">
        <v>68</v>
      </c>
      <c r="G57" s="10" t="s">
        <v>69</v>
      </c>
    </row>
    <row r="58" spans="2:7">
      <c r="B58" s="72" t="s">
        <v>96</v>
      </c>
      <c r="C58" s="402">
        <f>+C57+C56+C55</f>
        <v>103860</v>
      </c>
      <c r="D58" s="403"/>
      <c r="E58" s="404"/>
      <c r="F58" s="10">
        <f>+C58*85%</f>
        <v>88281</v>
      </c>
      <c r="G58" s="10">
        <f>+C58*15%</f>
        <v>15579</v>
      </c>
    </row>
    <row r="61" spans="2:7">
      <c r="C61" s="10" t="s">
        <v>146</v>
      </c>
      <c r="D61" s="10" t="s">
        <v>147</v>
      </c>
      <c r="E61" s="10" t="s">
        <v>148</v>
      </c>
    </row>
    <row r="62" spans="2:7">
      <c r="C62" s="10">
        <f>+C53+C44+C35</f>
        <v>8</v>
      </c>
      <c r="D62" s="10">
        <f t="shared" ref="D62" si="4">+D53+D44+D35</f>
        <v>18</v>
      </c>
      <c r="E62" s="10">
        <f>+E53+E44+E35</f>
        <v>39</v>
      </c>
    </row>
    <row r="63" spans="2:7">
      <c r="E63" s="7" t="s">
        <v>1333</v>
      </c>
    </row>
    <row r="65" spans="3:4">
      <c r="C65" s="10" t="s">
        <v>887</v>
      </c>
      <c r="D65" s="6">
        <f>+C56+C47+C38</f>
        <v>30000</v>
      </c>
    </row>
    <row r="66" spans="3:4">
      <c r="C66" s="10" t="s">
        <v>888</v>
      </c>
      <c r="D66" s="6">
        <f>+C57+C48+C39</f>
        <v>18000</v>
      </c>
    </row>
    <row r="67" spans="3:4">
      <c r="D67" s="373">
        <f>+D66+D65</f>
        <v>48000</v>
      </c>
    </row>
    <row r="68" spans="3:4">
      <c r="D68" s="374">
        <f>+D67/(C58+C49+C40)</f>
        <v>0.16742628592689049</v>
      </c>
    </row>
  </sheetData>
  <mergeCells count="15">
    <mergeCell ref="C39:E39"/>
    <mergeCell ref="C40:E40"/>
    <mergeCell ref="B33:E33"/>
    <mergeCell ref="C37:E37"/>
    <mergeCell ref="C38:E38"/>
    <mergeCell ref="B42:E42"/>
    <mergeCell ref="C46:E46"/>
    <mergeCell ref="C47:E47"/>
    <mergeCell ref="C48:E48"/>
    <mergeCell ref="C49:E49"/>
    <mergeCell ref="B51:E51"/>
    <mergeCell ref="C55:E55"/>
    <mergeCell ref="C56:E56"/>
    <mergeCell ref="C57:E57"/>
    <mergeCell ref="C58:E58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130"/>
  <sheetViews>
    <sheetView showGridLines="0" zoomScaleNormal="100" workbookViewId="0">
      <pane xSplit="3" ySplit="3" topLeftCell="D9" activePane="bottomRight" state="frozen"/>
      <selection pane="topRight" activeCell="C1" sqref="C1"/>
      <selection pane="bottomLeft" activeCell="A4" sqref="A4"/>
      <selection pane="bottomRight" activeCell="U33" sqref="U33"/>
    </sheetView>
  </sheetViews>
  <sheetFormatPr baseColWidth="10" defaultColWidth="11.42578125" defaultRowHeight="12.75"/>
  <cols>
    <col min="1" max="1" width="2.42578125" style="348" customWidth="1"/>
    <col min="2" max="2" width="5.5703125" style="1" customWidth="1"/>
    <col min="3" max="3" width="34.85546875" style="1" customWidth="1"/>
    <col min="4" max="4" width="15.5703125" style="1" customWidth="1"/>
    <col min="5" max="5" width="12.140625" style="1" customWidth="1"/>
    <col min="6" max="6" width="10.28515625" style="1" customWidth="1"/>
    <col min="7" max="7" width="10.85546875" style="1" customWidth="1"/>
    <col min="8" max="8" width="12.5703125" style="1" hidden="1" customWidth="1"/>
    <col min="9" max="9" width="1.5703125" style="1" customWidth="1"/>
    <col min="10" max="10" width="16.28515625" style="1" customWidth="1"/>
    <col min="11" max="11" width="35.42578125" style="1" hidden="1" customWidth="1"/>
    <col min="12" max="12" width="13.28515625" style="1" customWidth="1"/>
    <col min="13" max="13" width="8.28515625" style="1" hidden="1" customWidth="1"/>
    <col min="14" max="15" width="11.42578125" style="1" customWidth="1"/>
    <col min="16" max="16" width="1.5703125" style="1" customWidth="1"/>
    <col min="17" max="16384" width="11.42578125" style="1"/>
  </cols>
  <sheetData>
    <row r="2" spans="1:26" ht="12.75" customHeight="1">
      <c r="J2" s="407" t="s">
        <v>149</v>
      </c>
      <c r="K2" s="408"/>
      <c r="L2" s="408"/>
      <c r="M2" s="408"/>
      <c r="N2" s="408"/>
      <c r="O2" s="409"/>
      <c r="P2" s="183"/>
      <c r="Q2" s="410" t="s">
        <v>71</v>
      </c>
      <c r="R2" s="411"/>
      <c r="S2" s="411"/>
      <c r="T2" s="411"/>
      <c r="U2" s="411"/>
    </row>
    <row r="3" spans="1:26" ht="38.25">
      <c r="C3" s="98" t="s">
        <v>150</v>
      </c>
      <c r="D3" s="98" t="s">
        <v>151</v>
      </c>
      <c r="E3" s="98" t="s">
        <v>152</v>
      </c>
      <c r="F3" s="98" t="s">
        <v>153</v>
      </c>
      <c r="G3" s="98" t="s">
        <v>154</v>
      </c>
      <c r="H3" s="99" t="s">
        <v>155</v>
      </c>
      <c r="I3" s="181"/>
      <c r="J3" s="89" t="s">
        <v>156</v>
      </c>
      <c r="K3" s="89" t="s">
        <v>1</v>
      </c>
      <c r="L3" s="90" t="s">
        <v>157</v>
      </c>
      <c r="M3" s="90" t="s">
        <v>158</v>
      </c>
      <c r="N3" s="90" t="s">
        <v>159</v>
      </c>
      <c r="O3" s="229" t="s">
        <v>160</v>
      </c>
      <c r="P3" s="184"/>
      <c r="Q3" s="91" t="s">
        <v>161</v>
      </c>
      <c r="R3" s="206" t="s">
        <v>162</v>
      </c>
      <c r="S3" s="91" t="s">
        <v>163</v>
      </c>
      <c r="T3" s="228" t="s">
        <v>160</v>
      </c>
      <c r="U3" s="207" t="s">
        <v>164</v>
      </c>
      <c r="X3" s="1" t="s">
        <v>165</v>
      </c>
    </row>
    <row r="4" spans="1:26" ht="15" customHeight="1">
      <c r="C4" s="96" t="s">
        <v>97</v>
      </c>
      <c r="D4" s="96">
        <f>+Tabla1[[#This Row],[Consumo presentado '[L/mes']]]*(1-'EERR Global'!$E$23)</f>
        <v>111305</v>
      </c>
      <c r="E4" s="97">
        <v>111305</v>
      </c>
      <c r="F4" s="97">
        <v>540</v>
      </c>
      <c r="G4" s="97">
        <v>178</v>
      </c>
      <c r="H4" s="97"/>
      <c r="I4" s="182"/>
      <c r="J4" s="405" t="s">
        <v>97</v>
      </c>
      <c r="K4" s="406"/>
      <c r="L4" s="406"/>
      <c r="M4" s="406"/>
      <c r="N4" s="406"/>
      <c r="O4" s="406"/>
      <c r="P4" s="406"/>
      <c r="Q4" s="406"/>
      <c r="R4" s="406"/>
      <c r="S4" s="406"/>
      <c r="T4" s="406"/>
      <c r="U4" s="406"/>
    </row>
    <row r="5" spans="1:26">
      <c r="A5" s="348" t="s">
        <v>68</v>
      </c>
      <c r="C5" s="4" t="s">
        <v>166</v>
      </c>
      <c r="D5" s="4">
        <f>+Tabla1[[#This Row],[Consumo presentado '[L/mes']]]*(1-'EERR Global'!$E$23)</f>
        <v>11000</v>
      </c>
      <c r="E5" s="4">
        <v>11000</v>
      </c>
      <c r="F5" s="4">
        <v>98</v>
      </c>
      <c r="G5" s="4">
        <v>54</v>
      </c>
      <c r="H5" s="4"/>
      <c r="I5" s="182"/>
      <c r="J5" s="4" t="s">
        <v>167</v>
      </c>
      <c r="K5" s="4" t="str">
        <f>IFERROR(VLOOKUP(J5,'Lista PQ Comp'!D:E,2,0),"")</f>
        <v>Biocida</v>
      </c>
      <c r="L5" s="4" t="s">
        <v>168</v>
      </c>
      <c r="M5" s="4"/>
      <c r="N5" s="4">
        <f>IFERROR(VLOOKUP(J5,'Lista PQ Comp'!D:F,3,0),"")</f>
        <v>8.08</v>
      </c>
      <c r="O5" s="199">
        <f>N5*Tabla1[[#This Row],[Consumo presentado '[L/mes']]]</f>
        <v>88880</v>
      </c>
      <c r="P5" s="182"/>
      <c r="Q5" s="174" t="s">
        <v>169</v>
      </c>
      <c r="R5" s="175">
        <f>IFERROR(VLOOKUP(Q5,'Lista PQ PECOM'!$I:$P,8,0),"")</f>
        <v>4.72</v>
      </c>
      <c r="S5" s="238">
        <f>IFERROR(VLOOKUP(Q5,CR!D:F,3,0),"")</f>
        <v>3.5365995976854712</v>
      </c>
      <c r="T5" s="241">
        <f>R5*Tabla1[[#This Row],[Consumo optimizado '[l/mes']]]</f>
        <v>51920</v>
      </c>
      <c r="U5" s="216">
        <f t="shared" ref="U5:U29" si="0">(T5-O5)/O5</f>
        <v>-0.41584158415841582</v>
      </c>
      <c r="W5" s="1" t="s">
        <v>170</v>
      </c>
      <c r="Y5" s="1" t="s">
        <v>165</v>
      </c>
      <c r="Z5" s="1" t="s">
        <v>165</v>
      </c>
    </row>
    <row r="6" spans="1:26">
      <c r="A6" s="348" t="s">
        <v>68</v>
      </c>
      <c r="C6" s="4" t="s">
        <v>166</v>
      </c>
      <c r="D6" s="4">
        <f>+Tabla1[[#This Row],[Consumo presentado '[L/mes']]]*(1-'EERR Global'!$E$23)</f>
        <v>6000</v>
      </c>
      <c r="E6" s="4">
        <v>6000</v>
      </c>
      <c r="F6" s="4"/>
      <c r="G6" s="4"/>
      <c r="H6" s="4"/>
      <c r="I6" s="182"/>
      <c r="J6" s="95" t="s">
        <v>171</v>
      </c>
      <c r="K6" s="95"/>
      <c r="L6" s="95" t="s">
        <v>172</v>
      </c>
      <c r="M6" s="95"/>
      <c r="N6" s="95">
        <v>9.4700000000000006</v>
      </c>
      <c r="O6" s="198">
        <f>N6*Tabla1[[#This Row],[Consumo presentado '[L/mes']]]</f>
        <v>56820.000000000007</v>
      </c>
      <c r="P6" s="182"/>
      <c r="Q6" s="95"/>
      <c r="R6" s="95"/>
      <c r="S6" s="335"/>
      <c r="T6" s="198">
        <f>R6*Tabla1[[#This Row],[Consumo optimizado '[l/mes']]]</f>
        <v>0</v>
      </c>
      <c r="U6" s="216">
        <f t="shared" si="0"/>
        <v>-1</v>
      </c>
    </row>
    <row r="7" spans="1:26">
      <c r="A7" s="348" t="s">
        <v>68</v>
      </c>
      <c r="C7" s="4" t="s">
        <v>173</v>
      </c>
      <c r="D7" s="4">
        <f>+Tabla1[[#This Row],[Consumo presentado '[L/mes']]]*(1-'EERR Global'!$E$23)</f>
        <v>1540</v>
      </c>
      <c r="E7" s="4">
        <v>1540</v>
      </c>
      <c r="F7" s="4"/>
      <c r="G7" s="4">
        <v>6</v>
      </c>
      <c r="H7" s="4"/>
      <c r="I7" s="182"/>
      <c r="J7" s="237" t="s">
        <v>44</v>
      </c>
      <c r="K7" s="237" t="str">
        <f>IFERROR(VLOOKUP(J7,'Lista PQ Comp'!D:E,2,0),"")</f>
        <v>Floculante</v>
      </c>
      <c r="L7" s="237" t="s">
        <v>168</v>
      </c>
      <c r="M7" s="237"/>
      <c r="N7" s="237">
        <f>IFERROR(VLOOKUP(J7,'Lista PQ Comp'!D:F,3,0),"")</f>
        <v>10.11</v>
      </c>
      <c r="O7" s="242">
        <f>N7*Tabla1[[#This Row],[Consumo presentado '[L/mes']]]</f>
        <v>15569.4</v>
      </c>
      <c r="P7" s="182"/>
      <c r="Q7" s="237" t="s">
        <v>174</v>
      </c>
      <c r="R7" s="239">
        <f>IFERROR(VLOOKUP(Q7,'Lista PQ PECOM'!$I:$P,8,0),"")</f>
        <v>4.57</v>
      </c>
      <c r="S7" s="240">
        <f>IFERROR(VLOOKUP(Q7,CR!D:F,3,0),"")</f>
        <v>2.9792596308615686</v>
      </c>
      <c r="T7" s="241">
        <f>R7*Tabla1[[#This Row],[Consumo optimizado '[l/mes']]]</f>
        <v>7037.8</v>
      </c>
      <c r="U7" s="216">
        <f t="shared" si="0"/>
        <v>-0.54797230464886248</v>
      </c>
    </row>
    <row r="8" spans="1:26">
      <c r="A8" s="348" t="s">
        <v>68</v>
      </c>
      <c r="C8" s="4" t="s">
        <v>175</v>
      </c>
      <c r="D8" s="4">
        <f>+Tabla1[[#This Row],[Consumo presentado '[L/mes']]]*(1-'EERR Global'!$E$23)</f>
        <v>110</v>
      </c>
      <c r="E8" s="4">
        <v>110</v>
      </c>
      <c r="F8" s="4"/>
      <c r="G8" s="4">
        <v>2</v>
      </c>
      <c r="H8" s="4"/>
      <c r="I8" s="182"/>
      <c r="J8" s="95" t="s">
        <v>176</v>
      </c>
      <c r="K8" s="95" t="str">
        <f>IFERROR(VLOOKUP(J8,'Lista PQ Comp'!D:E,2,0),"")</f>
        <v>Ruptor</v>
      </c>
      <c r="L8" s="95" t="s">
        <v>172</v>
      </c>
      <c r="M8" s="95"/>
      <c r="N8" s="95">
        <f>IFERROR(VLOOKUP(J8,'Lista PQ Comp'!D:F,3,0),"")</f>
        <v>4.5</v>
      </c>
      <c r="O8" s="198">
        <f>N8*Tabla1[[#This Row],[Consumo presentado '[L/mes']]]</f>
        <v>495</v>
      </c>
      <c r="P8" s="182"/>
      <c r="Q8" s="95" t="s">
        <v>177</v>
      </c>
      <c r="R8" s="95">
        <f>IFERROR(VLOOKUP(Q8,'Lista PQ PECOM'!$I:$P,8,0),"")</f>
        <v>3.25</v>
      </c>
      <c r="S8" s="335">
        <f>IFERROR(VLOOKUP(Q8,CR!D:F,3,0),"")</f>
        <v>2.3434332647628273</v>
      </c>
      <c r="T8" s="198">
        <f>R8*Tabla1[[#This Row],[Consumo optimizado '[l/mes']]]</f>
        <v>357.5</v>
      </c>
      <c r="U8" s="216">
        <f t="shared" si="0"/>
        <v>-0.27777777777777779</v>
      </c>
    </row>
    <row r="9" spans="1:26">
      <c r="A9" s="348" t="s">
        <v>68</v>
      </c>
      <c r="C9" s="4" t="s">
        <v>178</v>
      </c>
      <c r="D9" s="4">
        <f>+Tabla1[[#This Row],[Consumo presentado '[L/mes']]]*(1-'EERR Global'!$E$23)</f>
        <v>3080</v>
      </c>
      <c r="E9" s="4">
        <v>3080</v>
      </c>
      <c r="F9" s="4"/>
      <c r="G9" s="4">
        <v>4</v>
      </c>
      <c r="H9" s="4"/>
      <c r="I9" s="182"/>
      <c r="J9" s="237" t="s">
        <v>52</v>
      </c>
      <c r="K9" s="237" t="str">
        <f>IFERROR(VLOOKUP(J9,'Lista PQ Comp'!D:E,2,0),"")</f>
        <v>Clarificante</v>
      </c>
      <c r="L9" s="237" t="s">
        <v>168</v>
      </c>
      <c r="M9" s="237"/>
      <c r="N9" s="237">
        <f>IFERROR(VLOOKUP(J9,'Lista PQ Comp'!D:F,3,0),"")</f>
        <v>5.12</v>
      </c>
      <c r="O9" s="242">
        <f>N9*Tabla1[[#This Row],[Consumo presentado '[L/mes']]]</f>
        <v>15769.6</v>
      </c>
      <c r="P9" s="182"/>
      <c r="Q9" s="237" t="s">
        <v>179</v>
      </c>
      <c r="R9" s="239">
        <f>IFERROR(VLOOKUP(Q9,'Lista PQ PECOM'!$I:$P,8,0),"")</f>
        <v>2.74</v>
      </c>
      <c r="S9" s="240">
        <f>IFERROR(VLOOKUP(Q9,CR!D:F,3,0),"")</f>
        <v>1.504731491417457</v>
      </c>
      <c r="T9" s="241">
        <f>R9*Tabla1[[#This Row],[Consumo optimizado '[l/mes']]]</f>
        <v>8439.2000000000007</v>
      </c>
      <c r="U9" s="216">
        <f t="shared" si="0"/>
        <v>-0.46484374999999994</v>
      </c>
    </row>
    <row r="10" spans="1:26">
      <c r="A10" s="348" t="s">
        <v>68</v>
      </c>
      <c r="C10" s="4" t="s">
        <v>180</v>
      </c>
      <c r="D10" s="4">
        <f>+Tabla1[[#This Row],[Consumo presentado '[L/mes']]]*(1-'EERR Global'!$E$23)</f>
        <v>17046</v>
      </c>
      <c r="E10" s="4">
        <v>17046</v>
      </c>
      <c r="F10" s="4">
        <v>59</v>
      </c>
      <c r="G10" s="4">
        <v>22</v>
      </c>
      <c r="H10" s="4"/>
      <c r="I10" s="182"/>
      <c r="J10" s="95" t="s">
        <v>181</v>
      </c>
      <c r="K10" s="95" t="str">
        <f>IFERROR(VLOOKUP(J10,'Lista PQ Comp'!D:E,2,0),"")</f>
        <v>Desmulsionante</v>
      </c>
      <c r="L10" s="95" t="s">
        <v>172</v>
      </c>
      <c r="M10" s="95"/>
      <c r="N10" s="95">
        <f>IFERROR(VLOOKUP(J10,'Lista PQ Comp'!D:F,3,0),"")</f>
        <v>5.5</v>
      </c>
      <c r="O10" s="198">
        <f>N10*Tabla1[[#This Row],[Consumo presentado '[L/mes']]]</f>
        <v>93753</v>
      </c>
      <c r="P10" s="182"/>
      <c r="Q10" s="95" t="s">
        <v>182</v>
      </c>
      <c r="R10" s="95">
        <f>IFERROR(VLOOKUP(Q10,'Lista PQ PECOM'!$I:$P,8,0),"")</f>
        <v>6.82</v>
      </c>
      <c r="S10" s="335">
        <v>4.03</v>
      </c>
      <c r="T10" s="198">
        <f>R10*Tabla1[[#This Row],[Consumo optimizado '[l/mes']]]</f>
        <v>116253.72</v>
      </c>
      <c r="U10" s="216">
        <f t="shared" si="0"/>
        <v>0.24000000000000002</v>
      </c>
      <c r="W10" s="1" t="s">
        <v>183</v>
      </c>
      <c r="Y10" s="1" t="s">
        <v>184</v>
      </c>
    </row>
    <row r="11" spans="1:26">
      <c r="A11" s="348" t="s">
        <v>68</v>
      </c>
      <c r="C11" s="4" t="s">
        <v>185</v>
      </c>
      <c r="D11" s="4">
        <f>+Tabla1[[#This Row],[Consumo presentado '[L/mes']]]*(1-'EERR Global'!$E$23)</f>
        <v>0</v>
      </c>
      <c r="E11" s="4">
        <v>0</v>
      </c>
      <c r="F11" s="4"/>
      <c r="G11" s="4"/>
      <c r="H11" s="4"/>
      <c r="I11" s="182"/>
      <c r="J11" s="237" t="s">
        <v>186</v>
      </c>
      <c r="K11" s="237" t="str">
        <f>IFERROR(VLOOKUP(J11,'Lista PQ Comp'!D:E,2,0),"")</f>
        <v>Desmulsionante</v>
      </c>
      <c r="L11" s="237" t="s">
        <v>168</v>
      </c>
      <c r="M11" s="237"/>
      <c r="N11" s="237">
        <f>IFERROR(VLOOKUP(J11,'Lista PQ Comp'!D:F,3,0),"")</f>
        <v>4.71</v>
      </c>
      <c r="O11" s="242">
        <f>N11*Tabla1[[#This Row],[Consumo presentado '[L/mes']]]</f>
        <v>0</v>
      </c>
      <c r="P11" s="182"/>
      <c r="Q11" s="237"/>
      <c r="R11" s="239" t="str">
        <f>IFERROR(VLOOKUP(Q11,'Lista PQ PECOM'!$I:$P,8,0),"")</f>
        <v/>
      </c>
      <c r="S11" s="240" t="str">
        <f>IFERROR(VLOOKUP(Q11,CR!D:F,3,0),"")</f>
        <v/>
      </c>
      <c r="T11" s="241"/>
      <c r="U11" s="216" t="e">
        <f t="shared" si="0"/>
        <v>#DIV/0!</v>
      </c>
    </row>
    <row r="12" spans="1:26">
      <c r="A12" s="348" t="s">
        <v>68</v>
      </c>
      <c r="C12" s="4" t="s">
        <v>187</v>
      </c>
      <c r="D12" s="4">
        <f>+Tabla1[[#This Row],[Consumo presentado '[L/mes']]]*(1-'EERR Global'!$E$23)</f>
        <v>0</v>
      </c>
      <c r="E12" s="4">
        <v>0</v>
      </c>
      <c r="F12" s="4"/>
      <c r="G12" s="4">
        <v>2</v>
      </c>
      <c r="H12" s="4"/>
      <c r="I12" s="182"/>
      <c r="J12" s="95"/>
      <c r="K12" s="95" t="str">
        <f>IFERROR(VLOOKUP(J12,'Lista PQ Comp'!D:E,2,0),"")</f>
        <v/>
      </c>
      <c r="L12" s="95"/>
      <c r="M12" s="95"/>
      <c r="N12" s="95" t="str">
        <f>IFERROR(VLOOKUP(J12,'Lista PQ Comp'!D:F,3,0),"")</f>
        <v/>
      </c>
      <c r="O12" s="198"/>
      <c r="P12" s="182"/>
      <c r="Q12" s="95" t="s">
        <v>188</v>
      </c>
      <c r="R12" s="95">
        <f>IFERROR(VLOOKUP(Q12,'Lista PQ PECOM'!$I:$P,8,0),"")</f>
        <v>1.51</v>
      </c>
      <c r="S12" s="335">
        <f>+R12/1.56</f>
        <v>0.96794871794871795</v>
      </c>
      <c r="T12" s="198">
        <f>R12*Tabla1[[#This Row],[Consumo optimizado '[l/mes']]]</f>
        <v>0</v>
      </c>
      <c r="U12" s="216" t="e">
        <f t="shared" si="0"/>
        <v>#DIV/0!</v>
      </c>
      <c r="W12" s="1" t="s">
        <v>189</v>
      </c>
    </row>
    <row r="13" spans="1:26">
      <c r="A13" s="348" t="s">
        <v>68</v>
      </c>
      <c r="C13" s="4" t="s">
        <v>190</v>
      </c>
      <c r="D13" s="4">
        <f>+Tabla1[[#This Row],[Consumo presentado '[L/mes']]]*(1-'EERR Global'!$E$23)</f>
        <v>710</v>
      </c>
      <c r="E13" s="4">
        <v>710</v>
      </c>
      <c r="F13" s="4">
        <v>1</v>
      </c>
      <c r="G13" s="4">
        <v>2</v>
      </c>
      <c r="H13" s="4" t="s">
        <v>191</v>
      </c>
      <c r="I13" s="182"/>
      <c r="J13" s="237" t="s">
        <v>192</v>
      </c>
      <c r="K13" s="237">
        <f>IFERROR(VLOOKUP(J13,'Lista PQ Comp'!D:E,2,0),"")</f>
        <v>0</v>
      </c>
      <c r="L13" s="237" t="s">
        <v>168</v>
      </c>
      <c r="M13" s="237"/>
      <c r="N13" s="237">
        <f>IFERROR(VLOOKUP(J13,'Lista PQ Comp'!D:F,3,0),"")</f>
        <v>4.5</v>
      </c>
      <c r="O13" s="242">
        <f>N13*Tabla1[[#This Row],[Consumo presentado '[L/mes']]]</f>
        <v>3195</v>
      </c>
      <c r="P13" s="182"/>
      <c r="Q13" s="237" t="s">
        <v>191</v>
      </c>
      <c r="R13" s="239">
        <f>IFERROR(VLOOKUP(Q13,'Lista PQ PECOM'!$I:$P,8,0),"")</f>
        <v>4.3899999999999997</v>
      </c>
      <c r="S13" s="240">
        <f>IFERROR(VLOOKUP(Q13,CR!D:F,3,0),"")</f>
        <v>3.7827244302954339</v>
      </c>
      <c r="T13" s="241">
        <f>R13*Tabla1[[#This Row],[Consumo optimizado '[l/mes']]]</f>
        <v>3116.8999999999996</v>
      </c>
      <c r="U13" s="216">
        <f t="shared" si="0"/>
        <v>-2.4444444444444557E-2</v>
      </c>
    </row>
    <row r="14" spans="1:26">
      <c r="A14" s="348" t="s">
        <v>68</v>
      </c>
      <c r="C14" s="4" t="s">
        <v>193</v>
      </c>
      <c r="D14" s="4">
        <f>+Tabla1[[#This Row],[Consumo presentado '[L/mes']]]*(1-'EERR Global'!$E$23)</f>
        <v>450</v>
      </c>
      <c r="E14" s="4">
        <v>450</v>
      </c>
      <c r="F14" s="4"/>
      <c r="G14" s="4">
        <v>4</v>
      </c>
      <c r="H14" s="4"/>
      <c r="I14" s="182"/>
      <c r="J14" s="95" t="s">
        <v>192</v>
      </c>
      <c r="K14" s="95">
        <f>IFERROR(VLOOKUP(J14,'Lista PQ Comp'!D:E,2,0),"")</f>
        <v>0</v>
      </c>
      <c r="L14" s="95" t="s">
        <v>168</v>
      </c>
      <c r="M14" s="95"/>
      <c r="N14" s="95">
        <f>IFERROR(VLOOKUP(J14,'Lista PQ Comp'!D:F,3,0),"")</f>
        <v>4.5</v>
      </c>
      <c r="O14" s="198">
        <f>N14*Tabla1[[#This Row],[Consumo presentado '[L/mes']]]</f>
        <v>2025</v>
      </c>
      <c r="P14" s="182"/>
      <c r="Q14" s="95" t="s">
        <v>194</v>
      </c>
      <c r="R14" s="95">
        <f>IFERROR(VLOOKUP(Q14,'Lista PQ PECOM'!$I:$P,8,0),"")</f>
        <v>5.07</v>
      </c>
      <c r="S14" s="335">
        <f>IFERROR(VLOOKUP(Q14,CR!D:F,3,0),"")</f>
        <v>2.6700881534365926</v>
      </c>
      <c r="T14" s="198">
        <f>R14*Tabla1[[#This Row],[Consumo optimizado '[l/mes']]]</f>
        <v>2281.5</v>
      </c>
      <c r="U14" s="216">
        <f t="shared" si="0"/>
        <v>0.12666666666666668</v>
      </c>
    </row>
    <row r="15" spans="1:26">
      <c r="A15" s="348" t="s">
        <v>68</v>
      </c>
      <c r="C15" s="4" t="s">
        <v>195</v>
      </c>
      <c r="D15" s="4">
        <f>+Tabla1[[#This Row],[Consumo presentado '[L/mes']]]*(1-'EERR Global'!$E$23)</f>
        <v>4462</v>
      </c>
      <c r="E15" s="4">
        <v>4462</v>
      </c>
      <c r="F15" s="4">
        <v>40</v>
      </c>
      <c r="G15" s="4">
        <v>14</v>
      </c>
      <c r="H15" s="4"/>
      <c r="I15" s="182"/>
      <c r="J15" s="237" t="s">
        <v>196</v>
      </c>
      <c r="K15" s="237">
        <f>IFERROR(VLOOKUP(J15,'Lista PQ Comp'!D:E,2,0),"")</f>
        <v>0</v>
      </c>
      <c r="L15" s="237" t="s">
        <v>172</v>
      </c>
      <c r="M15" s="237"/>
      <c r="N15" s="237">
        <f>IFERROR(VLOOKUP(J15,'Lista PQ Comp'!D:F,3,0),"")</f>
        <v>4.5</v>
      </c>
      <c r="O15" s="242">
        <f>N15*Tabla1[[#This Row],[Consumo presentado '[L/mes']]]</f>
        <v>20079</v>
      </c>
      <c r="P15" s="182"/>
      <c r="Q15" s="237" t="s">
        <v>197</v>
      </c>
      <c r="R15" s="239">
        <f>IFERROR(VLOOKUP(Q15,'Lista PQ PECOM'!$I:$P,8,0),"")</f>
        <v>7.32</v>
      </c>
      <c r="S15" s="335">
        <f>IFERROR(VLOOKUP(Q15,CR!D:F,3,0),"")</f>
        <v>4.47</v>
      </c>
      <c r="T15" s="241">
        <f>R15*Tabla1[[#This Row],[Consumo optimizado '[l/mes']]]</f>
        <v>32661.84</v>
      </c>
      <c r="U15" s="216">
        <f t="shared" si="0"/>
        <v>0.62666666666666671</v>
      </c>
    </row>
    <row r="16" spans="1:26">
      <c r="A16" s="348" t="s">
        <v>68</v>
      </c>
      <c r="C16" s="4" t="s">
        <v>198</v>
      </c>
      <c r="D16" s="4">
        <f>+Tabla1[[#This Row],[Consumo presentado '[L/mes']]]*(1-'EERR Global'!$E$23)</f>
        <v>0</v>
      </c>
      <c r="E16" s="4">
        <v>0</v>
      </c>
      <c r="F16" s="4"/>
      <c r="G16" s="4"/>
      <c r="H16" s="4"/>
      <c r="I16" s="182"/>
      <c r="J16" s="95"/>
      <c r="K16" s="95" t="str">
        <f>IFERROR(VLOOKUP(J16,'Lista PQ Comp'!D:E,2,0),"")</f>
        <v/>
      </c>
      <c r="L16" s="95"/>
      <c r="M16" s="95"/>
      <c r="N16" s="95" t="str">
        <f>IFERROR(VLOOKUP(J16,'Lista PQ Comp'!D:F,3,0),"")</f>
        <v/>
      </c>
      <c r="O16" s="198"/>
      <c r="P16" s="182"/>
      <c r="Q16" s="95" t="s">
        <v>170</v>
      </c>
      <c r="R16" s="95">
        <f>IFERROR(VLOOKUP(Q16,'Lista PQ PECOM'!$I:$P,8,0),"")</f>
        <v>3.89</v>
      </c>
      <c r="S16" s="335">
        <f>IFERROR(VLOOKUP(Q16,CR!D:F,3,0),"")</f>
        <v>3.1358174612778318</v>
      </c>
      <c r="T16" s="198">
        <f>R16*Tabla1[[#This Row],[Consumo optimizado '[l/mes']]]</f>
        <v>0</v>
      </c>
      <c r="U16" s="216" t="e">
        <f t="shared" si="0"/>
        <v>#DIV/0!</v>
      </c>
      <c r="W16" s="1" t="s">
        <v>199</v>
      </c>
    </row>
    <row r="17" spans="1:23">
      <c r="A17" s="348" t="s">
        <v>68</v>
      </c>
      <c r="C17" s="4" t="s">
        <v>200</v>
      </c>
      <c r="D17" s="4">
        <f>+Tabla1[[#This Row],[Consumo presentado '[L/mes']]]*(1-'EERR Global'!$E$23)</f>
        <v>139</v>
      </c>
      <c r="E17" s="4">
        <v>139</v>
      </c>
      <c r="F17" s="4"/>
      <c r="G17" s="4">
        <v>1</v>
      </c>
      <c r="H17" s="4"/>
      <c r="I17" s="182"/>
      <c r="J17" s="237" t="s">
        <v>32</v>
      </c>
      <c r="K17" s="237" t="str">
        <f>IFERROR(VLOOKUP(J17,'Lista PQ Comp'!D:E,2,0),"")</f>
        <v>INHIBIDOR DE INCRUSTACIONES</v>
      </c>
      <c r="L17" s="237" t="s">
        <v>168</v>
      </c>
      <c r="M17" s="237"/>
      <c r="N17" s="237">
        <f>IFERROR(VLOOKUP(J17,'Lista PQ Comp'!D:F,3,0),"")</f>
        <v>7.84</v>
      </c>
      <c r="O17" s="242">
        <f>N17*Tabla1[[#This Row],[Consumo presentado '[L/mes']]]</f>
        <v>1089.76</v>
      </c>
      <c r="P17" s="182"/>
      <c r="Q17" s="237" t="s">
        <v>201</v>
      </c>
      <c r="R17" s="239">
        <f>IFERROR(VLOOKUP(Q17,'Lista PQ PECOM'!$I:$P,8,0),"")</f>
        <v>3.48</v>
      </c>
      <c r="S17" s="240">
        <f>IFERROR(VLOOKUP(Q17,CR!D:F,3,0),"")</f>
        <v>1.7864625248587429</v>
      </c>
      <c r="T17" s="241">
        <f>R17*Tabla1[[#This Row],[Consumo optimizado '[l/mes']]]</f>
        <v>483.71999999999997</v>
      </c>
      <c r="U17" s="216">
        <f t="shared" si="0"/>
        <v>-0.55612244897959184</v>
      </c>
    </row>
    <row r="18" spans="1:23">
      <c r="A18" s="348" t="s">
        <v>68</v>
      </c>
      <c r="C18" s="4" t="s">
        <v>202</v>
      </c>
      <c r="D18" s="4">
        <f>+Tabla1[[#This Row],[Consumo presentado '[L/mes']]]*(1-'EERR Global'!$E$23)</f>
        <v>15147</v>
      </c>
      <c r="E18" s="4">
        <v>15147</v>
      </c>
      <c r="F18" s="4">
        <v>130</v>
      </c>
      <c r="G18" s="4">
        <v>20</v>
      </c>
      <c r="H18" s="4"/>
      <c r="I18" s="182"/>
      <c r="J18" s="95" t="s">
        <v>203</v>
      </c>
      <c r="K18" s="95" t="str">
        <f>IFERROR(VLOOKUP(J18,'Lista PQ Comp'!D:E,2,0),"")</f>
        <v>Inhibidor de corrosión</v>
      </c>
      <c r="L18" s="95" t="s">
        <v>172</v>
      </c>
      <c r="M18" s="95"/>
      <c r="N18" s="95">
        <f>IFERROR(VLOOKUP(J18,'Lista PQ Comp'!D:F,3,0),"")</f>
        <v>2.97</v>
      </c>
      <c r="O18" s="198">
        <f>N18*Tabla1[[#This Row],[Consumo presentado '[L/mes']]]</f>
        <v>44986.590000000004</v>
      </c>
      <c r="P18" s="182"/>
      <c r="Q18" s="371" t="s">
        <v>644</v>
      </c>
      <c r="R18" s="95">
        <f>IFERROR(VLOOKUP(Q18,'Lista PQ PECOM'!$I:$P,8,0),"")</f>
        <v>3.7</v>
      </c>
      <c r="S18" s="335">
        <f>+S47</f>
        <v>2.42</v>
      </c>
      <c r="T18" s="198">
        <f>R18*Tabla1[[#This Row],[Consumo optimizado '[l/mes']]]</f>
        <v>56043.9</v>
      </c>
      <c r="U18" s="216">
        <f t="shared" si="0"/>
        <v>0.24579124579124573</v>
      </c>
    </row>
    <row r="19" spans="1:23">
      <c r="A19" s="348" t="s">
        <v>68</v>
      </c>
      <c r="C19" s="4" t="s">
        <v>205</v>
      </c>
      <c r="D19" s="4">
        <f>+Tabla1[[#This Row],[Consumo presentado '[L/mes']]]*(1-'EERR Global'!$E$23)</f>
        <v>6662</v>
      </c>
      <c r="E19" s="4">
        <v>6662</v>
      </c>
      <c r="F19" s="4">
        <v>9</v>
      </c>
      <c r="G19" s="4">
        <v>14</v>
      </c>
      <c r="H19" s="4" t="s">
        <v>206</v>
      </c>
      <c r="I19" s="182"/>
      <c r="J19" s="237" t="s">
        <v>207</v>
      </c>
      <c r="K19" s="237" t="str">
        <f>IFERROR(VLOOKUP(J19,'Lista PQ Comp'!D:E,2,0),"")</f>
        <v>INHIBIDOR DE INCRUSTACIONES</v>
      </c>
      <c r="L19" s="237" t="s">
        <v>172</v>
      </c>
      <c r="M19" s="237"/>
      <c r="N19" s="237">
        <f>IFERROR(VLOOKUP(J19,'Lista PQ Comp'!D:F,3,0),"")</f>
        <v>5.31</v>
      </c>
      <c r="O19" s="242">
        <f>N19*Tabla1[[#This Row],[Consumo presentado '[L/mes']]]</f>
        <v>35375.219999999994</v>
      </c>
      <c r="P19" s="182"/>
      <c r="Q19" s="237" t="s">
        <v>208</v>
      </c>
      <c r="R19" s="239">
        <f>IFERROR(VLOOKUP(Q19,'Lista PQ PECOM'!$I:$P,8,0),"")</f>
        <v>4.0199999999999996</v>
      </c>
      <c r="S19" s="240">
        <f>IFERROR(VLOOKUP(Q19,CR!D:F,3,0),"")</f>
        <v>1.8969840434471943</v>
      </c>
      <c r="T19" s="241">
        <f>R19*Tabla1[[#This Row],[Consumo optimizado '[l/mes']]]</f>
        <v>26781.239999999998</v>
      </c>
      <c r="U19" s="216">
        <f t="shared" si="0"/>
        <v>-0.24293785310734456</v>
      </c>
    </row>
    <row r="20" spans="1:23">
      <c r="A20" s="348" t="s">
        <v>68</v>
      </c>
      <c r="C20" s="4" t="s">
        <v>209</v>
      </c>
      <c r="D20" s="4">
        <f>+Tabla1[[#This Row],[Consumo presentado '[L/mes']]]*(1-'EERR Global'!$E$23)</f>
        <v>0</v>
      </c>
      <c r="E20" s="4">
        <v>0</v>
      </c>
      <c r="F20" s="4"/>
      <c r="G20" s="4"/>
      <c r="H20" s="4"/>
      <c r="I20" s="182"/>
      <c r="J20" s="95"/>
      <c r="K20" s="95" t="str">
        <f>IFERROR(VLOOKUP(J20,'Lista PQ Comp'!D:E,2,0),"")</f>
        <v/>
      </c>
      <c r="L20" s="95"/>
      <c r="M20" s="95"/>
      <c r="N20" s="95" t="str">
        <f>IFERROR(VLOOKUP(J20,'Lista PQ Comp'!D:F,3,0),"")</f>
        <v/>
      </c>
      <c r="O20" s="198"/>
      <c r="P20" s="182"/>
      <c r="Q20" s="95"/>
      <c r="R20" s="95" t="str">
        <f>IFERROR(VLOOKUP(Q20,'Lista PQ PECOM'!$I:$P,8,0),"")</f>
        <v/>
      </c>
      <c r="S20" s="335" t="str">
        <f>IFERROR(VLOOKUP(Q20,CR!D:F,3,0),"")</f>
        <v/>
      </c>
      <c r="T20" s="198"/>
      <c r="U20" s="216" t="e">
        <f t="shared" si="0"/>
        <v>#DIV/0!</v>
      </c>
    </row>
    <row r="21" spans="1:23">
      <c r="A21" s="348" t="s">
        <v>68</v>
      </c>
      <c r="C21" s="4" t="s">
        <v>210</v>
      </c>
      <c r="D21" s="4">
        <f>+Tabla1[[#This Row],[Consumo presentado '[L/mes']]]*(1-'EERR Global'!$E$23)</f>
        <v>539</v>
      </c>
      <c r="E21" s="4">
        <v>539</v>
      </c>
      <c r="F21" s="4"/>
      <c r="G21" s="4">
        <v>3</v>
      </c>
      <c r="H21" s="4"/>
      <c r="I21" s="182"/>
      <c r="J21" s="237" t="s">
        <v>211</v>
      </c>
      <c r="K21" s="237" t="str">
        <f>IFERROR(VLOOKUP(J21,'Lista PQ Comp'!D:E,2,0),"")</f>
        <v>Mejorador de flujo</v>
      </c>
      <c r="L21" s="237" t="s">
        <v>172</v>
      </c>
      <c r="M21" s="237"/>
      <c r="N21" s="237">
        <f>IFERROR(VLOOKUP(J21,'Lista PQ Comp'!D:F,3,0),"")</f>
        <v>4.5</v>
      </c>
      <c r="O21" s="242">
        <f>N21*Tabla1[[#This Row],[Consumo presentado '[L/mes']]]</f>
        <v>2425.5</v>
      </c>
      <c r="P21" s="182"/>
      <c r="Q21" s="237" t="s">
        <v>212</v>
      </c>
      <c r="R21" s="237">
        <f>IFERROR(VLOOKUP(Q21,'Lista PQ PECOM'!$I:$P,8,0),"")</f>
        <v>3.45</v>
      </c>
      <c r="S21" s="240">
        <f>+R21/1.56</f>
        <v>2.2115384615384617</v>
      </c>
      <c r="T21" s="241">
        <f>R21*Tabla1[[#This Row],[Consumo optimizado '[l/mes']]]</f>
        <v>1859.5500000000002</v>
      </c>
      <c r="U21" s="216">
        <f t="shared" si="0"/>
        <v>-0.23333333333333325</v>
      </c>
      <c r="W21" s="1" t="s">
        <v>189</v>
      </c>
    </row>
    <row r="22" spans="1:23">
      <c r="A22" s="348" t="s">
        <v>68</v>
      </c>
      <c r="C22" s="4" t="s">
        <v>213</v>
      </c>
      <c r="D22" s="4">
        <f>+Tabla1[[#This Row],[Consumo presentado '[L/mes']]]*(1-'EERR Global'!$E$23)</f>
        <v>7025</v>
      </c>
      <c r="E22" s="4">
        <v>7025</v>
      </c>
      <c r="F22" s="4">
        <v>156</v>
      </c>
      <c r="G22" s="4">
        <v>1</v>
      </c>
      <c r="H22" s="4" t="s">
        <v>214</v>
      </c>
      <c r="I22" s="182"/>
      <c r="J22" s="95" t="s">
        <v>196</v>
      </c>
      <c r="K22" s="95">
        <f>IFERROR(VLOOKUP(J22,'Lista PQ Comp'!D:E,2,0),"")</f>
        <v>0</v>
      </c>
      <c r="L22" s="95" t="s">
        <v>172</v>
      </c>
      <c r="M22" s="95"/>
      <c r="N22" s="95">
        <f>IFERROR(VLOOKUP(J22,'Lista PQ Comp'!D:F,3,0),"")</f>
        <v>4.5</v>
      </c>
      <c r="O22" s="198">
        <f>N22*Tabla1[[#This Row],[Consumo presentado '[L/mes']]]</f>
        <v>31612.5</v>
      </c>
      <c r="P22" s="182"/>
      <c r="Q22" s="95" t="s">
        <v>177</v>
      </c>
      <c r="R22" s="95">
        <f>IFERROR(VLOOKUP(Q22,'Lista PQ PECOM'!$I:$P,8,0),"")</f>
        <v>3.25</v>
      </c>
      <c r="S22" s="335">
        <f>IFERROR(VLOOKUP(Q22,CR!D:F,3,0),"")</f>
        <v>2.3434332647628273</v>
      </c>
      <c r="T22" s="198">
        <f>R22*Tabla1[[#This Row],[Consumo optimizado '[l/mes']]]</f>
        <v>22831.25</v>
      </c>
      <c r="U22" s="216">
        <f t="shared" si="0"/>
        <v>-0.27777777777777779</v>
      </c>
    </row>
    <row r="23" spans="1:23">
      <c r="A23" s="348" t="s">
        <v>68</v>
      </c>
      <c r="C23" s="4" t="s">
        <v>215</v>
      </c>
      <c r="D23" s="4">
        <f>+Tabla1[[#This Row],[Consumo presentado '[L/mes']]]*(1-'EERR Global'!$E$23)</f>
        <v>0</v>
      </c>
      <c r="E23" s="4">
        <v>0</v>
      </c>
      <c r="F23" s="4">
        <v>2</v>
      </c>
      <c r="G23" s="4"/>
      <c r="H23" s="4" t="s">
        <v>216</v>
      </c>
      <c r="I23" s="182"/>
      <c r="J23" s="237"/>
      <c r="K23" s="237" t="str">
        <f>IFERROR(VLOOKUP(J23,'Lista PQ Comp'!D:E,2,0),"")</f>
        <v/>
      </c>
      <c r="L23" s="237"/>
      <c r="M23" s="237"/>
      <c r="N23" s="237" t="str">
        <f>IFERROR(VLOOKUP(J23,'Lista PQ Comp'!D:F,3,0),"")</f>
        <v/>
      </c>
      <c r="O23" s="242"/>
      <c r="P23" s="182"/>
      <c r="Q23" s="237" t="s">
        <v>216</v>
      </c>
      <c r="R23" s="237">
        <f>IFERROR(VLOOKUP(Q23,'Lista PQ PECOM'!$I:$P,8,0),"")</f>
        <v>3.77</v>
      </c>
      <c r="S23" s="240">
        <f>IFERROR(VLOOKUP(Q23,CR!D:F,3,0),"")</f>
        <v>1.5604308196088428</v>
      </c>
      <c r="T23" s="241">
        <f>R23*Tabla1[[#This Row],[Consumo optimizado '[l/mes']]]</f>
        <v>0</v>
      </c>
      <c r="U23" s="216" t="e">
        <f t="shared" si="0"/>
        <v>#DIV/0!</v>
      </c>
    </row>
    <row r="24" spans="1:23">
      <c r="A24" s="348" t="s">
        <v>68</v>
      </c>
      <c r="C24" s="4" t="s">
        <v>217</v>
      </c>
      <c r="D24" s="4">
        <f>+Tabla1[[#This Row],[Consumo presentado '[L/mes']]]*(1-'EERR Global'!$E$23)</f>
        <v>4782</v>
      </c>
      <c r="E24" s="4">
        <v>4782</v>
      </c>
      <c r="F24" s="4">
        <v>44</v>
      </c>
      <c r="G24" s="4">
        <v>7</v>
      </c>
      <c r="H24" s="4"/>
      <c r="I24" s="182"/>
      <c r="J24" s="95" t="s">
        <v>211</v>
      </c>
      <c r="K24" s="95" t="str">
        <f>IFERROR(VLOOKUP(J24,'Lista PQ Comp'!D:E,2,0),"")</f>
        <v>Mejorador de flujo</v>
      </c>
      <c r="L24" s="95" t="s">
        <v>172</v>
      </c>
      <c r="M24" s="95"/>
      <c r="N24" s="95">
        <f>IFERROR(VLOOKUP(J24,'Lista PQ Comp'!D:F,3,0),"")</f>
        <v>4.5</v>
      </c>
      <c r="O24" s="198">
        <f>N24*Tabla1[[#This Row],[Consumo presentado '[L/mes']]]</f>
        <v>21519</v>
      </c>
      <c r="P24" s="182"/>
      <c r="Q24" s="95" t="s">
        <v>218</v>
      </c>
      <c r="R24" s="95">
        <f>IFERROR(VLOOKUP(Q24,'Lista PQ PECOM'!$I:$P,8,0),"")</f>
        <v>7.88</v>
      </c>
      <c r="S24" s="335">
        <f>IFERROR(VLOOKUP(Q24,CR!D:F,3,0),"")</f>
        <v>4.144528449302924</v>
      </c>
      <c r="T24" s="198">
        <f>R24*Tabla1[[#This Row],[Consumo optimizado '[l/mes']]]</f>
        <v>37682.159999999996</v>
      </c>
      <c r="U24" s="216">
        <f t="shared" si="0"/>
        <v>0.75111111111111095</v>
      </c>
    </row>
    <row r="25" spans="1:23">
      <c r="A25" s="348" t="s">
        <v>68</v>
      </c>
      <c r="C25" s="4" t="s">
        <v>219</v>
      </c>
      <c r="D25" s="4">
        <f>+Tabla1[[#This Row],[Consumo presentado '[L/mes']]]*(1-'EERR Global'!$E$23)</f>
        <v>1130</v>
      </c>
      <c r="E25" s="4">
        <v>1130</v>
      </c>
      <c r="F25" s="4"/>
      <c r="G25" s="4">
        <v>4</v>
      </c>
      <c r="H25" s="4" t="s">
        <v>220</v>
      </c>
      <c r="I25" s="182"/>
      <c r="J25" s="237"/>
      <c r="K25" s="237" t="str">
        <f>IFERROR(VLOOKUP(J25,'Lista PQ Comp'!D:E,2,0),"")</f>
        <v/>
      </c>
      <c r="L25" s="237"/>
      <c r="M25" s="237"/>
      <c r="N25" s="237" t="str">
        <f>IFERROR(VLOOKUP(J25,'Lista PQ Comp'!D:F,3,0),"")</f>
        <v/>
      </c>
      <c r="O25" s="242"/>
      <c r="P25" s="182"/>
      <c r="Q25" s="237"/>
      <c r="R25" s="237" t="str">
        <f>IFERROR(VLOOKUP(Q25,'Lista PQ PECOM'!$I:$P,8,0),"")</f>
        <v/>
      </c>
      <c r="S25" s="240" t="str">
        <f>IFERROR(VLOOKUP(Q25,CR!D:F,3,0),"")</f>
        <v/>
      </c>
      <c r="T25" s="241"/>
      <c r="U25" s="216" t="e">
        <f t="shared" si="0"/>
        <v>#DIV/0!</v>
      </c>
      <c r="W25" s="1" t="s">
        <v>220</v>
      </c>
    </row>
    <row r="26" spans="1:23">
      <c r="A26" s="348" t="s">
        <v>68</v>
      </c>
      <c r="C26" s="4" t="s">
        <v>221</v>
      </c>
      <c r="D26" s="4">
        <f>+Tabla1[[#This Row],[Consumo presentado '[L/mes']]]*(1-'EERR Global'!$E$23)</f>
        <v>28500</v>
      </c>
      <c r="E26" s="4">
        <v>28500</v>
      </c>
      <c r="F26" s="4"/>
      <c r="G26" s="4">
        <v>2</v>
      </c>
      <c r="H26" s="4" t="s">
        <v>222</v>
      </c>
      <c r="I26" s="182"/>
      <c r="J26" s="95"/>
      <c r="K26" s="95" t="str">
        <f>IFERROR(VLOOKUP(J26,'Lista PQ Comp'!D:E,2,0),"")</f>
        <v/>
      </c>
      <c r="L26" s="95"/>
      <c r="M26" s="95"/>
      <c r="N26" s="95" t="str">
        <f>IFERROR(VLOOKUP(J26,'Lista PQ Comp'!D:F,3,0),"")</f>
        <v/>
      </c>
      <c r="O26" s="198"/>
      <c r="P26" s="182"/>
      <c r="Q26" s="95"/>
      <c r="R26" s="95" t="str">
        <f>IFERROR(VLOOKUP(Q26,'Lista PQ PECOM'!$I:$P,8,0),"")</f>
        <v/>
      </c>
      <c r="S26" s="335" t="str">
        <f>IFERROR(VLOOKUP(Q26,CR!D:F,3,0),"")</f>
        <v/>
      </c>
      <c r="T26" s="198"/>
      <c r="U26" s="216" t="e">
        <f t="shared" si="0"/>
        <v>#DIV/0!</v>
      </c>
      <c r="W26" s="1" t="s">
        <v>223</v>
      </c>
    </row>
    <row r="27" spans="1:23">
      <c r="A27" s="348" t="s">
        <v>68</v>
      </c>
      <c r="C27" s="4" t="s">
        <v>224</v>
      </c>
      <c r="D27" s="4">
        <f>+Tabla1[[#This Row],[Consumo presentado '[L/mes']]]*(1-'EERR Global'!$E$23)</f>
        <v>2170</v>
      </c>
      <c r="E27" s="4">
        <v>2170</v>
      </c>
      <c r="F27" s="4">
        <v>1</v>
      </c>
      <c r="G27" s="4">
        <v>8</v>
      </c>
      <c r="H27" s="4" t="s">
        <v>225</v>
      </c>
      <c r="I27" s="182"/>
      <c r="J27" s="237" t="s">
        <v>51</v>
      </c>
      <c r="K27" s="237" t="str">
        <f>IFERROR(VLOOKUP(J27,'Lista PQ Comp'!D:E,2,0),"")</f>
        <v>Inhibidor de corrosión</v>
      </c>
      <c r="L27" s="237" t="s">
        <v>168</v>
      </c>
      <c r="M27" s="237"/>
      <c r="N27" s="237">
        <f>IFERROR(VLOOKUP(J27,'Lista PQ Comp'!D:F,3,0),"")</f>
        <v>1.77</v>
      </c>
      <c r="O27" s="242">
        <f>N27*Tabla1[[#This Row],[Consumo presentado '[L/mes']]]</f>
        <v>3840.9</v>
      </c>
      <c r="P27" s="182"/>
      <c r="Q27" s="237" t="s">
        <v>226</v>
      </c>
      <c r="R27" s="237">
        <f>IFERROR(VLOOKUP(Q27,'Lista PQ PECOM'!$I:$P,8,0),"")</f>
        <v>2.31</v>
      </c>
      <c r="S27" s="240">
        <f>IFERROR(VLOOKUP(Q27,CR!D:F,3,0),"")</f>
        <v>1.8266571757018397</v>
      </c>
      <c r="T27" s="241">
        <f>R27*Tabla1[[#This Row],[Consumo optimizado '[l/mes']]]</f>
        <v>5012.7</v>
      </c>
      <c r="U27" s="216">
        <f t="shared" si="0"/>
        <v>0.30508474576271177</v>
      </c>
    </row>
    <row r="28" spans="1:23">
      <c r="A28" s="348" t="s">
        <v>68</v>
      </c>
      <c r="C28" s="4" t="s">
        <v>227</v>
      </c>
      <c r="D28" s="4">
        <f>+Tabla1[[#This Row],[Consumo presentado '[L/mes']]]*(1-'EERR Global'!$E$23)</f>
        <v>790</v>
      </c>
      <c r="E28" s="4">
        <v>790</v>
      </c>
      <c r="F28" s="4"/>
      <c r="G28" s="4">
        <v>8</v>
      </c>
      <c r="H28" s="4" t="s">
        <v>228</v>
      </c>
      <c r="I28" s="182"/>
      <c r="J28" s="95" t="s">
        <v>229</v>
      </c>
      <c r="K28" s="95" t="str">
        <f>IFERROR(VLOOKUP(J28,'Lista PQ Comp'!D:E,2,0),"")</f>
        <v>Sec de H2S</v>
      </c>
      <c r="L28" s="95" t="s">
        <v>168</v>
      </c>
      <c r="M28" s="95"/>
      <c r="N28" s="95">
        <f>IFERROR(VLOOKUP(J28,'Lista PQ Comp'!D:F,3,0),"")</f>
        <v>2.64</v>
      </c>
      <c r="O28" s="198">
        <f>N28*Tabla1[[#This Row],[Consumo presentado '[L/mes']]]</f>
        <v>2085.6</v>
      </c>
      <c r="P28" s="182"/>
      <c r="Q28" s="95" t="s">
        <v>230</v>
      </c>
      <c r="R28" s="95">
        <f>IFERROR(VLOOKUP(Q28,'Lista PQ PECOM'!$I:$P,8,0),"")</f>
        <v>4.1100000000000003</v>
      </c>
      <c r="S28" s="335">
        <f>IFERROR(VLOOKUP(Q28,CR!D:F,3,0),"")</f>
        <v>2.1833464266698939</v>
      </c>
      <c r="T28" s="198">
        <f>R28*Tabla1[[#This Row],[Consumo optimizado '[l/mes']]]</f>
        <v>3246.9</v>
      </c>
      <c r="U28" s="216">
        <f t="shared" si="0"/>
        <v>0.55681818181818188</v>
      </c>
    </row>
    <row r="29" spans="1:23">
      <c r="A29" s="348" t="s">
        <v>68</v>
      </c>
      <c r="C29" s="188" t="s">
        <v>231</v>
      </c>
      <c r="D29" s="188">
        <f>+Tabla1[[#This Row],[Consumo presentado '[L/mes']]]*(1-'EERR Global'!$E$23)</f>
        <v>0</v>
      </c>
      <c r="E29" s="188"/>
      <c r="F29" s="188"/>
      <c r="G29" s="188"/>
      <c r="H29" s="188"/>
      <c r="I29" s="182"/>
      <c r="J29" s="237" t="s">
        <v>232</v>
      </c>
      <c r="K29" s="237" t="str">
        <f>IFERROR(VLOOKUP(J29,'Lista PQ Comp'!D:E,2,0),"")</f>
        <v>Antiespumante</v>
      </c>
      <c r="L29" s="237" t="s">
        <v>172</v>
      </c>
      <c r="M29" s="237"/>
      <c r="N29" s="237">
        <f>IFERROR(VLOOKUP(J29,'Lista PQ Comp'!D:F,3,0),"")</f>
        <v>4.5</v>
      </c>
      <c r="O29" s="242">
        <f>N29*Tabla1[[#This Row],[Consumo presentado '[L/mes']]]</f>
        <v>0</v>
      </c>
      <c r="P29" s="182"/>
      <c r="Q29" s="237" t="s">
        <v>233</v>
      </c>
      <c r="R29" s="237">
        <f>IFERROR(VLOOKUP(Q29,'Lista PQ PECOM'!$I:$P,8,0),"")</f>
        <v>4.09</v>
      </c>
      <c r="S29" s="240">
        <f>IFERROR(VLOOKUP(Q29,CR!D:F,3,0),"")</f>
        <v>2.7763208494675706</v>
      </c>
      <c r="T29" s="241">
        <f>R29*Tabla1[[#This Row],[Consumo optimizado '[l/mes']]]</f>
        <v>0</v>
      </c>
      <c r="U29" s="216" t="e">
        <f t="shared" si="0"/>
        <v>#DIV/0!</v>
      </c>
    </row>
    <row r="30" spans="1:23">
      <c r="A30" s="348" t="s">
        <v>68</v>
      </c>
      <c r="C30" s="191"/>
      <c r="D30" s="191"/>
      <c r="E30" s="191"/>
      <c r="F30" s="191"/>
      <c r="G30" s="191"/>
      <c r="H30" s="191"/>
      <c r="I30" s="71"/>
      <c r="J30" s="71"/>
      <c r="K30" s="71"/>
      <c r="L30" s="71"/>
      <c r="M30" s="71"/>
      <c r="N30" s="243" t="s">
        <v>234</v>
      </c>
      <c r="O30" s="244">
        <f>SUM(O5:O29)</f>
        <v>439521.07</v>
      </c>
      <c r="P30" s="71"/>
      <c r="Q30" s="71"/>
      <c r="R30" s="71"/>
      <c r="S30" s="230" t="s">
        <v>234</v>
      </c>
      <c r="T30" s="203">
        <f>SUM(T5:T29)</f>
        <v>376009.88</v>
      </c>
    </row>
    <row r="31" spans="1:23">
      <c r="A31" s="348" t="s">
        <v>68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192"/>
      <c r="T31" s="192"/>
    </row>
    <row r="32" spans="1:23" ht="15" customHeight="1">
      <c r="A32" s="348" t="s">
        <v>68</v>
      </c>
      <c r="C32" s="189" t="s">
        <v>98</v>
      </c>
      <c r="D32" s="189">
        <f>+Tabla1[[#This Row],[Consumo presentado '[L/mes']]]*(1-'EERR Global'!$E$23)</f>
        <v>61181</v>
      </c>
      <c r="E32" s="190">
        <v>61181</v>
      </c>
      <c r="F32" s="190">
        <v>148</v>
      </c>
      <c r="G32" s="190">
        <v>157</v>
      </c>
      <c r="H32" s="190"/>
      <c r="I32" s="182"/>
      <c r="J32" s="405" t="s">
        <v>98</v>
      </c>
      <c r="K32" s="406"/>
      <c r="L32" s="406"/>
      <c r="M32" s="406"/>
      <c r="N32" s="406"/>
      <c r="O32" s="406"/>
      <c r="P32" s="406"/>
      <c r="Q32" s="406"/>
      <c r="R32" s="406"/>
      <c r="S32" s="406"/>
      <c r="T32" s="406"/>
      <c r="U32" s="406"/>
    </row>
    <row r="33" spans="1:23" s="177" customFormat="1">
      <c r="A33" s="348" t="s">
        <v>235</v>
      </c>
      <c r="C33" s="117" t="s">
        <v>166</v>
      </c>
      <c r="D33" s="117">
        <f>+Tabla1[[#This Row],[Consumo presentado '[L/mes']]]*(1-'EERR Global'!$E$23)</f>
        <v>5000</v>
      </c>
      <c r="E33" s="174">
        <v>5000</v>
      </c>
      <c r="F33" s="174"/>
      <c r="G33" s="174"/>
      <c r="H33" s="174"/>
      <c r="I33" s="182"/>
      <c r="J33" s="174" t="s">
        <v>167</v>
      </c>
      <c r="K33" s="116" t="str">
        <f>IFERROR(VLOOKUP(J33,'Lista PQ Comp'!D:E,2,0),"")</f>
        <v>Biocida</v>
      </c>
      <c r="L33" s="174" t="s">
        <v>168</v>
      </c>
      <c r="M33" s="174"/>
      <c r="N33" s="4">
        <f>IFERROR(VLOOKUP(J33,'Lista PQ Comp'!D:F,3,0),"")</f>
        <v>8.08</v>
      </c>
      <c r="O33" s="199">
        <f>N33*Tabla1[[#This Row],[Consumo presentado '[L/mes']]]</f>
        <v>40400</v>
      </c>
      <c r="P33" s="185"/>
      <c r="Q33" s="174"/>
      <c r="R33" s="174"/>
      <c r="S33" s="176"/>
      <c r="T33" s="198">
        <f>R33*Tabla1[[#This Row],[Consumo optimizado '[l/mes']]]</f>
        <v>0</v>
      </c>
      <c r="U33" s="215"/>
    </row>
    <row r="34" spans="1:23">
      <c r="A34" s="348" t="s">
        <v>235</v>
      </c>
      <c r="C34" s="4" t="s">
        <v>166</v>
      </c>
      <c r="D34" s="4">
        <f>+Tabla1[[#This Row],[Consumo presentado '[L/mes']]]*(1-'EERR Global'!$E$23)</f>
        <v>3000</v>
      </c>
      <c r="E34" s="4">
        <v>3000</v>
      </c>
      <c r="F34" s="4">
        <v>53</v>
      </c>
      <c r="G34" s="4">
        <v>12</v>
      </c>
      <c r="H34" s="4"/>
      <c r="I34" s="182"/>
      <c r="J34" s="95" t="s">
        <v>236</v>
      </c>
      <c r="K34" s="95" t="str">
        <f>IFERROR(VLOOKUP(J34,'Lista PQ Comp'!D:E,2,0),"")</f>
        <v>Biocida</v>
      </c>
      <c r="L34" s="95" t="s">
        <v>172</v>
      </c>
      <c r="M34" s="95"/>
      <c r="N34" s="95">
        <f>IFERROR(VLOOKUP(J34,'Lista PQ Comp'!D:F,3,0),"")</f>
        <v>9.4700000000000006</v>
      </c>
      <c r="O34" s="198">
        <f>N34*Tabla1[[#This Row],[Consumo presentado '[L/mes']]]</f>
        <v>28410.000000000004</v>
      </c>
      <c r="P34" s="182"/>
      <c r="Q34" s="95" t="s">
        <v>237</v>
      </c>
      <c r="R34" s="95">
        <f>IFERROR(VLOOKUP(Q34,'Lista PQ PECOM'!$I:$P,8,0),"")</f>
        <v>4.5</v>
      </c>
      <c r="S34" s="208">
        <f>IFERROR(VLOOKUP(Q34,CR!D:F,3,0),"")</f>
        <v>2.305250610594519</v>
      </c>
      <c r="T34" s="198">
        <f>R34*Tabla1[[#This Row],[Consumo optimizado '[l/mes']]]</f>
        <v>13500</v>
      </c>
      <c r="U34" s="216">
        <f t="shared" ref="U34:U54" si="1">(T34-O34)/O34</f>
        <v>-0.5248152059134108</v>
      </c>
    </row>
    <row r="35" spans="1:23">
      <c r="A35" s="348" t="s">
        <v>235</v>
      </c>
      <c r="C35" s="4" t="s">
        <v>173</v>
      </c>
      <c r="D35" s="4">
        <f>+Tabla1[[#This Row],[Consumo presentado '[L/mes']]]*(1-'EERR Global'!$E$23)</f>
        <v>1310</v>
      </c>
      <c r="E35" s="4">
        <v>1310</v>
      </c>
      <c r="F35" s="4"/>
      <c r="G35" s="4">
        <v>2</v>
      </c>
      <c r="H35" s="4"/>
      <c r="I35" s="182"/>
      <c r="J35" s="4" t="s">
        <v>44</v>
      </c>
      <c r="K35" s="4" t="str">
        <f>IFERROR(VLOOKUP(J35,'Lista PQ Comp'!D:E,2,0),"")</f>
        <v>Floculante</v>
      </c>
      <c r="L35" s="4" t="s">
        <v>168</v>
      </c>
      <c r="M35" s="4"/>
      <c r="N35" s="4">
        <f>IFERROR(VLOOKUP(J35,'Lista PQ Comp'!D:F,3,0),"")</f>
        <v>10.11</v>
      </c>
      <c r="O35" s="199">
        <f>N35*Tabla1[[#This Row],[Consumo presentado '[L/mes']]]</f>
        <v>13244.099999999999</v>
      </c>
      <c r="P35" s="182"/>
      <c r="Q35" s="4" t="s">
        <v>238</v>
      </c>
      <c r="R35" s="4">
        <f>IFERROR(VLOOKUP(Q35,'Lista PQ PECOM'!$I:$P,8,0),"")</f>
        <v>9.25</v>
      </c>
      <c r="S35" s="208">
        <f>IFERROR(VLOOKUP(Q35,CR!D:F,3,0),"")</f>
        <v>5.0747919288480157</v>
      </c>
      <c r="T35" s="199">
        <f>R35*Tabla1[[#This Row],[Consumo optimizado '[l/mes']]]</f>
        <v>12117.5</v>
      </c>
      <c r="U35" s="216">
        <f t="shared" si="1"/>
        <v>-8.5064292779426204E-2</v>
      </c>
    </row>
    <row r="36" spans="1:23">
      <c r="A36" s="348" t="s">
        <v>235</v>
      </c>
      <c r="C36" s="4" t="s">
        <v>239</v>
      </c>
      <c r="D36" s="4">
        <f>+Tabla1[[#This Row],[Consumo presentado '[L/mes']]]*(1-'EERR Global'!$E$23)</f>
        <v>1226</v>
      </c>
      <c r="E36" s="4">
        <v>1226</v>
      </c>
      <c r="F36" s="4"/>
      <c r="G36" s="4">
        <v>2</v>
      </c>
      <c r="H36" s="4"/>
      <c r="I36" s="182"/>
      <c r="J36" s="95" t="s">
        <v>240</v>
      </c>
      <c r="K36" s="95" t="str">
        <f>IFERROR(VLOOKUP(J36,'Lista PQ Comp'!D:E,2,0),"")</f>
        <v>Desmulsionante</v>
      </c>
      <c r="L36" s="95" t="s">
        <v>172</v>
      </c>
      <c r="M36" s="95"/>
      <c r="N36" s="95">
        <f>IFERROR(VLOOKUP(J36,'Lista PQ Comp'!D:F,3,0),"")</f>
        <v>6.46</v>
      </c>
      <c r="O36" s="198">
        <f>N36*Tabla1[[#This Row],[Consumo presentado '[L/mes']]]</f>
        <v>7919.96</v>
      </c>
      <c r="P36" s="182"/>
      <c r="Q36" s="95" t="s">
        <v>177</v>
      </c>
      <c r="R36" s="95">
        <f>IFERROR(VLOOKUP(Q36,'Lista PQ PECOM'!$I:$P,8,0),"")</f>
        <v>3.25</v>
      </c>
      <c r="S36" s="208">
        <f>IFERROR(VLOOKUP(Q36,CR!D:F,3,0),"")</f>
        <v>2.3434332647628273</v>
      </c>
      <c r="T36" s="199">
        <f>R36*Tabla1[[#This Row],[Consumo optimizado '[l/mes']]]</f>
        <v>3984.5</v>
      </c>
      <c r="U36" s="216">
        <f t="shared" si="1"/>
        <v>-0.49690402476780188</v>
      </c>
    </row>
    <row r="37" spans="1:23">
      <c r="A37" s="348" t="s">
        <v>235</v>
      </c>
      <c r="C37" s="4" t="s">
        <v>175</v>
      </c>
      <c r="D37" s="4">
        <f>+Tabla1[[#This Row],[Consumo presentado '[L/mes']]]*(1-'EERR Global'!$E$23)</f>
        <v>80</v>
      </c>
      <c r="E37" s="4">
        <v>80</v>
      </c>
      <c r="F37" s="4"/>
      <c r="G37" s="4">
        <v>2</v>
      </c>
      <c r="H37" s="4"/>
      <c r="I37" s="182"/>
      <c r="J37" s="4" t="s">
        <v>176</v>
      </c>
      <c r="K37" s="4" t="str">
        <f>IFERROR(VLOOKUP(J37,'Lista PQ Comp'!D:E,2,0),"")</f>
        <v>Ruptor</v>
      </c>
      <c r="L37" s="4" t="s">
        <v>172</v>
      </c>
      <c r="M37" s="4"/>
      <c r="N37" s="4">
        <f>IFERROR(VLOOKUP(J37,'Lista PQ Comp'!D:F,3,0),"")</f>
        <v>4.5</v>
      </c>
      <c r="O37" s="199">
        <f>N37*Tabla1[[#This Row],[Consumo presentado '[L/mes']]]</f>
        <v>360</v>
      </c>
      <c r="P37" s="182"/>
      <c r="Q37" s="115" t="s">
        <v>241</v>
      </c>
      <c r="R37" s="4">
        <f>IFERROR(VLOOKUP(Q37,'Lista PQ PECOM'!$I:$P,8,0),"")</f>
        <v>6.61</v>
      </c>
      <c r="S37" s="210">
        <f>3.88+0.25</f>
        <v>4.13</v>
      </c>
      <c r="T37" s="199">
        <f>R37*Tabla1[[#This Row],[Consumo optimizado '[l/mes']]]</f>
        <v>528.80000000000007</v>
      </c>
      <c r="U37" s="216"/>
      <c r="W37" s="1" t="s">
        <v>242</v>
      </c>
    </row>
    <row r="38" spans="1:23">
      <c r="A38" s="348" t="s">
        <v>235</v>
      </c>
      <c r="C38" s="4" t="s">
        <v>178</v>
      </c>
      <c r="D38" s="4">
        <f>+Tabla1[[#This Row],[Consumo presentado '[L/mes']]]*(1-'EERR Global'!$E$23)</f>
        <v>3080</v>
      </c>
      <c r="E38" s="4">
        <v>3080</v>
      </c>
      <c r="F38" s="4"/>
      <c r="G38" s="4">
        <v>4</v>
      </c>
      <c r="H38" s="4"/>
      <c r="I38" s="182"/>
      <c r="J38" s="95" t="s">
        <v>52</v>
      </c>
      <c r="K38" s="95" t="str">
        <f>IFERROR(VLOOKUP(J38,'Lista PQ Comp'!D:E,2,0),"")</f>
        <v>Clarificante</v>
      </c>
      <c r="L38" s="95" t="s">
        <v>168</v>
      </c>
      <c r="M38" s="95"/>
      <c r="N38" s="95">
        <f>IFERROR(VLOOKUP(J38,'Lista PQ Comp'!D:F,3,0),"")</f>
        <v>5.12</v>
      </c>
      <c r="O38" s="198">
        <f>N38*Tabla1[[#This Row],[Consumo presentado '[L/mes']]]</f>
        <v>15769.6</v>
      </c>
      <c r="P38" s="182"/>
      <c r="Q38" s="95" t="s">
        <v>179</v>
      </c>
      <c r="R38" s="95">
        <f>IFERROR(VLOOKUP(Q38,'Lista PQ PECOM'!$I:$P,8,0),"")</f>
        <v>2.74</v>
      </c>
      <c r="S38" s="208">
        <f>IFERROR(VLOOKUP(Q38,CR!D:F,3,0),"")</f>
        <v>1.504731491417457</v>
      </c>
      <c r="T38" s="199">
        <f>R38*Tabla1[[#This Row],[Consumo optimizado '[l/mes']]]</f>
        <v>8439.2000000000007</v>
      </c>
      <c r="U38" s="216">
        <f t="shared" si="1"/>
        <v>-0.46484374999999994</v>
      </c>
    </row>
    <row r="39" spans="1:23">
      <c r="A39" s="348" t="s">
        <v>235</v>
      </c>
      <c r="C39" s="4" t="s">
        <v>180</v>
      </c>
      <c r="D39" s="4">
        <f>+Tabla1[[#This Row],[Consumo presentado '[L/mes']]]*(1-'EERR Global'!$E$23)</f>
        <v>2318</v>
      </c>
      <c r="E39" s="4">
        <v>2318</v>
      </c>
      <c r="F39" s="4">
        <v>7</v>
      </c>
      <c r="G39" s="4">
        <v>15</v>
      </c>
      <c r="H39" s="4"/>
      <c r="I39" s="182"/>
      <c r="J39" s="4" t="s">
        <v>240</v>
      </c>
      <c r="K39" s="4" t="str">
        <f>IFERROR(VLOOKUP(J39,'Lista PQ Comp'!D:E,2,0),"")</f>
        <v>Desmulsionante</v>
      </c>
      <c r="L39" s="4" t="s">
        <v>172</v>
      </c>
      <c r="M39" s="4"/>
      <c r="N39" s="4">
        <f>IFERROR(VLOOKUP(J39,'Lista PQ Comp'!D:F,3,0),"")</f>
        <v>6.46</v>
      </c>
      <c r="O39" s="199">
        <f>N39*Tabla1[[#This Row],[Consumo presentado '[L/mes']]]</f>
        <v>14974.28</v>
      </c>
      <c r="P39" s="182"/>
      <c r="Q39" s="115" t="s">
        <v>241</v>
      </c>
      <c r="R39" s="4">
        <f>IFERROR(VLOOKUP(Q39,'Lista PQ PECOM'!$I:$P,8,0),"")</f>
        <v>6.61</v>
      </c>
      <c r="S39" s="210">
        <f>+S37</f>
        <v>4.13</v>
      </c>
      <c r="T39" s="199">
        <f>R39*Tabla1[[#This Row],[Consumo optimizado '[l/mes']]]</f>
        <v>15321.980000000001</v>
      </c>
      <c r="U39" s="216">
        <f t="shared" si="1"/>
        <v>2.3219814241486114E-2</v>
      </c>
      <c r="W39" s="1" t="s">
        <v>242</v>
      </c>
    </row>
    <row r="40" spans="1:23">
      <c r="A40" s="348" t="s">
        <v>235</v>
      </c>
      <c r="C40" s="4" t="s">
        <v>187</v>
      </c>
      <c r="D40" s="4">
        <f>+Tabla1[[#This Row],[Consumo presentado '[L/mes']]]*(1-'EERR Global'!$E$23)</f>
        <v>800</v>
      </c>
      <c r="E40" s="4">
        <v>800</v>
      </c>
      <c r="F40" s="4">
        <v>1</v>
      </c>
      <c r="G40" s="4">
        <v>2</v>
      </c>
      <c r="H40" s="4"/>
      <c r="I40" s="182"/>
      <c r="J40" s="95"/>
      <c r="K40" s="95" t="str">
        <f>IFERROR(VLOOKUP(J40,'Lista PQ Comp'!D:E,2,0),"")</f>
        <v/>
      </c>
      <c r="L40" s="95"/>
      <c r="M40" s="95"/>
      <c r="N40" s="95" t="str">
        <f>IFERROR(VLOOKUP(J40,'Lista PQ Comp'!D:F,3,0),"")</f>
        <v/>
      </c>
      <c r="O40" s="198"/>
      <c r="P40" s="182"/>
      <c r="Q40" s="95" t="s">
        <v>188</v>
      </c>
      <c r="R40" s="95">
        <f>IFERROR(VLOOKUP(Q40,'Lista PQ PECOM'!$I:$P,8,0),"")</f>
        <v>1.51</v>
      </c>
      <c r="S40" s="208">
        <f>IFERROR(VLOOKUP(Q40,CR!D:F,3,0),"")</f>
        <v>0.97</v>
      </c>
      <c r="T40" s="199">
        <f>R40*Tabla1[[#This Row],[Consumo optimizado '[l/mes']]]</f>
        <v>1208</v>
      </c>
      <c r="U40" s="216"/>
      <c r="W40" s="1" t="s">
        <v>189</v>
      </c>
    </row>
    <row r="41" spans="1:23">
      <c r="A41" s="348" t="s">
        <v>235</v>
      </c>
      <c r="C41" s="4" t="s">
        <v>190</v>
      </c>
      <c r="D41" s="4">
        <f>+Tabla1[[#This Row],[Consumo presentado '[L/mes']]]*(1-'EERR Global'!$E$23)</f>
        <v>0</v>
      </c>
      <c r="E41" s="4">
        <v>0</v>
      </c>
      <c r="F41" s="4"/>
      <c r="G41" s="4">
        <v>4</v>
      </c>
      <c r="H41" s="4"/>
      <c r="I41" s="182"/>
      <c r="J41" s="4"/>
      <c r="K41" s="4" t="str">
        <f>IFERROR(VLOOKUP(J41,'Lista PQ Comp'!D:E,2,0),"")</f>
        <v/>
      </c>
      <c r="L41" s="4"/>
      <c r="M41" s="4"/>
      <c r="N41" s="4" t="str">
        <f>IFERROR(VLOOKUP(J41,'Lista PQ Comp'!D:F,3,0),"")</f>
        <v/>
      </c>
      <c r="O41" s="199"/>
      <c r="P41" s="182"/>
      <c r="Q41" s="4"/>
      <c r="R41" s="4" t="str">
        <f>IFERROR(VLOOKUP(Q41,'Lista PQ PECOM'!$I:$P,8,0),"")</f>
        <v/>
      </c>
      <c r="S41" s="208" t="str">
        <f>IFERROR(VLOOKUP(Q41,CR!D:F,3,0),"")</f>
        <v/>
      </c>
      <c r="T41" s="199"/>
      <c r="U41" s="216"/>
    </row>
    <row r="42" spans="1:23">
      <c r="A42" s="348" t="s">
        <v>235</v>
      </c>
      <c r="C42" s="4" t="s">
        <v>193</v>
      </c>
      <c r="D42" s="4">
        <f>+Tabla1[[#This Row],[Consumo presentado '[L/mes']]]*(1-'EERR Global'!$E$23)</f>
        <v>315</v>
      </c>
      <c r="E42" s="4">
        <v>315</v>
      </c>
      <c r="F42" s="4">
        <v>1</v>
      </c>
      <c r="G42" s="4">
        <v>4</v>
      </c>
      <c r="H42" s="4" t="s">
        <v>191</v>
      </c>
      <c r="I42" s="182"/>
      <c r="J42" s="95" t="s">
        <v>192</v>
      </c>
      <c r="K42" s="95">
        <f>IFERROR(VLOOKUP(J42,'Lista PQ Comp'!D:E,2,0),"")</f>
        <v>0</v>
      </c>
      <c r="L42" s="95" t="s">
        <v>168</v>
      </c>
      <c r="M42" s="95"/>
      <c r="N42" s="95">
        <f>IFERROR(VLOOKUP(J42,'Lista PQ Comp'!D:F,3,0),"")</f>
        <v>4.5</v>
      </c>
      <c r="O42" s="198">
        <f>N42*Tabla1[[#This Row],[Consumo presentado '[L/mes']]]</f>
        <v>1417.5</v>
      </c>
      <c r="P42" s="182"/>
      <c r="Q42" s="95" t="s">
        <v>191</v>
      </c>
      <c r="R42" s="95">
        <f>IFERROR(VLOOKUP(Q42,'Lista PQ PECOM'!$I:$P,8,0),"")</f>
        <v>4.3899999999999997</v>
      </c>
      <c r="S42" s="208">
        <f>IFERROR(VLOOKUP(Q42,CR!D:F,3,0),"")</f>
        <v>3.7827244302954339</v>
      </c>
      <c r="T42" s="199">
        <f>R42*Tabla1[[#This Row],[Consumo optimizado '[l/mes']]]</f>
        <v>1382.85</v>
      </c>
      <c r="U42" s="216"/>
    </row>
    <row r="43" spans="1:23">
      <c r="A43" s="348" t="s">
        <v>235</v>
      </c>
      <c r="C43" s="4" t="s">
        <v>195</v>
      </c>
      <c r="D43" s="4">
        <f>+Tabla1[[#This Row],[Consumo presentado '[L/mes']]]*(1-'EERR Global'!$E$23)</f>
        <v>912</v>
      </c>
      <c r="E43" s="4">
        <v>912</v>
      </c>
      <c r="F43" s="4">
        <v>8</v>
      </c>
      <c r="G43" s="4">
        <v>15</v>
      </c>
      <c r="H43" s="4"/>
      <c r="I43" s="182"/>
      <c r="J43" s="4" t="s">
        <v>196</v>
      </c>
      <c r="K43" s="4">
        <f>IFERROR(VLOOKUP(J43,'Lista PQ Comp'!D:E,2,0),"")</f>
        <v>0</v>
      </c>
      <c r="L43" s="4" t="s">
        <v>172</v>
      </c>
      <c r="M43" s="4"/>
      <c r="N43" s="4">
        <f>IFERROR(VLOOKUP(J43,'Lista PQ Comp'!D:F,3,0),"")</f>
        <v>4.5</v>
      </c>
      <c r="O43" s="199">
        <f>N43*Tabla1[[#This Row],[Consumo presentado '[L/mes']]]</f>
        <v>4104</v>
      </c>
      <c r="P43" s="182"/>
      <c r="Q43" s="4" t="s">
        <v>243</v>
      </c>
      <c r="R43" s="4">
        <f>IFERROR(VLOOKUP(Q43,'Lista PQ PECOM'!$I:$P,8,0),"")</f>
        <v>5.07</v>
      </c>
      <c r="S43" s="208">
        <f>IFERROR(VLOOKUP(Q43,CR!D:F,3,0),"")</f>
        <v>2.6700881534365926</v>
      </c>
      <c r="T43" s="199">
        <f>R43*Tabla1[[#This Row],[Consumo optimizado '[l/mes']]]</f>
        <v>4623.84</v>
      </c>
      <c r="U43" s="216"/>
    </row>
    <row r="44" spans="1:23">
      <c r="A44" s="348" t="s">
        <v>235</v>
      </c>
      <c r="C44" s="4" t="s">
        <v>244</v>
      </c>
      <c r="D44" s="4">
        <f>+Tabla1[[#This Row],[Consumo presentado '[L/mes']]]*(1-'EERR Global'!$E$23)</f>
        <v>2018</v>
      </c>
      <c r="E44" s="4">
        <v>2018</v>
      </c>
      <c r="F44" s="4">
        <v>2</v>
      </c>
      <c r="G44" s="4">
        <v>3</v>
      </c>
      <c r="H44" s="4" t="s">
        <v>245</v>
      </c>
      <c r="I44" s="182"/>
      <c r="J44" s="95" t="s">
        <v>196</v>
      </c>
      <c r="K44" s="95">
        <f>IFERROR(VLOOKUP(J44,'Lista PQ Comp'!D:E,2,0),"")</f>
        <v>0</v>
      </c>
      <c r="L44" s="95" t="s">
        <v>172</v>
      </c>
      <c r="M44" s="95"/>
      <c r="N44" s="95">
        <f>IFERROR(VLOOKUP(J44,'Lista PQ Comp'!D:F,3,0),"")</f>
        <v>4.5</v>
      </c>
      <c r="O44" s="198">
        <f>N44*Tabla1[[#This Row],[Consumo presentado '[L/mes']]]</f>
        <v>9081</v>
      </c>
      <c r="P44" s="182"/>
      <c r="Q44" s="95" t="s">
        <v>246</v>
      </c>
      <c r="R44" s="95">
        <f>IFERROR(VLOOKUP(Q44,'Lista PQ PECOM'!$I:$P,8,0),"")</f>
        <v>6.61</v>
      </c>
      <c r="S44" s="208">
        <f>IFERROR(VLOOKUP(Q44,CR!D:F,3,0),"")</f>
        <v>5.0541526074536618</v>
      </c>
      <c r="T44" s="199">
        <f>R44*Tabla1[[#This Row],[Consumo optimizado '[l/mes']]]</f>
        <v>13338.980000000001</v>
      </c>
      <c r="U44" s="216"/>
    </row>
    <row r="45" spans="1:23">
      <c r="A45" s="348" t="s">
        <v>235</v>
      </c>
      <c r="C45" s="4" t="s">
        <v>247</v>
      </c>
      <c r="D45" s="4">
        <f>+Tabla1[[#This Row],[Consumo presentado '[L/mes']]]*(1-'EERR Global'!$E$23)</f>
        <v>7769</v>
      </c>
      <c r="E45" s="4">
        <v>7769</v>
      </c>
      <c r="F45" s="4">
        <v>2</v>
      </c>
      <c r="G45" s="4">
        <v>10</v>
      </c>
      <c r="H45" s="4"/>
      <c r="I45" s="182"/>
      <c r="J45" s="4" t="s">
        <v>171</v>
      </c>
      <c r="K45" s="4" t="str">
        <f>IFERROR(VLOOKUP(J45,'Lista PQ Comp'!D:E,2,0),"")</f>
        <v>Biocida</v>
      </c>
      <c r="L45" s="4" t="s">
        <v>172</v>
      </c>
      <c r="M45" s="4"/>
      <c r="N45" s="4">
        <f>IFERROR(VLOOKUP(J45,'Lista PQ Comp'!D:F,3,0),"")</f>
        <v>8</v>
      </c>
      <c r="O45" s="199">
        <f>N45*Tabla1[[#This Row],[Consumo presentado '[L/mes']]]</f>
        <v>62152</v>
      </c>
      <c r="P45" s="182"/>
      <c r="Q45" s="4" t="s">
        <v>170</v>
      </c>
      <c r="R45" s="4">
        <f>IFERROR(VLOOKUP(Q45,'Lista PQ PECOM'!$I:$P,8,0),"")</f>
        <v>3.89</v>
      </c>
      <c r="S45" s="208">
        <f>IFERROR(VLOOKUP(Q45,CR!D:F,3,0),"")</f>
        <v>3.1358174612778318</v>
      </c>
      <c r="T45" s="199">
        <f>R45*Tabla1[[#This Row],[Consumo optimizado '[l/mes']]]</f>
        <v>30221.41</v>
      </c>
      <c r="U45" s="216"/>
      <c r="W45" s="1" t="s">
        <v>199</v>
      </c>
    </row>
    <row r="46" spans="1:23">
      <c r="A46" s="348" t="s">
        <v>235</v>
      </c>
      <c r="C46" s="4" t="s">
        <v>200</v>
      </c>
      <c r="D46" s="4">
        <f>+Tabla1[[#This Row],[Consumo presentado '[L/mes']]]*(1-'EERR Global'!$E$23)</f>
        <v>2584</v>
      </c>
      <c r="E46" s="4">
        <v>2584</v>
      </c>
      <c r="F46" s="4"/>
      <c r="G46" s="4">
        <v>7</v>
      </c>
      <c r="H46" s="4"/>
      <c r="I46" s="182"/>
      <c r="J46" s="95" t="s">
        <v>207</v>
      </c>
      <c r="K46" s="95" t="str">
        <f>IFERROR(VLOOKUP(J46,'Lista PQ Comp'!D:E,2,0),"")</f>
        <v>INHIBIDOR DE INCRUSTACIONES</v>
      </c>
      <c r="L46" s="95" t="s">
        <v>172</v>
      </c>
      <c r="M46" s="95"/>
      <c r="N46" s="95">
        <f>IFERROR(VLOOKUP(J46,'Lista PQ Comp'!D:F,3,0),"")</f>
        <v>5.31</v>
      </c>
      <c r="O46" s="198">
        <f>N46*Tabla1[[#This Row],[Consumo presentado '[L/mes']]]</f>
        <v>13721.039999999999</v>
      </c>
      <c r="P46" s="182"/>
      <c r="Q46" s="95" t="s">
        <v>208</v>
      </c>
      <c r="R46" s="95">
        <f>IFERROR(VLOOKUP(Q46,'Lista PQ PECOM'!$I:$P,8,0),"")</f>
        <v>4.0199999999999996</v>
      </c>
      <c r="S46" s="208">
        <f>IFERROR(VLOOKUP(Q46,CR!D:F,3,0),"")</f>
        <v>1.8969840434471943</v>
      </c>
      <c r="T46" s="199">
        <f>R46*Tabla1[[#This Row],[Consumo optimizado '[l/mes']]]</f>
        <v>10387.679999999998</v>
      </c>
      <c r="U46" s="216">
        <f t="shared" si="1"/>
        <v>-0.2429378531073447</v>
      </c>
    </row>
    <row r="47" spans="1:23">
      <c r="A47" s="348" t="s">
        <v>235</v>
      </c>
      <c r="C47" s="4" t="s">
        <v>202</v>
      </c>
      <c r="D47" s="4">
        <f>+Tabla1[[#This Row],[Consumo presentado '[L/mes']]]*(1-'EERR Global'!$E$23)</f>
        <v>18208</v>
      </c>
      <c r="E47" s="4">
        <v>18208</v>
      </c>
      <c r="F47" s="4">
        <v>70</v>
      </c>
      <c r="G47" s="4">
        <v>35</v>
      </c>
      <c r="H47" s="4" t="s">
        <v>204</v>
      </c>
      <c r="I47" s="182"/>
      <c r="J47" s="4" t="s">
        <v>203</v>
      </c>
      <c r="K47" s="4" t="str">
        <f>IFERROR(VLOOKUP(J47,'Lista PQ Comp'!D:E,2,0),"")</f>
        <v>Inhibidor de corrosión</v>
      </c>
      <c r="L47" s="4"/>
      <c r="M47" s="4"/>
      <c r="N47" s="4">
        <f>IFERROR(VLOOKUP(J47,'Lista PQ Comp'!D:F,3,0),"")</f>
        <v>2.97</v>
      </c>
      <c r="O47" s="199">
        <f>N47*Tabla1[[#This Row],[Consumo presentado '[L/mes']]]</f>
        <v>54077.760000000002</v>
      </c>
      <c r="P47" s="182"/>
      <c r="Q47" s="115" t="s">
        <v>644</v>
      </c>
      <c r="R47" s="4">
        <f>IFERROR(VLOOKUP(Q47,'Lista PQ PECOM'!$I:$P,8,0),"")</f>
        <v>3.7</v>
      </c>
      <c r="S47" s="208">
        <f>2.17+0.25</f>
        <v>2.42</v>
      </c>
      <c r="T47" s="199">
        <f>R47*Tabla1[[#This Row],[Consumo optimizado '[l/mes']]]</f>
        <v>67369.600000000006</v>
      </c>
      <c r="U47" s="216">
        <f t="shared" si="1"/>
        <v>0.24579124579124584</v>
      </c>
    </row>
    <row r="48" spans="1:23">
      <c r="A48" s="348" t="s">
        <v>235</v>
      </c>
      <c r="C48" s="4" t="s">
        <v>248</v>
      </c>
      <c r="D48" s="4">
        <f>+Tabla1[[#This Row],[Consumo presentado '[L/mes']]]*(1-'EERR Global'!$E$23)</f>
        <v>0</v>
      </c>
      <c r="E48" s="4">
        <v>0</v>
      </c>
      <c r="F48" s="4"/>
      <c r="G48" s="4">
        <v>4</v>
      </c>
      <c r="H48" s="4"/>
      <c r="I48" s="182"/>
      <c r="J48" s="95"/>
      <c r="K48" s="95" t="str">
        <f>IFERROR(VLOOKUP(J48,'Lista PQ Comp'!D:E,2,0),"")</f>
        <v/>
      </c>
      <c r="L48" s="95"/>
      <c r="M48" s="95"/>
      <c r="N48" s="95" t="str">
        <f>IFERROR(VLOOKUP(J48,'Lista PQ Comp'!D:F,3,0),"")</f>
        <v/>
      </c>
      <c r="O48" s="198"/>
      <c r="P48" s="182"/>
      <c r="Q48" s="95" t="s">
        <v>249</v>
      </c>
      <c r="R48" s="95">
        <f>IFERROR(VLOOKUP(Q48,'Lista PQ PECOM'!$I:$P,8,0),"")</f>
        <v>1.41</v>
      </c>
      <c r="S48" s="208">
        <f>IFERROR(VLOOKUP(Q48,CR!D:F,3,0),"")</f>
        <v>1.2206960051174867</v>
      </c>
      <c r="T48" s="199">
        <f>R48*Tabla1[[#This Row],[Consumo optimizado '[l/mes']]]</f>
        <v>0</v>
      </c>
      <c r="U48" s="216"/>
    </row>
    <row r="49" spans="1:24">
      <c r="A49" s="348" t="s">
        <v>235</v>
      </c>
      <c r="C49" s="4" t="s">
        <v>205</v>
      </c>
      <c r="D49" s="4">
        <f>+Tabla1[[#This Row],[Consumo presentado '[L/mes']]]*(1-'EERR Global'!$E$23)</f>
        <v>5350</v>
      </c>
      <c r="E49" s="4">
        <v>5350</v>
      </c>
      <c r="F49" s="4">
        <v>3</v>
      </c>
      <c r="G49" s="4">
        <v>9</v>
      </c>
      <c r="H49" s="4"/>
      <c r="I49" s="182"/>
      <c r="J49" s="4" t="s">
        <v>250</v>
      </c>
      <c r="K49" s="4" t="str">
        <f>IFERROR(VLOOKUP(J49,'Lista PQ Comp'!D:E,2,0),"")</f>
        <v>INHIBIDOR DE INCRUSTACIONES</v>
      </c>
      <c r="L49" s="4" t="s">
        <v>172</v>
      </c>
      <c r="M49" s="4"/>
      <c r="N49" s="4">
        <f>IFERROR(VLOOKUP(J49,'Lista PQ Comp'!D:F,3,0),"")</f>
        <v>5.58</v>
      </c>
      <c r="O49" s="199">
        <f>N49*Tabla1[[#This Row],[Consumo presentado '[L/mes']]]</f>
        <v>29853</v>
      </c>
      <c r="P49" s="182"/>
      <c r="Q49" s="4" t="s">
        <v>208</v>
      </c>
      <c r="R49" s="4">
        <f>IFERROR(VLOOKUP(Q49,'Lista PQ PECOM'!$I:$P,8,0),"")</f>
        <v>4.0199999999999996</v>
      </c>
      <c r="S49" s="208">
        <f>IFERROR(VLOOKUP(Q49,CR!D:F,3,0),"")</f>
        <v>1.8969840434471943</v>
      </c>
      <c r="T49" s="199">
        <f>R49*Tabla1[[#This Row],[Consumo optimizado '[l/mes']]]</f>
        <v>21506.999999999996</v>
      </c>
      <c r="U49" s="216">
        <f t="shared" si="1"/>
        <v>-0.27956989247311842</v>
      </c>
    </row>
    <row r="50" spans="1:24">
      <c r="A50" s="348" t="s">
        <v>235</v>
      </c>
      <c r="C50" s="4" t="s">
        <v>251</v>
      </c>
      <c r="D50" s="4">
        <f>+Tabla1[[#This Row],[Consumo presentado '[L/mes']]]*(1-'EERR Global'!$E$23)</f>
        <v>800</v>
      </c>
      <c r="E50" s="4">
        <v>800</v>
      </c>
      <c r="F50" s="4"/>
      <c r="G50" s="4">
        <v>1</v>
      </c>
      <c r="H50" s="4" t="s">
        <v>216</v>
      </c>
      <c r="I50" s="182"/>
      <c r="J50" s="95"/>
      <c r="K50" s="95" t="str">
        <f>IFERROR(VLOOKUP(J50,'Lista PQ Comp'!D:E,2,0),"")</f>
        <v/>
      </c>
      <c r="L50" s="95"/>
      <c r="M50" s="95"/>
      <c r="N50" s="95" t="str">
        <f>IFERROR(VLOOKUP(J50,'Lista PQ Comp'!D:F,3,0),"")</f>
        <v/>
      </c>
      <c r="O50" s="198"/>
      <c r="P50" s="182"/>
      <c r="Q50" s="95" t="s">
        <v>216</v>
      </c>
      <c r="R50" s="95">
        <f>IFERROR(VLOOKUP(Q50,'Lista PQ PECOM'!$I:$P,8,0),"")</f>
        <v>3.77</v>
      </c>
      <c r="S50" s="208">
        <f>IFERROR(VLOOKUP(Q50,CR!D:F,3,0),"")</f>
        <v>1.5604308196088428</v>
      </c>
      <c r="T50" s="199">
        <f>R50*Tabla1[[#This Row],[Consumo optimizado '[l/mes']]]</f>
        <v>3016</v>
      </c>
      <c r="U50" s="216"/>
    </row>
    <row r="51" spans="1:24">
      <c r="A51" s="348" t="s">
        <v>235</v>
      </c>
      <c r="C51" s="4" t="s">
        <v>219</v>
      </c>
      <c r="D51" s="4">
        <f>+Tabla1[[#This Row],[Consumo presentado '[L/mes']]]*(1-'EERR Global'!$E$23)</f>
        <v>970</v>
      </c>
      <c r="E51" s="4">
        <v>970</v>
      </c>
      <c r="F51" s="4">
        <v>1</v>
      </c>
      <c r="G51" s="4">
        <v>4</v>
      </c>
      <c r="H51" s="4" t="s">
        <v>220</v>
      </c>
      <c r="I51" s="182"/>
      <c r="J51" s="4"/>
      <c r="K51" s="4" t="str">
        <f>IFERROR(VLOOKUP(J51,'Lista PQ Comp'!D:E,2,0),"")</f>
        <v/>
      </c>
      <c r="L51" s="4"/>
      <c r="M51" s="4"/>
      <c r="N51" s="4" t="str">
        <f>IFERROR(VLOOKUP(J51,'Lista PQ Comp'!D:F,3,0),"")</f>
        <v/>
      </c>
      <c r="O51" s="199"/>
      <c r="P51" s="182"/>
      <c r="Q51" s="4"/>
      <c r="R51" s="4" t="str">
        <f>IFERROR(VLOOKUP(Q51,'Lista PQ PECOM'!$I:$P,8,0),"")</f>
        <v/>
      </c>
      <c r="S51" s="4" t="str">
        <f>IFERROR(VLOOKUP(Q51,CR!D:F,3,0),"")</f>
        <v/>
      </c>
      <c r="T51" s="199"/>
      <c r="U51" s="216"/>
      <c r="W51" s="1" t="s">
        <v>220</v>
      </c>
    </row>
    <row r="52" spans="1:24">
      <c r="A52" s="348" t="s">
        <v>235</v>
      </c>
      <c r="C52" s="4" t="s">
        <v>221</v>
      </c>
      <c r="D52" s="4">
        <f>+Tabla1[[#This Row],[Consumo presentado '[L/mes']]]*(1-'EERR Global'!$E$23)</f>
        <v>0</v>
      </c>
      <c r="E52" s="4">
        <v>0</v>
      </c>
      <c r="F52" s="4"/>
      <c r="G52" s="4">
        <v>4</v>
      </c>
      <c r="H52" s="4"/>
      <c r="I52" s="182"/>
      <c r="J52" s="95"/>
      <c r="K52" s="95" t="str">
        <f>IFERROR(VLOOKUP(J52,'Lista PQ Comp'!D:E,2,0),"")</f>
        <v/>
      </c>
      <c r="L52" s="95"/>
      <c r="M52" s="95"/>
      <c r="N52" s="95" t="str">
        <f>IFERROR(VLOOKUP(J52,'Lista PQ Comp'!D:F,3,0),"")</f>
        <v/>
      </c>
      <c r="O52" s="198"/>
      <c r="P52" s="182"/>
      <c r="Q52" s="95"/>
      <c r="R52" s="95" t="str">
        <f>IFERROR(VLOOKUP(Q52,'Lista PQ PECOM'!$I:$P,8,0),"")</f>
        <v/>
      </c>
      <c r="S52" s="117" t="str">
        <f>IFERROR(VLOOKUP(Q52,CR!D:F,3,0),"")</f>
        <v/>
      </c>
      <c r="T52" s="199"/>
      <c r="U52" s="216"/>
      <c r="W52" s="1" t="s">
        <v>223</v>
      </c>
    </row>
    <row r="53" spans="1:24">
      <c r="A53" s="348" t="s">
        <v>235</v>
      </c>
      <c r="C53" s="4" t="s">
        <v>224</v>
      </c>
      <c r="D53" s="4">
        <f>+Tabla1[[#This Row],[Consumo presentado '[L/mes']]]*(1-'EERR Global'!$E$23)</f>
        <v>4760</v>
      </c>
      <c r="E53" s="4">
        <v>4760</v>
      </c>
      <c r="F53" s="4"/>
      <c r="G53" s="4">
        <v>12</v>
      </c>
      <c r="H53" s="4" t="s">
        <v>225</v>
      </c>
      <c r="I53" s="182"/>
      <c r="J53" s="116" t="s">
        <v>51</v>
      </c>
      <c r="K53" s="4" t="str">
        <f>IFERROR(VLOOKUP(J53,'Lista PQ Comp'!D:E,2,0),"")</f>
        <v>Inhibidor de corrosión</v>
      </c>
      <c r="L53" s="4" t="s">
        <v>168</v>
      </c>
      <c r="M53" s="4"/>
      <c r="N53" s="4">
        <f>IFERROR(VLOOKUP(J53,'Lista PQ Comp'!D:F,3,0),"")</f>
        <v>1.77</v>
      </c>
      <c r="O53" s="199">
        <f>N53*Tabla1[[#This Row],[Consumo presentado '[L/mes']]]</f>
        <v>8425.2000000000007</v>
      </c>
      <c r="P53" s="182"/>
      <c r="Q53" s="4" t="s">
        <v>226</v>
      </c>
      <c r="R53" s="4">
        <f>IFERROR(VLOOKUP(Q53,'Lista PQ PECOM'!$I:$P,8,0),"")</f>
        <v>2.31</v>
      </c>
      <c r="S53" s="208">
        <f>IFERROR(VLOOKUP(Q53,CR!D:F,3,0),"")</f>
        <v>1.8266571757018397</v>
      </c>
      <c r="T53" s="199">
        <f>R53*Tabla1[[#This Row],[Consumo optimizado '[l/mes']]]</f>
        <v>10995.6</v>
      </c>
      <c r="U53" s="216">
        <f t="shared" si="1"/>
        <v>0.30508474576271177</v>
      </c>
    </row>
    <row r="54" spans="1:24">
      <c r="A54" s="348" t="s">
        <v>235</v>
      </c>
      <c r="C54" s="188" t="s">
        <v>227</v>
      </c>
      <c r="D54" s="188">
        <f>+Tabla1[[#This Row],[Consumo presentado '[L/mes']]]*(1-'EERR Global'!$E$23)</f>
        <v>680</v>
      </c>
      <c r="E54" s="188">
        <v>680</v>
      </c>
      <c r="F54" s="188"/>
      <c r="G54" s="188">
        <v>6</v>
      </c>
      <c r="H54" s="188" t="s">
        <v>228</v>
      </c>
      <c r="I54" s="182"/>
      <c r="J54" s="117" t="s">
        <v>229</v>
      </c>
      <c r="K54" s="95" t="str">
        <f>IFERROR(VLOOKUP(J54,'Lista PQ Comp'!D:E,2,0),"")</f>
        <v>Sec de H2S</v>
      </c>
      <c r="L54" s="95" t="s">
        <v>168</v>
      </c>
      <c r="M54" s="95"/>
      <c r="N54" s="95">
        <f>IFERROR(VLOOKUP(J54,'Lista PQ Comp'!D:F,3,0),"")</f>
        <v>2.64</v>
      </c>
      <c r="O54" s="198">
        <f>N54*Tabla1[[#This Row],[Consumo presentado '[L/mes']]]</f>
        <v>1795.2</v>
      </c>
      <c r="P54" s="182"/>
      <c r="Q54" s="95" t="s">
        <v>230</v>
      </c>
      <c r="R54" s="95">
        <f>IFERROR(VLOOKUP(Q54,'Lista PQ PECOM'!$I:$P,8,0),"")</f>
        <v>4.1100000000000003</v>
      </c>
      <c r="S54" s="208">
        <f>IFERROR(VLOOKUP(Q54,CR!D:F,3,0),"")</f>
        <v>2.1833464266698939</v>
      </c>
      <c r="T54" s="199">
        <f>R54*Tabla1[[#This Row],[Consumo optimizado '[l/mes']]]</f>
        <v>2794.8</v>
      </c>
      <c r="U54" s="216">
        <f t="shared" si="1"/>
        <v>0.55681818181818188</v>
      </c>
    </row>
    <row r="55" spans="1:24">
      <c r="C55" s="4"/>
      <c r="D55" s="4">
        <f>+Tabla1[[#This Row],[Consumo presentado '[L/mes']]]*(1-'EERR Global'!$E$23)</f>
        <v>0</v>
      </c>
      <c r="E55" s="4"/>
      <c r="F55" s="4"/>
      <c r="G55" s="4"/>
      <c r="H55" s="4"/>
      <c r="I55" s="71"/>
      <c r="J55" s="192"/>
      <c r="K55" s="197"/>
      <c r="L55" s="197"/>
      <c r="M55" s="197"/>
      <c r="N55" s="243" t="s">
        <v>234</v>
      </c>
      <c r="O55" s="244">
        <f>SUM(O33:O54)</f>
        <v>305704.64</v>
      </c>
      <c r="P55" s="71"/>
      <c r="Q55" s="197"/>
      <c r="R55" s="197"/>
      <c r="S55" s="230" t="s">
        <v>234</v>
      </c>
      <c r="T55" s="203">
        <f>SUM(T33:T54)</f>
        <v>220737.74</v>
      </c>
    </row>
    <row r="56" spans="1:24">
      <c r="C56" s="188"/>
      <c r="D56" s="188">
        <f>+Tabla1[[#This Row],[Consumo presentado '[L/mes']]]*(1-'EERR Global'!$E$23)</f>
        <v>0</v>
      </c>
      <c r="E56" s="188"/>
      <c r="F56" s="188"/>
      <c r="G56" s="188"/>
      <c r="H56" s="188"/>
      <c r="I56" s="71"/>
      <c r="J56" s="195"/>
      <c r="K56" s="196"/>
      <c r="L56" s="196"/>
      <c r="M56" s="196"/>
      <c r="N56" s="197"/>
      <c r="O56" s="197"/>
      <c r="P56" s="71"/>
      <c r="Q56" s="196"/>
      <c r="R56" s="196"/>
      <c r="S56" s="195"/>
      <c r="T56" s="192"/>
    </row>
    <row r="57" spans="1:24">
      <c r="C57" s="71"/>
      <c r="D57" s="71"/>
      <c r="E57" s="71"/>
      <c r="F57" s="71"/>
      <c r="G57" s="71"/>
      <c r="H57" s="71"/>
      <c r="I57" s="71"/>
      <c r="J57" s="192"/>
      <c r="K57" s="197"/>
      <c r="L57" s="197"/>
      <c r="M57" s="197"/>
      <c r="N57" s="197"/>
      <c r="O57" s="197"/>
      <c r="P57" s="71"/>
      <c r="Q57" s="197"/>
      <c r="R57" s="197"/>
      <c r="S57" s="192"/>
      <c r="T57" s="192"/>
    </row>
    <row r="58" spans="1:24">
      <c r="C58" s="191"/>
      <c r="D58" s="191"/>
      <c r="E58" s="191"/>
      <c r="F58" s="191"/>
      <c r="G58" s="191"/>
      <c r="H58" s="191"/>
      <c r="I58" s="71"/>
      <c r="J58" s="192"/>
      <c r="K58" s="71"/>
      <c r="L58" s="71"/>
      <c r="M58" s="71"/>
      <c r="N58" s="71"/>
      <c r="O58" s="71"/>
      <c r="P58" s="71"/>
      <c r="Q58" s="71"/>
      <c r="R58" s="71"/>
      <c r="S58" s="192"/>
      <c r="T58" s="192"/>
    </row>
    <row r="59" spans="1:24" ht="15" customHeight="1">
      <c r="C59" s="189" t="s">
        <v>99</v>
      </c>
      <c r="D59" s="189">
        <f>+Tabla1[[#This Row],[Consumo presentado '[L/mes']]]*(1-'EERR Global'!$E$23)</f>
        <v>105269.83000000002</v>
      </c>
      <c r="E59" s="190">
        <v>105269.83000000002</v>
      </c>
      <c r="F59" s="190">
        <v>195</v>
      </c>
      <c r="G59" s="190">
        <v>154</v>
      </c>
      <c r="H59" s="190"/>
      <c r="I59" s="182"/>
      <c r="J59" s="412" t="s">
        <v>252</v>
      </c>
      <c r="K59" s="413"/>
      <c r="L59" s="413"/>
      <c r="M59" s="413"/>
      <c r="N59" s="413"/>
      <c r="O59" s="413"/>
      <c r="P59" s="413"/>
      <c r="Q59" s="413"/>
      <c r="R59" s="413"/>
      <c r="S59" s="413"/>
      <c r="T59" s="413"/>
      <c r="U59" s="413"/>
    </row>
    <row r="60" spans="1:24">
      <c r="A60" s="348" t="s">
        <v>253</v>
      </c>
      <c r="C60" s="4" t="s">
        <v>231</v>
      </c>
      <c r="D60" s="4">
        <f>+Tabla1[[#This Row],[Consumo presentado '[L/mes']]]*(1-'EERR Global'!$E$23)</f>
        <v>3923.2599999999998</v>
      </c>
      <c r="E60" s="4">
        <v>3923.2599999999998</v>
      </c>
      <c r="F60" s="4"/>
      <c r="G60" s="4">
        <v>11</v>
      </c>
      <c r="H60" s="4" t="s">
        <v>254</v>
      </c>
      <c r="I60" s="182"/>
      <c r="J60" s="95" t="s">
        <v>255</v>
      </c>
      <c r="K60" s="95" t="str">
        <f>IFERROR(VLOOKUP(J60,'Lista PQ Comp'!D:E,2,0),"")</f>
        <v>antiespumante</v>
      </c>
      <c r="L60" s="116" t="s">
        <v>168</v>
      </c>
      <c r="M60" s="95">
        <v>1000277510</v>
      </c>
      <c r="N60" s="95">
        <f>IFERROR(VLOOKUP(J60,'Lista PQ Comp'!D:F,3,0),"")</f>
        <v>4.37</v>
      </c>
      <c r="O60" s="198">
        <f>N60*Tabla1[[#This Row],[Consumo presentado '[L/mes']]]</f>
        <v>17144.646199999999</v>
      </c>
      <c r="P60" s="182"/>
      <c r="Q60" s="95" t="s">
        <v>233</v>
      </c>
      <c r="R60" s="144">
        <f>IFERROR(VLOOKUP(Q60,'Lista PQ PECOM'!$I:$P,8,0),"")</f>
        <v>4.09</v>
      </c>
      <c r="S60" s="208">
        <f>IFERROR(VLOOKUP(Q60,CR!D:F,3,0),"")</f>
        <v>2.7763208494675706</v>
      </c>
      <c r="T60" s="198">
        <f>R60*Tabla1[[#This Row],[Consumo optimizado '[l/mes']]]</f>
        <v>16046.133399999999</v>
      </c>
      <c r="U60" s="215">
        <f>(T60-O60)/O60</f>
        <v>-6.4073226544622455E-2</v>
      </c>
    </row>
    <row r="61" spans="1:24">
      <c r="A61" s="348" t="s">
        <v>253</v>
      </c>
      <c r="C61" s="4" t="s">
        <v>256</v>
      </c>
      <c r="D61" s="4">
        <f>+Tabla1[[#This Row],[Consumo presentado '[L/mes']]]*(1-'EERR Global'!$E$23)</f>
        <v>15165.1</v>
      </c>
      <c r="E61" s="4">
        <v>15165.1</v>
      </c>
      <c r="F61" s="4">
        <v>129</v>
      </c>
      <c r="G61" s="4">
        <v>4</v>
      </c>
      <c r="H61" s="4"/>
      <c r="I61" s="182"/>
      <c r="J61" s="4" t="s">
        <v>257</v>
      </c>
      <c r="K61" s="4" t="str">
        <f>IFERROR(VLOOKUP(J61,'Lista PQ Comp'!D:E,2,0),"")</f>
        <v>Bactericida</v>
      </c>
      <c r="L61" s="4" t="s">
        <v>168</v>
      </c>
      <c r="M61" s="4">
        <v>1000568098</v>
      </c>
      <c r="N61" s="137">
        <f>IFERROR(VLOOKUP(J61,'Lista PQ Comp'!D:F,3,0),"")</f>
        <v>8.7899999999999991</v>
      </c>
      <c r="O61" s="199">
        <f>N61*Tabla1[[#This Row],[Consumo presentado '[L/mes']]]</f>
        <v>133301.22899999999</v>
      </c>
      <c r="P61" s="186"/>
      <c r="Q61" s="115" t="s">
        <v>258</v>
      </c>
      <c r="R61" s="143">
        <f>IFERROR(VLOOKUP(Q61,'Lista PQ PECOM'!$I:$P,8,0),"")</f>
        <v>6.08</v>
      </c>
      <c r="S61" s="209">
        <f>IFERROR(VLOOKUP(Q61,CR!D:F,3,0),"")</f>
        <v>3.2100000000000004</v>
      </c>
      <c r="T61" s="199">
        <f>R61*Tabla1[[#This Row],[Consumo optimizado '[l/mes']]]</f>
        <v>92203.808000000005</v>
      </c>
      <c r="U61" s="216">
        <f t="shared" ref="U61:U90" si="2">(T61-O61)/O61</f>
        <v>-0.30830489192263927</v>
      </c>
    </row>
    <row r="62" spans="1:24">
      <c r="A62" s="348" t="s">
        <v>253</v>
      </c>
      <c r="C62" s="4"/>
      <c r="D62" s="4">
        <f>+Tabla1[[#This Row],[Consumo presentado '[L/mes']]]*(1-'EERR Global'!$E$23)</f>
        <v>0</v>
      </c>
      <c r="E62" s="4"/>
      <c r="F62" s="4"/>
      <c r="G62" s="4"/>
      <c r="H62" s="4"/>
      <c r="I62" s="182"/>
      <c r="J62" s="95"/>
      <c r="K62" s="95" t="str">
        <f>IFERROR(VLOOKUP(J62,'Lista PQ Comp'!D:E,2,0),"")</f>
        <v/>
      </c>
      <c r="L62" s="116"/>
      <c r="M62" s="95"/>
      <c r="N62" s="95" t="str">
        <f>IFERROR(VLOOKUP(J62,'Lista PQ Comp'!D:F,3,0),"")</f>
        <v/>
      </c>
      <c r="O62" s="198"/>
      <c r="P62" s="182"/>
      <c r="Q62" s="95"/>
      <c r="R62" s="144" t="str">
        <f>IFERROR(VLOOKUP(Q62,'Lista PQ PECOM'!$I:$P,8,0),"")</f>
        <v/>
      </c>
      <c r="S62" s="208" t="str">
        <f>IFERROR(VLOOKUP(Q62,CR!D:F,3,0),"")</f>
        <v/>
      </c>
      <c r="T62" s="198"/>
      <c r="U62" s="215"/>
    </row>
    <row r="63" spans="1:24">
      <c r="A63" s="348" t="s">
        <v>253</v>
      </c>
      <c r="C63" s="4" t="s">
        <v>173</v>
      </c>
      <c r="D63" s="4">
        <f>+Tabla1[[#This Row],[Consumo presentado '[L/mes']]]*(1-'EERR Global'!$E$23)</f>
        <v>1845.5</v>
      </c>
      <c r="E63" s="4">
        <v>1845.5</v>
      </c>
      <c r="F63" s="4"/>
      <c r="G63" s="4">
        <v>3</v>
      </c>
      <c r="H63" s="4"/>
      <c r="I63" s="182"/>
      <c r="J63" s="4" t="s">
        <v>44</v>
      </c>
      <c r="K63" s="4" t="str">
        <f>IFERROR(VLOOKUP(J63,'Lista PQ Comp'!D:E,2,0),"")</f>
        <v>Floculante</v>
      </c>
      <c r="L63" s="4" t="s">
        <v>168</v>
      </c>
      <c r="M63" s="4"/>
      <c r="N63" s="137">
        <f>IFERROR(VLOOKUP(J63,'Lista PQ Comp'!D:F,3,0),"")</f>
        <v>10.11</v>
      </c>
      <c r="O63" s="199">
        <f>N63*Tabla1[[#This Row],[Consumo presentado '[L/mes']]]</f>
        <v>18658.004999999997</v>
      </c>
      <c r="P63" s="187"/>
      <c r="Q63" s="115" t="s">
        <v>707</v>
      </c>
      <c r="R63" s="143">
        <f>IFERROR(VLOOKUP(Q63,'Lista PQ PECOM'!$I:$P,8,0),"")</f>
        <v>9.73</v>
      </c>
      <c r="S63" s="209">
        <f>+R63/1.56</f>
        <v>6.2371794871794872</v>
      </c>
      <c r="T63" s="199">
        <f>R63*Tabla1[[#This Row],[Consumo optimizado '[l/mes']]]</f>
        <v>17956.715</v>
      </c>
      <c r="U63" s="216">
        <f t="shared" si="2"/>
        <v>-3.7586547972304506E-2</v>
      </c>
    </row>
    <row r="64" spans="1:24">
      <c r="A64" s="348" t="s">
        <v>253</v>
      </c>
      <c r="B64" s="336">
        <v>0.41343251421595556</v>
      </c>
      <c r="C64" s="4" t="s">
        <v>239</v>
      </c>
      <c r="D64" s="337">
        <f>$E$64*(1-'EERR Global'!$E$23)*B64</f>
        <v>11070.9</v>
      </c>
      <c r="E64" s="4">
        <v>26778.01</v>
      </c>
      <c r="F64" s="4">
        <v>2</v>
      </c>
      <c r="G64" s="4">
        <v>37</v>
      </c>
      <c r="H64" s="4"/>
      <c r="I64" s="182"/>
      <c r="J64" s="95" t="s">
        <v>259</v>
      </c>
      <c r="K64" s="95">
        <f>IFERROR(VLOOKUP(J64,'Lista PQ Comp'!D:E,2,0),"")</f>
        <v>0</v>
      </c>
      <c r="L64" s="4" t="s">
        <v>168</v>
      </c>
      <c r="M64" s="95"/>
      <c r="N64" s="95">
        <f>IFERROR(VLOOKUP(J64,'Lista PQ Comp'!D:F,3,0),"")</f>
        <v>5.44</v>
      </c>
      <c r="O64" s="198">
        <f>N64*Tabla1[[#This Row],[Consumo presentado '[L/mes']]]</f>
        <v>145672.3744</v>
      </c>
      <c r="P64" s="182"/>
      <c r="Q64" s="371" t="s">
        <v>260</v>
      </c>
      <c r="R64" s="144">
        <v>7.22</v>
      </c>
      <c r="S64" s="209">
        <f>4.3+0.25</f>
        <v>4.55</v>
      </c>
      <c r="T64" s="198">
        <f>R64*Tabla1[[#This Row],[Consumo optimizado '[l/mes']]]</f>
        <v>79931.898000000001</v>
      </c>
      <c r="U64" s="219">
        <f>(T64+T65+T66-O64)/O64</f>
        <v>-6.7327909223672142E-2</v>
      </c>
      <c r="V64" s="1">
        <f>+(R64*Tabla1[[#This Row],[Consumo optimizado '[l/mes']]]+R65*D65+R66*D66)/SUM(D64:D66)</f>
        <v>5.0738593349008276</v>
      </c>
      <c r="W64" s="1" t="s">
        <v>261</v>
      </c>
      <c r="X64" s="1" t="s">
        <v>189</v>
      </c>
    </row>
    <row r="65" spans="1:23">
      <c r="A65" s="348" t="s">
        <v>253</v>
      </c>
      <c r="B65" s="336">
        <v>0.10427884671041651</v>
      </c>
      <c r="C65" s="4"/>
      <c r="D65" s="337">
        <f>$E$64*(1-'EERR Global'!$E$23)*B65</f>
        <v>2792.38</v>
      </c>
      <c r="E65" s="4"/>
      <c r="F65" s="4"/>
      <c r="G65" s="4"/>
      <c r="H65" s="4"/>
      <c r="I65" s="182"/>
      <c r="J65" s="95"/>
      <c r="K65" s="95"/>
      <c r="L65" s="4"/>
      <c r="M65" s="95"/>
      <c r="N65" s="95"/>
      <c r="O65" s="198"/>
      <c r="P65" s="182"/>
      <c r="Q65" s="371" t="s">
        <v>262</v>
      </c>
      <c r="R65" s="144">
        <v>5</v>
      </c>
      <c r="S65" s="209">
        <f>+S64</f>
        <v>4.55</v>
      </c>
      <c r="T65" s="198">
        <f>R65*Tabla1[[#This Row],[Consumo optimizado '[l/mes']]]</f>
        <v>13961.900000000001</v>
      </c>
      <c r="U65" s="219"/>
    </row>
    <row r="66" spans="1:23">
      <c r="A66" s="348" t="s">
        <v>253</v>
      </c>
      <c r="B66" s="336">
        <v>0.48226436542521273</v>
      </c>
      <c r="C66" s="4"/>
      <c r="D66" s="337">
        <f>$E$64*(1-'EERR Global'!$E$23)*B66</f>
        <v>12914.08</v>
      </c>
      <c r="E66" s="4"/>
      <c r="F66" s="4"/>
      <c r="G66" s="4"/>
      <c r="H66" s="4"/>
      <c r="I66" s="182"/>
      <c r="J66" s="95"/>
      <c r="K66" s="95"/>
      <c r="L66" s="4"/>
      <c r="M66" s="95"/>
      <c r="N66" s="95"/>
      <c r="O66" s="198"/>
      <c r="P66" s="182"/>
      <c r="Q66" s="371" t="s">
        <v>177</v>
      </c>
      <c r="R66" s="144">
        <v>3.25</v>
      </c>
      <c r="S66" s="209">
        <f>IFERROR(VLOOKUP(Q66,CR!D:F,3,0),"")</f>
        <v>2.3434332647628273</v>
      </c>
      <c r="T66" s="198">
        <f>R66*Tabla1[[#This Row],[Consumo optimizado '[l/mes']]]</f>
        <v>41970.76</v>
      </c>
      <c r="U66" s="219"/>
    </row>
    <row r="67" spans="1:23">
      <c r="A67" s="348" t="s">
        <v>253</v>
      </c>
      <c r="C67" s="4" t="s">
        <v>187</v>
      </c>
      <c r="D67" s="4">
        <f>+Tabla1[[#This Row],[Consumo presentado '[L/mes']]]*(1-'EERR Global'!$E$23)</f>
        <v>1200</v>
      </c>
      <c r="E67" s="4">
        <v>1200</v>
      </c>
      <c r="F67" s="4">
        <v>5</v>
      </c>
      <c r="G67" s="4"/>
      <c r="H67" s="4"/>
      <c r="I67" s="182"/>
      <c r="J67" s="4"/>
      <c r="K67" s="4" t="str">
        <f>IFERROR(VLOOKUP(J67,'Lista PQ Comp'!D:E,2,0),"")</f>
        <v/>
      </c>
      <c r="L67" s="4"/>
      <c r="M67" s="4"/>
      <c r="N67" s="118" t="str">
        <f>IFERROR(VLOOKUP(J67,'Lista PQ Comp'!D:F,3,0),"")</f>
        <v/>
      </c>
      <c r="O67" s="200"/>
      <c r="P67" s="187"/>
      <c r="Q67" s="4" t="s">
        <v>263</v>
      </c>
      <c r="R67" s="143">
        <f>IFERROR(VLOOKUP(Q67,'Lista PQ PECOM'!$I:$P,8,0),"")</f>
        <v>1.51</v>
      </c>
      <c r="S67" s="209">
        <f>IFERROR(VLOOKUP(Q67,CR!D:F,3,0),"")</f>
        <v>0.97</v>
      </c>
      <c r="T67" s="200">
        <f>R67*Tabla1[[#This Row],[Consumo optimizado '[l/mes']]]</f>
        <v>1812</v>
      </c>
      <c r="U67" s="217"/>
    </row>
    <row r="68" spans="1:23">
      <c r="A68" s="348" t="s">
        <v>253</v>
      </c>
      <c r="C68" s="4" t="s">
        <v>264</v>
      </c>
      <c r="D68" s="4">
        <f>+Tabla1[[#This Row],[Consumo presentado '[L/mes']]]*(1-'EERR Global'!$E$23)</f>
        <v>11768.080000000002</v>
      </c>
      <c r="E68" s="4">
        <v>11768.080000000002</v>
      </c>
      <c r="F68" s="4">
        <v>19</v>
      </c>
      <c r="G68" s="4">
        <v>20</v>
      </c>
      <c r="H68" s="4"/>
      <c r="I68" s="182"/>
      <c r="J68" s="95" t="s">
        <v>13</v>
      </c>
      <c r="K68" s="95" t="str">
        <f>IFERROR(VLOOKUP(J68,'Lista PQ Comp'!D:E,2,0),"")</f>
        <v>DISOLVENTE DE PARAFINAS Y ASFALTENOS</v>
      </c>
      <c r="L68" s="4" t="s">
        <v>168</v>
      </c>
      <c r="M68" s="95">
        <v>1000568151</v>
      </c>
      <c r="N68" s="95">
        <f>IFERROR(VLOOKUP(J68,'Lista PQ Comp'!D:F,3,0),"")</f>
        <v>6.08</v>
      </c>
      <c r="O68" s="198">
        <f>N68*Tabla1[[#This Row],[Consumo presentado '[L/mes']]]</f>
        <v>71549.926400000011</v>
      </c>
      <c r="P68" s="182"/>
      <c r="Q68" s="95" t="s">
        <v>265</v>
      </c>
      <c r="R68" s="144">
        <f>IFERROR(VLOOKUP(Q68,'Lista PQ PECOM'!$I:$P,8,0),"")</f>
        <v>4.7</v>
      </c>
      <c r="S68" s="208">
        <f>IFERROR(VLOOKUP(Q68,CR!D:F,3,0),"")</f>
        <v>2.5275605638915781</v>
      </c>
      <c r="T68" s="198">
        <f>R68*Tabla1[[#This Row],[Consumo optimizado '[l/mes']]]</f>
        <v>55309.97600000001</v>
      </c>
      <c r="U68" s="215">
        <f t="shared" si="2"/>
        <v>-0.2269736842105263</v>
      </c>
      <c r="W68" s="1" t="s">
        <v>266</v>
      </c>
    </row>
    <row r="69" spans="1:23">
      <c r="A69" s="348" t="s">
        <v>253</v>
      </c>
      <c r="C69" s="4" t="s">
        <v>267</v>
      </c>
      <c r="D69" s="4">
        <f>+Tabla1[[#This Row],[Consumo presentado '[L/mes']]]*(1-'EERR Global'!$E$23)</f>
        <v>647</v>
      </c>
      <c r="E69" s="4">
        <v>647</v>
      </c>
      <c r="F69" s="4"/>
      <c r="G69" s="4">
        <v>2</v>
      </c>
      <c r="H69" s="4"/>
      <c r="I69" s="182"/>
      <c r="J69" s="4" t="s">
        <v>19</v>
      </c>
      <c r="K69" s="4" t="str">
        <f>IFERROR(VLOOKUP(J69,'Lista PQ Comp'!D:E,2,0),"")</f>
        <v>Inhibidor de Parafinas y Asffaltenos</v>
      </c>
      <c r="L69" s="4"/>
      <c r="M69" s="4"/>
      <c r="N69" s="137">
        <f>IFERROR(VLOOKUP(J69,'Lista PQ Comp'!D:F,3,0),"")</f>
        <v>6.67</v>
      </c>
      <c r="O69" s="199">
        <f>N69*Tabla1[[#This Row],[Consumo presentado '[L/mes']]]</f>
        <v>4315.49</v>
      </c>
      <c r="P69" s="187"/>
      <c r="Q69" s="116" t="s">
        <v>265</v>
      </c>
      <c r="R69" s="143">
        <f>IFERROR(VLOOKUP(Q69,'Lista PQ PECOM'!$I:$P,8,0),"")</f>
        <v>4.7</v>
      </c>
      <c r="S69" s="209">
        <f>IFERROR(VLOOKUP(Q69,CR!D:F,3,0),"")</f>
        <v>2.5275605638915781</v>
      </c>
      <c r="T69" s="199">
        <f>R69*Tabla1[[#This Row],[Consumo optimizado '[l/mes']]]</f>
        <v>3040.9</v>
      </c>
      <c r="U69" s="216">
        <f t="shared" si="2"/>
        <v>-0.29535232383808091</v>
      </c>
      <c r="W69" s="1" t="s">
        <v>266</v>
      </c>
    </row>
    <row r="70" spans="1:23">
      <c r="A70" s="348" t="s">
        <v>253</v>
      </c>
      <c r="C70" s="4" t="s">
        <v>268</v>
      </c>
      <c r="D70" s="4">
        <f>+Tabla1[[#This Row],[Consumo presentado '[L/mes']]]*(1-'EERR Global'!$E$23)</f>
        <v>0</v>
      </c>
      <c r="E70" s="4">
        <v>0</v>
      </c>
      <c r="F70" s="4"/>
      <c r="G70" s="4"/>
      <c r="H70" s="4"/>
      <c r="I70" s="182"/>
      <c r="J70" s="95" t="s">
        <v>19</v>
      </c>
      <c r="K70" s="95" t="str">
        <f>IFERROR(VLOOKUP(J70,'Lista PQ Comp'!D:E,2,0),"")</f>
        <v>Inhibidor de Parafinas y Asffaltenos</v>
      </c>
      <c r="L70" s="117"/>
      <c r="M70" s="95"/>
      <c r="N70" s="95">
        <f>IFERROR(VLOOKUP(J70,'Lista PQ Comp'!D:F,3,0),"")</f>
        <v>6.67</v>
      </c>
      <c r="O70" s="198">
        <f>N70*Tabla1[[#This Row],[Consumo presentado '[L/mes']]]</f>
        <v>0</v>
      </c>
      <c r="P70" s="182"/>
      <c r="Q70" s="95" t="s">
        <v>265</v>
      </c>
      <c r="R70" s="144">
        <f>IFERROR(VLOOKUP(Q70,'Lista PQ PECOM'!$I:$P,8,0),"")</f>
        <v>4.7</v>
      </c>
      <c r="S70" s="208">
        <f>IFERROR(VLOOKUP(Q70,CR!D:F,3,0),"")</f>
        <v>2.5275605638915781</v>
      </c>
      <c r="T70" s="198">
        <f>R70*Tabla1[[#This Row],[Consumo optimizado '[l/mes']]]</f>
        <v>0</v>
      </c>
      <c r="U70" s="215"/>
      <c r="W70" s="1" t="s">
        <v>269</v>
      </c>
    </row>
    <row r="71" spans="1:23">
      <c r="A71" s="348" t="s">
        <v>253</v>
      </c>
      <c r="C71" s="4" t="s">
        <v>270</v>
      </c>
      <c r="D71" s="4">
        <f>+Tabla1[[#This Row],[Consumo presentado '[L/mes']]]*(1-'EERR Global'!$E$23)</f>
        <v>15.159999999999997</v>
      </c>
      <c r="E71" s="4">
        <v>15.159999999999997</v>
      </c>
      <c r="F71" s="4"/>
      <c r="G71" s="4">
        <v>1</v>
      </c>
      <c r="H71" s="4"/>
      <c r="I71" s="182"/>
      <c r="J71" s="4" t="s">
        <v>13</v>
      </c>
      <c r="K71" s="4" t="str">
        <f>IFERROR(VLOOKUP(J71,'Lista PQ Comp'!D:E,2,0),"")</f>
        <v>DISOLVENTE DE PARAFINAS Y ASFALTENOS</v>
      </c>
      <c r="L71" s="4"/>
      <c r="M71" s="4"/>
      <c r="N71" s="137">
        <f>IFERROR(VLOOKUP(J71,'Lista PQ Comp'!D:F,3,0),"")</f>
        <v>6.08</v>
      </c>
      <c r="O71" s="199">
        <f>N71*Tabla1[[#This Row],[Consumo presentado '[L/mes']]]</f>
        <v>92.172799999999981</v>
      </c>
      <c r="P71" s="187"/>
      <c r="Q71" s="116" t="s">
        <v>265</v>
      </c>
      <c r="R71" s="143">
        <f>IFERROR(VLOOKUP(Q71,'Lista PQ PECOM'!$I:$P,8,0),"")</f>
        <v>4.7</v>
      </c>
      <c r="S71" s="209">
        <f>IFERROR(VLOOKUP(Q71,CR!D:F,3,0),"")</f>
        <v>2.5275605638915781</v>
      </c>
      <c r="T71" s="199">
        <f>R71*Tabla1[[#This Row],[Consumo optimizado '[l/mes']]]</f>
        <v>71.251999999999981</v>
      </c>
      <c r="U71" s="216">
        <f t="shared" si="2"/>
        <v>-0.22697368421052636</v>
      </c>
      <c r="W71" s="1" t="s">
        <v>271</v>
      </c>
    </row>
    <row r="72" spans="1:23">
      <c r="A72" s="348" t="s">
        <v>253</v>
      </c>
      <c r="C72" s="4" t="s">
        <v>272</v>
      </c>
      <c r="D72" s="4">
        <f>+Tabla1[[#This Row],[Consumo presentado '[L/mes']]]*(1-'EERR Global'!$E$23)</f>
        <v>0</v>
      </c>
      <c r="E72" s="4">
        <v>0</v>
      </c>
      <c r="F72" s="4"/>
      <c r="G72" s="4"/>
      <c r="H72" s="4"/>
      <c r="I72" s="182"/>
      <c r="J72" s="95" t="s">
        <v>273</v>
      </c>
      <c r="K72" s="95">
        <f>IFERROR(VLOOKUP(J72,'Lista PQ Comp'!D:E,2,0),"")</f>
        <v>0</v>
      </c>
      <c r="L72" s="4" t="s">
        <v>168</v>
      </c>
      <c r="M72" s="95">
        <v>1000568109</v>
      </c>
      <c r="N72" s="95">
        <f>IFERROR(VLOOKUP(J72,'Lista PQ Comp'!D:F,3,0),"")</f>
        <v>9.15</v>
      </c>
      <c r="O72" s="198">
        <f>N72*Tabla1[[#This Row],[Consumo presentado '[L/mes']]]</f>
        <v>0</v>
      </c>
      <c r="P72" s="182"/>
      <c r="Q72" s="95"/>
      <c r="R72" s="144" t="str">
        <f>IFERROR(VLOOKUP(Q72,'Lista PQ PECOM'!$I:$P,8,0),"")</f>
        <v/>
      </c>
      <c r="S72" s="208" t="str">
        <f>IFERROR(VLOOKUP(Q72,CR!D:F,3,0),"")</f>
        <v/>
      </c>
      <c r="T72" s="198"/>
      <c r="U72" s="215"/>
    </row>
    <row r="73" spans="1:23">
      <c r="A73" s="348" t="s">
        <v>253</v>
      </c>
      <c r="C73" s="4" t="s">
        <v>274</v>
      </c>
      <c r="D73" s="4">
        <f>+Tabla1[[#This Row],[Consumo presentado '[L/mes']]]*(1-'EERR Global'!$E$23)</f>
        <v>3533.7999999999997</v>
      </c>
      <c r="E73" s="4">
        <v>3533.7999999999997</v>
      </c>
      <c r="F73" s="4"/>
      <c r="G73" s="4">
        <v>4</v>
      </c>
      <c r="H73" s="4"/>
      <c r="I73" s="182"/>
      <c r="J73" s="4" t="s">
        <v>44</v>
      </c>
      <c r="K73" s="4" t="str">
        <f>IFERROR(VLOOKUP(J73,'Lista PQ Comp'!D:E,2,0),"")</f>
        <v>Floculante</v>
      </c>
      <c r="L73" s="4" t="s">
        <v>168</v>
      </c>
      <c r="M73" s="4"/>
      <c r="N73" s="137">
        <f>IFERROR(VLOOKUP(J73,'Lista PQ Comp'!D:F,3,0),"")</f>
        <v>10.11</v>
      </c>
      <c r="O73" s="199">
        <f>N73*Tabla1[[#This Row],[Consumo presentado '[L/mes']]]</f>
        <v>35726.717999999993</v>
      </c>
      <c r="P73" s="187"/>
      <c r="Q73" s="4" t="s">
        <v>275</v>
      </c>
      <c r="R73" s="143">
        <f>IFERROR(VLOOKUP(Q73,'Lista PQ PECOM'!$I:$P,8,0),"")</f>
        <v>8.15</v>
      </c>
      <c r="S73" s="209">
        <f>IFERROR(VLOOKUP(Q73,CR!D:F,3,0),"")</f>
        <v>5.2799999999999994</v>
      </c>
      <c r="T73" s="199">
        <f>R73*Tabla1[[#This Row],[Consumo optimizado '[l/mes']]]</f>
        <v>28800.469999999998</v>
      </c>
      <c r="U73" s="216">
        <f t="shared" si="2"/>
        <v>-0.19386745796241336</v>
      </c>
      <c r="W73" s="1" t="s">
        <v>189</v>
      </c>
    </row>
    <row r="74" spans="1:23">
      <c r="A74" s="348" t="s">
        <v>253</v>
      </c>
      <c r="C74" s="4" t="s">
        <v>173</v>
      </c>
      <c r="D74" s="4">
        <f>+Tabla1[[#This Row],[Consumo presentado '[L/mes']]]*(1-'EERR Global'!$E$23)</f>
        <v>0</v>
      </c>
      <c r="E74" s="4"/>
      <c r="F74" s="4"/>
      <c r="G74" s="4"/>
      <c r="H74" s="4"/>
      <c r="I74" s="182"/>
      <c r="J74" s="95" t="s">
        <v>276</v>
      </c>
      <c r="K74" s="95">
        <f>IFERROR(VLOOKUP(J74,'Lista PQ Comp'!D:E,2,0),"")</f>
        <v>0</v>
      </c>
      <c r="L74" s="4" t="s">
        <v>168</v>
      </c>
      <c r="M74" s="95"/>
      <c r="N74" s="95">
        <f>IFERROR(VLOOKUP(J74,'Lista PQ Comp'!D:F,3,0),"")</f>
        <v>4.13</v>
      </c>
      <c r="O74" s="198">
        <f>N74*Tabla1[[#This Row],[Consumo presentado '[L/mes']]]</f>
        <v>0</v>
      </c>
      <c r="P74" s="182"/>
      <c r="Q74" s="95" t="s">
        <v>179</v>
      </c>
      <c r="R74" s="144">
        <f>IFERROR(VLOOKUP(Q74,'Lista PQ PECOM'!$I:$P,8,0),"")</f>
        <v>2.74</v>
      </c>
      <c r="S74" s="208">
        <f>IFERROR(VLOOKUP(Q74,CR!D:F,3,0),"")</f>
        <v>1.504731491417457</v>
      </c>
      <c r="T74" s="198">
        <f>R74*Tabla1[[#This Row],[Consumo optimizado '[l/mes']]]</f>
        <v>0</v>
      </c>
      <c r="U74" s="215"/>
    </row>
    <row r="75" spans="1:23">
      <c r="A75" s="348" t="s">
        <v>253</v>
      </c>
      <c r="C75" s="4" t="s">
        <v>277</v>
      </c>
      <c r="D75" s="4">
        <f>+Tabla1[[#This Row],[Consumo presentado '[L/mes']]]*(1-'EERR Global'!$E$23)</f>
        <v>4082.5600000000004</v>
      </c>
      <c r="E75" s="4">
        <v>4082.5600000000004</v>
      </c>
      <c r="F75" s="4"/>
      <c r="G75" s="4">
        <v>8</v>
      </c>
      <c r="H75" s="4"/>
      <c r="I75" s="182"/>
      <c r="J75" s="4" t="s">
        <v>43</v>
      </c>
      <c r="K75" s="4" t="str">
        <f>IFERROR(VLOOKUP(J75,'Lista PQ Comp'!D:E,2,0),"")</f>
        <v>Ruptor</v>
      </c>
      <c r="L75" s="4" t="s">
        <v>168</v>
      </c>
      <c r="M75" s="4">
        <v>1000283292</v>
      </c>
      <c r="N75" s="137">
        <f>IFERROR(VLOOKUP(J75,'Lista PQ Comp'!D:F,3,0),"")</f>
        <v>6.19</v>
      </c>
      <c r="O75" s="199">
        <f>N75*Tabla1[[#This Row],[Consumo presentado '[L/mes']]]</f>
        <v>25271.046400000003</v>
      </c>
      <c r="P75" s="187"/>
      <c r="Q75" s="115" t="s">
        <v>278</v>
      </c>
      <c r="R75" s="349">
        <f>IFERROR(VLOOKUP(Q75,'Lista PQ PECOM'!$I:$P,8,0),"")</f>
        <v>3.89</v>
      </c>
      <c r="S75" s="209">
        <f>2.92+0.25</f>
        <v>3.17</v>
      </c>
      <c r="T75" s="199">
        <f>R75*Tabla1[[#This Row],[Consumo optimizado '[l/mes']]]</f>
        <v>15881.158400000002</v>
      </c>
      <c r="U75" s="216">
        <f t="shared" si="2"/>
        <v>-0.37156704361873988</v>
      </c>
      <c r="W75" s="1" t="s">
        <v>279</v>
      </c>
    </row>
    <row r="76" spans="1:23">
      <c r="A76" s="348" t="s">
        <v>253</v>
      </c>
      <c r="C76" s="4" t="s">
        <v>280</v>
      </c>
      <c r="D76" s="4">
        <f>+Tabla1[[#This Row],[Consumo presentado '[L/mes']]]*(1-'EERR Global'!$E$23)</f>
        <v>1831</v>
      </c>
      <c r="E76" s="4">
        <v>1831</v>
      </c>
      <c r="F76" s="4"/>
      <c r="G76" s="4">
        <v>5</v>
      </c>
      <c r="H76" s="4"/>
      <c r="I76" s="182"/>
      <c r="J76" s="95" t="s">
        <v>281</v>
      </c>
      <c r="K76" s="95">
        <f>IFERROR(VLOOKUP(J76,'Lista PQ Comp'!D:E,2,0),"")</f>
        <v>0</v>
      </c>
      <c r="L76" s="4" t="s">
        <v>168</v>
      </c>
      <c r="M76" s="95">
        <v>1000577491</v>
      </c>
      <c r="N76" s="95">
        <f>IFERROR(VLOOKUP(J76,'Lista PQ Comp'!D:F,3,0),"")</f>
        <v>5.13</v>
      </c>
      <c r="O76" s="198">
        <f>N76*Tabla1[[#This Row],[Consumo presentado '[L/mes']]]</f>
        <v>9393.0300000000007</v>
      </c>
      <c r="P76" s="182"/>
      <c r="Q76" s="95" t="s">
        <v>282</v>
      </c>
      <c r="R76" s="144">
        <f>IFERROR(VLOOKUP(Q76,'Lista PQ PECOM'!$I:$P,8,0),"")</f>
        <v>4.5999999999999996</v>
      </c>
      <c r="S76" s="208">
        <f>IFERROR(VLOOKUP(Q76,CR!D:F,3,0),"")</f>
        <v>2.031723017523126</v>
      </c>
      <c r="T76" s="198">
        <f>R76*Tabla1[[#This Row],[Consumo optimizado '[l/mes']]]</f>
        <v>8422.5999999999985</v>
      </c>
      <c r="U76" s="215">
        <f t="shared" si="2"/>
        <v>-0.10331384015594564</v>
      </c>
    </row>
    <row r="77" spans="1:23">
      <c r="A77" s="348" t="s">
        <v>253</v>
      </c>
      <c r="C77" s="4" t="s">
        <v>202</v>
      </c>
      <c r="D77" s="4">
        <f>+Tabla1[[#This Row],[Consumo presentado '[L/mes']]]*(1-'EERR Global'!$E$23)</f>
        <v>8567.26</v>
      </c>
      <c r="E77" s="4">
        <v>8567.26</v>
      </c>
      <c r="F77" s="4">
        <v>37</v>
      </c>
      <c r="G77" s="4">
        <v>11</v>
      </c>
      <c r="H77" s="4"/>
      <c r="I77" s="182"/>
      <c r="J77" s="4" t="s">
        <v>28</v>
      </c>
      <c r="K77" s="4" t="str">
        <f>IFERROR(VLOOKUP(J77,'Lista PQ Comp'!D:E,2,0),"")</f>
        <v>Inhibidor de corrosión</v>
      </c>
      <c r="L77" s="4" t="s">
        <v>168</v>
      </c>
      <c r="M77" s="4">
        <v>1000276464</v>
      </c>
      <c r="N77" s="137">
        <f>IFERROR(VLOOKUP(J77,'Lista PQ Comp'!D:F,3,0),"")</f>
        <v>2.93</v>
      </c>
      <c r="O77" s="199">
        <f>N77*Tabla1[[#This Row],[Consumo presentado '[L/mes']]]</f>
        <v>25102.071800000002</v>
      </c>
      <c r="P77" s="187"/>
      <c r="Q77" s="115" t="s">
        <v>648</v>
      </c>
      <c r="R77" s="143">
        <f>IFERROR(VLOOKUP(Q77,'Lista PQ PECOM'!$I:$P,8,0),"")</f>
        <v>3.21</v>
      </c>
      <c r="S77" s="209">
        <f>2.03+0.25</f>
        <v>2.2799999999999998</v>
      </c>
      <c r="T77" s="199">
        <f>R77*Tabla1[[#This Row],[Consumo optimizado '[l/mes']]]</f>
        <v>27500.904600000002</v>
      </c>
      <c r="U77" s="220">
        <f t="shared" si="2"/>
        <v>9.556313993174062E-2</v>
      </c>
    </row>
    <row r="78" spans="1:23">
      <c r="A78" s="348" t="s">
        <v>253</v>
      </c>
      <c r="C78" s="4" t="s">
        <v>248</v>
      </c>
      <c r="D78" s="4">
        <f>+Tabla1[[#This Row],[Consumo presentado '[L/mes']]]*(1-'EERR Global'!$E$23)</f>
        <v>0</v>
      </c>
      <c r="E78" s="4">
        <v>0</v>
      </c>
      <c r="F78" s="4"/>
      <c r="G78" s="4"/>
      <c r="H78" s="4"/>
      <c r="I78" s="182"/>
      <c r="J78" s="116"/>
      <c r="K78" s="116" t="str">
        <f>IFERROR(VLOOKUP(J78,'Lista PQ Comp'!D:E,2,0),"")</f>
        <v/>
      </c>
      <c r="L78" s="4"/>
      <c r="M78" s="116"/>
      <c r="N78" s="116" t="str">
        <f>IFERROR(VLOOKUP(J78,'Lista PQ Comp'!D:F,3,0),"")</f>
        <v/>
      </c>
      <c r="O78" s="201"/>
      <c r="P78" s="185"/>
      <c r="Q78" s="116" t="s">
        <v>249</v>
      </c>
      <c r="R78" s="145">
        <f>IFERROR(VLOOKUP(Q78,'Lista PQ PECOM'!$I:$P,8,0),"")</f>
        <v>1.41</v>
      </c>
      <c r="S78" s="208">
        <f>IFERROR(VLOOKUP(Q78,CR!D:F,3,0),"")</f>
        <v>1.2206960051174867</v>
      </c>
      <c r="T78" s="201">
        <f>R78*Tabla1[[#This Row],[Consumo optimizado '[l/mes']]]</f>
        <v>0</v>
      </c>
      <c r="U78" s="218"/>
    </row>
    <row r="79" spans="1:23">
      <c r="A79" s="348" t="s">
        <v>253</v>
      </c>
      <c r="C79" s="4" t="s">
        <v>205</v>
      </c>
      <c r="D79" s="4">
        <f>+Tabla1[[#This Row],[Consumo presentado '[L/mes']]]*(1-'EERR Global'!$E$23)</f>
        <v>11284.460000000001</v>
      </c>
      <c r="E79" s="4">
        <v>11284.460000000001</v>
      </c>
      <c r="F79" s="4"/>
      <c r="G79" s="4">
        <v>23</v>
      </c>
      <c r="H79" s="4"/>
      <c r="I79" s="182"/>
      <c r="J79" s="117" t="s">
        <v>284</v>
      </c>
      <c r="K79" s="117" t="str">
        <f>IFERROR(VLOOKUP(J79,'Lista PQ Comp'!D:E,2,0),"")</f>
        <v>INHIBIDOR DE INCRUSTACIONES</v>
      </c>
      <c r="L79" s="4" t="s">
        <v>168</v>
      </c>
      <c r="M79" s="117">
        <v>1000577491</v>
      </c>
      <c r="N79" s="137">
        <f>IFERROR(VLOOKUP(J79,'Lista PQ Comp'!D:F,3,0),"")</f>
        <v>3.13</v>
      </c>
      <c r="O79" s="199">
        <f>N79*Tabla1[[#This Row],[Consumo presentado '[L/mes']]]</f>
        <v>35320.359799999998</v>
      </c>
      <c r="P79" s="187"/>
      <c r="Q79" s="117" t="s">
        <v>201</v>
      </c>
      <c r="R79" s="146">
        <f>IFERROR(VLOOKUP(Q79,'Lista PQ PECOM'!$I:$P,8,0),"")</f>
        <v>3.48</v>
      </c>
      <c r="S79" s="208">
        <f>IFERROR(VLOOKUP(Q79,CR!D:F,3,0),"")</f>
        <v>1.7864625248587429</v>
      </c>
      <c r="T79" s="199">
        <f>R79*Tabla1[[#This Row],[Consumo optimizado '[l/mes']]]</f>
        <v>39269.9208</v>
      </c>
      <c r="U79" s="216">
        <f t="shared" si="2"/>
        <v>0.11182108626198088</v>
      </c>
    </row>
    <row r="80" spans="1:23">
      <c r="A80" s="348" t="s">
        <v>253</v>
      </c>
      <c r="C80" s="4" t="s">
        <v>285</v>
      </c>
      <c r="D80" s="4">
        <f>+Tabla1[[#This Row],[Consumo presentado '[L/mes']]]*(1-'EERR Global'!$E$23)</f>
        <v>0</v>
      </c>
      <c r="E80" s="4">
        <v>0</v>
      </c>
      <c r="F80" s="4"/>
      <c r="G80" s="4"/>
      <c r="H80" s="4"/>
      <c r="I80" s="182"/>
      <c r="J80" s="116" t="s">
        <v>19</v>
      </c>
      <c r="K80" s="116" t="str">
        <f>IFERROR(VLOOKUP(J80,'Lista PQ Comp'!D:E,2,0),"")</f>
        <v>Inhibidor de Parafinas y Asffaltenos</v>
      </c>
      <c r="L80" s="4"/>
      <c r="M80" s="116"/>
      <c r="N80" s="116">
        <f>IFERROR(VLOOKUP(J80,'Lista PQ Comp'!D:F,3,0),"")</f>
        <v>6.67</v>
      </c>
      <c r="O80" s="201">
        <f>N80*Tabla1[[#This Row],[Consumo presentado '[L/mes']]]</f>
        <v>0</v>
      </c>
      <c r="P80" s="185"/>
      <c r="Q80" s="116" t="str">
        <f>+Q81</f>
        <v>IPB658</v>
      </c>
      <c r="R80" s="145">
        <f>IFERROR(VLOOKUP(Q80,'Lista PQ PECOM'!$I:$P,8,0),"")</f>
        <v>7.2</v>
      </c>
      <c r="S80" s="208">
        <f>IFERROR(VLOOKUP(Q80,CR!D:F,3,0),"")</f>
        <v>4.4678609027105516</v>
      </c>
      <c r="T80" s="201"/>
      <c r="U80" s="218"/>
    </row>
    <row r="81" spans="1:23">
      <c r="A81" s="348" t="s">
        <v>253</v>
      </c>
      <c r="C81" s="4" t="s">
        <v>286</v>
      </c>
      <c r="D81" s="4">
        <f>+Tabla1[[#This Row],[Consumo presentado '[L/mes']]]*(1-'EERR Global'!$E$23)</f>
        <v>1824.08</v>
      </c>
      <c r="E81" s="4">
        <v>1824.08</v>
      </c>
      <c r="F81" s="4"/>
      <c r="G81" s="4">
        <v>4</v>
      </c>
      <c r="H81" s="4"/>
      <c r="I81" s="182"/>
      <c r="J81" s="117" t="s">
        <v>32</v>
      </c>
      <c r="K81" s="117" t="str">
        <f>IFERROR(VLOOKUP(J81,'Lista PQ Comp'!D:E,2,0),"")</f>
        <v>INHIBIDOR DE INCRUSTACIONES</v>
      </c>
      <c r="L81" s="4" t="s">
        <v>168</v>
      </c>
      <c r="M81" s="117"/>
      <c r="N81" s="137">
        <f>IFERROR(VLOOKUP(J81,'Lista PQ Comp'!D:F,3,0),"")</f>
        <v>7.84</v>
      </c>
      <c r="O81" s="199">
        <f>N81*Tabla1[[#This Row],[Consumo presentado '[L/mes']]]</f>
        <v>14300.787199999999</v>
      </c>
      <c r="P81" s="187"/>
      <c r="Q81" s="117" t="s">
        <v>287</v>
      </c>
      <c r="R81" s="146">
        <f>IFERROR(VLOOKUP(Q81,'Lista PQ PECOM'!$I:$P,8,0),"")</f>
        <v>7.2</v>
      </c>
      <c r="S81" s="208">
        <f>IFERROR(VLOOKUP(Q81,CR!D:F,3,0),"")</f>
        <v>4.4678609027105516</v>
      </c>
      <c r="T81" s="199">
        <f>R81*Tabla1[[#This Row],[Consumo optimizado '[l/mes']]]</f>
        <v>13133.376</v>
      </c>
      <c r="U81" s="216">
        <f t="shared" si="2"/>
        <v>-8.16326530612244E-2</v>
      </c>
    </row>
    <row r="82" spans="1:23">
      <c r="A82" s="348" t="s">
        <v>253</v>
      </c>
      <c r="C82" s="4" t="s">
        <v>288</v>
      </c>
      <c r="D82" s="4">
        <f>+Tabla1[[#This Row],[Consumo presentado '[L/mes']]]*(1-'EERR Global'!$E$23)</f>
        <v>0</v>
      </c>
      <c r="E82" s="4">
        <v>0</v>
      </c>
      <c r="F82" s="4"/>
      <c r="G82" s="4"/>
      <c r="H82" s="4"/>
      <c r="I82" s="182"/>
      <c r="J82" s="116"/>
      <c r="K82" s="116" t="str">
        <f>IFERROR(VLOOKUP(J82,'Lista PQ Comp'!D:E,2,0),"")</f>
        <v/>
      </c>
      <c r="L82" s="4"/>
      <c r="M82" s="116"/>
      <c r="N82" s="116" t="str">
        <f>IFERROR(VLOOKUP(J82,'Lista PQ Comp'!D:F,3,0),"")</f>
        <v/>
      </c>
      <c r="O82" s="201"/>
      <c r="P82" s="185"/>
      <c r="Q82" s="116"/>
      <c r="R82" s="145" t="str">
        <f>IFERROR(VLOOKUP(Q82,'Lista PQ PECOM'!$I:$P,8,0),"")</f>
        <v/>
      </c>
      <c r="S82" s="208" t="str">
        <f>IFERROR(VLOOKUP(Q82,CR!D:F,3,0),"")</f>
        <v/>
      </c>
      <c r="T82" s="201"/>
      <c r="U82" s="218"/>
    </row>
    <row r="83" spans="1:23">
      <c r="A83" s="348" t="s">
        <v>253</v>
      </c>
      <c r="C83" s="4" t="s">
        <v>289</v>
      </c>
      <c r="D83" s="4">
        <f>+Tabla1[[#This Row],[Consumo presentado '[L/mes']]]*(1-'EERR Global'!$E$23)</f>
        <v>3379.06</v>
      </c>
      <c r="E83" s="4">
        <v>3379.06</v>
      </c>
      <c r="F83" s="4"/>
      <c r="G83" s="4">
        <v>10</v>
      </c>
      <c r="H83" s="4"/>
      <c r="I83" s="182"/>
      <c r="J83" s="117" t="s">
        <v>290</v>
      </c>
      <c r="K83" s="117" t="str">
        <f>IFERROR(VLOOKUP(J83,'Lista PQ Comp'!D:E,2,0),"")</f>
        <v>Reductor de fricción</v>
      </c>
      <c r="L83" s="4" t="s">
        <v>168</v>
      </c>
      <c r="M83" s="117">
        <v>10000276573</v>
      </c>
      <c r="N83" s="137">
        <f>IFERROR(VLOOKUP(J83,'Lista PQ Comp'!D:F,3,0),"")</f>
        <v>5.76</v>
      </c>
      <c r="O83" s="199">
        <f>N83*Tabla1[[#This Row],[Consumo presentado '[L/mes']]]</f>
        <v>19463.385599999998</v>
      </c>
      <c r="P83" s="187"/>
      <c r="Q83" s="117" t="s">
        <v>177</v>
      </c>
      <c r="R83" s="146">
        <f>IFERROR(VLOOKUP(Q83,'Lista PQ PECOM'!$I:$P,8,0),"")</f>
        <v>3.25</v>
      </c>
      <c r="S83" s="208">
        <f>IFERROR(VLOOKUP(Q83,CR!D:F,3,0),"")</f>
        <v>2.3434332647628273</v>
      </c>
      <c r="T83" s="199">
        <f>R83*Tabla1[[#This Row],[Consumo optimizado '[l/mes']]]</f>
        <v>10981.945</v>
      </c>
      <c r="U83" s="216">
        <f t="shared" si="2"/>
        <v>-0.43576388888888884</v>
      </c>
      <c r="W83" s="1" t="s">
        <v>184</v>
      </c>
    </row>
    <row r="84" spans="1:23">
      <c r="A84" s="348" t="s">
        <v>253</v>
      </c>
      <c r="C84" s="4" t="s">
        <v>291</v>
      </c>
      <c r="D84" s="4">
        <f>+Tabla1[[#This Row],[Consumo presentado '[L/mes']]]*(1-'EERR Global'!$E$23)</f>
        <v>514</v>
      </c>
      <c r="E84" s="4">
        <v>514</v>
      </c>
      <c r="F84" s="4"/>
      <c r="G84" s="4">
        <v>1</v>
      </c>
      <c r="H84" s="4"/>
      <c r="I84" s="182"/>
      <c r="J84" s="116" t="s">
        <v>292</v>
      </c>
      <c r="K84" s="116" t="str">
        <f>IFERROR(VLOOKUP(J84,'Lista PQ Comp'!D:E,2,0),"")</f>
        <v>Reductor de viscosidad</v>
      </c>
      <c r="L84" s="4" t="s">
        <v>168</v>
      </c>
      <c r="M84" s="116">
        <v>1000568148</v>
      </c>
      <c r="N84" s="116">
        <f>IFERROR(VLOOKUP(J84,'Lista PQ Comp'!D:F,3,0),"")</f>
        <v>11.22</v>
      </c>
      <c r="O84" s="201">
        <f>N84*Tabla1[[#This Row],[Consumo presentado '[L/mes']]]</f>
        <v>5767.08</v>
      </c>
      <c r="P84" s="185"/>
      <c r="Q84" s="116" t="s">
        <v>246</v>
      </c>
      <c r="R84" s="145">
        <f>IFERROR(VLOOKUP(Q84,'Lista PQ PECOM'!$I:$P,8,0),"")</f>
        <v>6.61</v>
      </c>
      <c r="S84" s="208">
        <f>IFERROR(VLOOKUP(Q84,CR!D:F,3,0),"")</f>
        <v>5.0541526074536618</v>
      </c>
      <c r="T84" s="201">
        <f>R84*Tabla1[[#This Row],[Consumo optimizado '[l/mes']]]</f>
        <v>3397.54</v>
      </c>
      <c r="U84" s="218">
        <f t="shared" si="2"/>
        <v>-0.410873440285205</v>
      </c>
    </row>
    <row r="85" spans="1:23">
      <c r="A85" s="348" t="s">
        <v>253</v>
      </c>
      <c r="C85" s="4" t="s">
        <v>293</v>
      </c>
      <c r="D85" s="4">
        <f>+Tabla1[[#This Row],[Consumo presentado '[L/mes']]]*(1-'EERR Global'!$E$23)</f>
        <v>0</v>
      </c>
      <c r="E85" s="4">
        <v>0</v>
      </c>
      <c r="F85" s="4"/>
      <c r="G85" s="4"/>
      <c r="H85" s="4"/>
      <c r="I85" s="182"/>
      <c r="J85" s="117" t="s">
        <v>294</v>
      </c>
      <c r="K85" s="117" t="str">
        <f>IFERROR(VLOOKUP(J85,'Lista PQ Comp'!D:E,2,0),"")</f>
        <v>INHIBIDOR DE INCRUSTACIONES</v>
      </c>
      <c r="L85" s="4" t="s">
        <v>168</v>
      </c>
      <c r="M85" s="117">
        <v>1000556376</v>
      </c>
      <c r="N85" s="137">
        <f>IFERROR(VLOOKUP(J85,'Lista PQ Comp'!D:F,3,0),"")</f>
        <v>2.65</v>
      </c>
      <c r="O85" s="199">
        <f>N85*Tabla1[[#This Row],[Consumo presentado '[L/mes']]]</f>
        <v>0</v>
      </c>
      <c r="P85" s="187"/>
      <c r="Q85" s="117" t="str">
        <f>+Q79</f>
        <v>IC898</v>
      </c>
      <c r="R85" s="146">
        <f>IFERROR(VLOOKUP(Q85,'Lista PQ PECOM'!$I:$P,8,0),"")</f>
        <v>3.48</v>
      </c>
      <c r="S85" s="208">
        <f>IFERROR(VLOOKUP(Q85,CR!D:F,3,0),"")</f>
        <v>1.7864625248587429</v>
      </c>
      <c r="T85" s="199"/>
      <c r="U85" s="216"/>
    </row>
    <row r="86" spans="1:23">
      <c r="A86" s="348" t="s">
        <v>253</v>
      </c>
      <c r="C86" s="4" t="s">
        <v>295</v>
      </c>
      <c r="D86" s="4">
        <f>+Tabla1[[#This Row],[Consumo presentado '[L/mes']]]*(1-'EERR Global'!$E$23)</f>
        <v>3030.7999999999997</v>
      </c>
      <c r="E86" s="4">
        <v>3030.7999999999997</v>
      </c>
      <c r="F86" s="4">
        <v>1</v>
      </c>
      <c r="G86" s="4">
        <v>2</v>
      </c>
      <c r="H86" s="4"/>
      <c r="I86" s="182"/>
      <c r="J86" s="116" t="s">
        <v>43</v>
      </c>
      <c r="K86" s="116" t="str">
        <f>IFERROR(VLOOKUP(J86,'Lista PQ Comp'!D:E,2,0),"")</f>
        <v>Ruptor</v>
      </c>
      <c r="L86" s="4"/>
      <c r="M86" s="116"/>
      <c r="N86" s="116">
        <f>IFERROR(VLOOKUP(J86,'Lista PQ Comp'!D:F,3,0),"")</f>
        <v>6.19</v>
      </c>
      <c r="O86" s="201">
        <f>N86*Tabla1[[#This Row],[Consumo presentado '[L/mes']]]</f>
        <v>18760.651999999998</v>
      </c>
      <c r="P86" s="185"/>
      <c r="Q86" s="116" t="s">
        <v>296</v>
      </c>
      <c r="R86" s="145">
        <f>IFERROR(VLOOKUP(Q86,'Lista PQ PECOM'!$I:$P,8,0),"")</f>
        <v>6.82</v>
      </c>
      <c r="S86" s="208">
        <f>IFERROR(VLOOKUP(Q86,CR!D:F,3,0),"")</f>
        <v>4.05</v>
      </c>
      <c r="T86" s="201">
        <f>R86*Tabla1[[#This Row],[Consumo optimizado '[l/mes']]]</f>
        <v>20670.056</v>
      </c>
      <c r="U86" s="218">
        <f t="shared" si="2"/>
        <v>0.10177705977382889</v>
      </c>
    </row>
    <row r="87" spans="1:23">
      <c r="A87" s="348" t="s">
        <v>253</v>
      </c>
      <c r="C87" s="4" t="s">
        <v>297</v>
      </c>
      <c r="D87" s="4">
        <f>+Tabla1[[#This Row],[Consumo presentado '[L/mes']]]*(1-'EERR Global'!$E$23)</f>
        <v>589</v>
      </c>
      <c r="E87" s="4">
        <v>589</v>
      </c>
      <c r="F87" s="4"/>
      <c r="G87" s="4">
        <v>3</v>
      </c>
      <c r="H87" s="4"/>
      <c r="I87" s="182"/>
      <c r="J87" s="117" t="s">
        <v>39</v>
      </c>
      <c r="K87" s="117" t="str">
        <f>IFERROR(VLOOKUP(J87,'Lista PQ Comp'!D:E,2,0),"")</f>
        <v>Sec de H2S</v>
      </c>
      <c r="L87" s="4" t="s">
        <v>168</v>
      </c>
      <c r="M87" s="117">
        <v>1000276487</v>
      </c>
      <c r="N87" s="137">
        <f>IFERROR(VLOOKUP(J87,'Lista PQ Comp'!D:F,3,0),"")</f>
        <v>2.64</v>
      </c>
      <c r="O87" s="199">
        <f>N87*Tabla1[[#This Row],[Consumo presentado '[L/mes']]]</f>
        <v>1554.96</v>
      </c>
      <c r="P87" s="187"/>
      <c r="Q87" s="117" t="s">
        <v>610</v>
      </c>
      <c r="R87" s="146">
        <f>IFERROR(VLOOKUP(Q87,'Lista PQ PECOM'!$I:$P,8,0),"")</f>
        <v>2.4500000000000002</v>
      </c>
      <c r="S87" s="208">
        <f>2.22+0.25</f>
        <v>2.4700000000000002</v>
      </c>
      <c r="T87" s="199">
        <f>R87*Tabla1[[#This Row],[Consumo optimizado '[l/mes']]]</f>
        <v>1443.0500000000002</v>
      </c>
      <c r="U87" s="220">
        <f t="shared" si="2"/>
        <v>-7.1969696969696878E-2</v>
      </c>
    </row>
    <row r="88" spans="1:23">
      <c r="A88" s="348" t="s">
        <v>253</v>
      </c>
      <c r="C88" s="4" t="s">
        <v>299</v>
      </c>
      <c r="D88" s="4">
        <f>+Tabla1[[#This Row],[Consumo presentado '[L/mes']]]*(1-'EERR Global'!$E$23)</f>
        <v>89</v>
      </c>
      <c r="E88" s="4">
        <v>89</v>
      </c>
      <c r="F88" s="4"/>
      <c r="G88" s="4">
        <v>1</v>
      </c>
      <c r="H88" s="4"/>
      <c r="I88" s="182"/>
      <c r="J88" s="116" t="s">
        <v>51</v>
      </c>
      <c r="K88" s="116" t="str">
        <f>IFERROR(VLOOKUP(J88,'Lista PQ Comp'!D:E,2,0),"")</f>
        <v>Inhibidor de corrosión</v>
      </c>
      <c r="L88" s="4" t="s">
        <v>168</v>
      </c>
      <c r="M88" s="116">
        <v>10000276486</v>
      </c>
      <c r="N88" s="116">
        <f>IFERROR(VLOOKUP(J88,'Lista PQ Comp'!D:F,3,0),"")</f>
        <v>1.77</v>
      </c>
      <c r="O88" s="201">
        <f>N88*Tabla1[[#This Row],[Consumo presentado '[L/mes']]]</f>
        <v>157.53</v>
      </c>
      <c r="P88" s="185"/>
      <c r="Q88" s="116" t="s">
        <v>226</v>
      </c>
      <c r="R88" s="145">
        <f>IFERROR(VLOOKUP(Q88,'Lista PQ PECOM'!$I:$P,8,0),"")</f>
        <v>2.31</v>
      </c>
      <c r="S88" s="208">
        <f>IFERROR(VLOOKUP(Q88,CR!D:F,3,0),"")</f>
        <v>1.8266571757018397</v>
      </c>
      <c r="T88" s="201">
        <f>R88*Tabla1[[#This Row],[Consumo optimizado '[l/mes']]]</f>
        <v>205.59</v>
      </c>
      <c r="U88" s="221">
        <f t="shared" si="2"/>
        <v>0.30508474576271188</v>
      </c>
    </row>
    <row r="89" spans="1:23">
      <c r="A89" s="348" t="s">
        <v>253</v>
      </c>
      <c r="C89" s="4" t="s">
        <v>300</v>
      </c>
      <c r="D89" s="4">
        <f>+Tabla1[[#This Row],[Consumo presentado '[L/mes']]]*(1-'EERR Global'!$E$23)</f>
        <v>169.1</v>
      </c>
      <c r="E89" s="4">
        <v>169.1</v>
      </c>
      <c r="F89" s="4"/>
      <c r="G89" s="4">
        <v>1</v>
      </c>
      <c r="H89" s="4"/>
      <c r="I89" s="182"/>
      <c r="J89" s="117" t="s">
        <v>51</v>
      </c>
      <c r="K89" s="117" t="str">
        <f>IFERROR(VLOOKUP(J89,'Lista PQ Comp'!D:E,2,0),"")</f>
        <v>Inhibidor de corrosión</v>
      </c>
      <c r="L89" s="4" t="s">
        <v>168</v>
      </c>
      <c r="M89" s="117">
        <v>10000276486</v>
      </c>
      <c r="N89" s="137">
        <f>IFERROR(VLOOKUP(J89,'Lista PQ Comp'!D:F,3,0),"")</f>
        <v>1.77</v>
      </c>
      <c r="O89" s="199">
        <f>N89*Tabla1[[#This Row],[Consumo presentado '[L/mes']]]</f>
        <v>299.30700000000002</v>
      </c>
      <c r="P89" s="187"/>
      <c r="Q89" s="117" t="s">
        <v>226</v>
      </c>
      <c r="R89" s="146">
        <f>IFERROR(VLOOKUP(Q89,'Lista PQ PECOM'!$I:$P,8,0),"")</f>
        <v>2.31</v>
      </c>
      <c r="S89" s="208">
        <f>IFERROR(VLOOKUP(Q89,CR!D:F,3,0),"")</f>
        <v>1.8266571757018397</v>
      </c>
      <c r="T89" s="199">
        <f>R89*Tabla1[[#This Row],[Consumo optimizado '[l/mes']]]</f>
        <v>390.62099999999998</v>
      </c>
      <c r="U89" s="220">
        <f t="shared" si="2"/>
        <v>0.30508474576271172</v>
      </c>
    </row>
    <row r="90" spans="1:23">
      <c r="A90" s="348" t="s">
        <v>253</v>
      </c>
      <c r="C90" s="4" t="s">
        <v>227</v>
      </c>
      <c r="D90" s="4">
        <f>+Tabla1[[#This Row],[Consumo presentado '[L/mes']]]*(1-'EERR Global'!$E$23)</f>
        <v>5033.6000000000004</v>
      </c>
      <c r="E90" s="4">
        <v>5033.6000000000004</v>
      </c>
      <c r="F90" s="4">
        <v>2</v>
      </c>
      <c r="G90" s="4">
        <v>3</v>
      </c>
      <c r="H90" s="4"/>
      <c r="I90" s="182"/>
      <c r="J90" s="116" t="s">
        <v>229</v>
      </c>
      <c r="K90" s="116" t="str">
        <f>IFERROR(VLOOKUP(J90,'Lista PQ Comp'!D:E,2,0),"")</f>
        <v>Sec de H2S</v>
      </c>
      <c r="L90" s="4" t="s">
        <v>168</v>
      </c>
      <c r="M90" s="116">
        <v>1000276487</v>
      </c>
      <c r="N90" s="116">
        <f>IFERROR(VLOOKUP(J90,'Lista PQ Comp'!D:F,3,0),"")</f>
        <v>2.64</v>
      </c>
      <c r="O90" s="201">
        <f>N90*Tabla1[[#This Row],[Consumo presentado '[L/mes']]]</f>
        <v>13288.704000000002</v>
      </c>
      <c r="P90" s="185"/>
      <c r="Q90" s="116" t="str">
        <f>+Q87</f>
        <v>BSH506CT</v>
      </c>
      <c r="R90" s="145">
        <f>IFERROR(VLOOKUP(Q90,'Lista PQ PECOM'!$I:$P,8,0),"")</f>
        <v>2.4500000000000002</v>
      </c>
      <c r="S90" s="208">
        <f>+S87</f>
        <v>2.4700000000000002</v>
      </c>
      <c r="T90" s="201">
        <f>R90*Tabla1[[#This Row],[Consumo optimizado '[l/mes']]]</f>
        <v>12332.320000000002</v>
      </c>
      <c r="U90" s="221">
        <f t="shared" si="2"/>
        <v>-7.1969696969696961E-2</v>
      </c>
    </row>
    <row r="91" spans="1:23">
      <c r="A91" s="348" t="s">
        <v>253</v>
      </c>
      <c r="C91" s="174"/>
      <c r="D91" s="174"/>
      <c r="E91" s="174"/>
      <c r="F91" s="174"/>
      <c r="G91" s="174"/>
      <c r="H91" s="174"/>
      <c r="I91" s="182"/>
      <c r="J91" s="211"/>
      <c r="K91" s="211"/>
      <c r="L91" s="174"/>
      <c r="M91" s="211"/>
      <c r="N91" s="230" t="s">
        <v>234</v>
      </c>
      <c r="O91" s="203">
        <f>SUM(O60:O90)</f>
        <v>595139.47560000001</v>
      </c>
      <c r="P91" s="185"/>
      <c r="Q91" s="211"/>
      <c r="R91" s="214"/>
      <c r="S91" s="202" t="s">
        <v>234</v>
      </c>
      <c r="T91" s="203">
        <f>SUM(T60:T90)</f>
        <v>504734.89420000004</v>
      </c>
      <c r="U91" s="211"/>
    </row>
    <row r="92" spans="1:23">
      <c r="A92" s="348" t="s">
        <v>253</v>
      </c>
      <c r="C92" s="174"/>
      <c r="D92" s="174"/>
      <c r="E92" s="174"/>
      <c r="F92" s="174"/>
      <c r="G92" s="174"/>
      <c r="H92" s="174"/>
      <c r="I92" s="182"/>
      <c r="J92" s="211"/>
      <c r="K92" s="211"/>
      <c r="L92" s="174"/>
      <c r="M92" s="211"/>
      <c r="N92" s="212"/>
      <c r="O92" s="213"/>
      <c r="P92" s="185"/>
      <c r="Q92" s="211"/>
      <c r="R92" s="214"/>
      <c r="S92" s="176"/>
      <c r="T92" s="204"/>
    </row>
    <row r="93" spans="1:23" ht="15" customHeight="1">
      <c r="A93" s="348" t="s">
        <v>253</v>
      </c>
      <c r="C93" s="338" t="s">
        <v>100</v>
      </c>
      <c r="D93" s="338">
        <f>+Tabla1[[#This Row],[Consumo presentado '[L/mes']]]*(1-'EERR Global'!$E$23)</f>
        <v>10188</v>
      </c>
      <c r="E93" s="339">
        <v>10188</v>
      </c>
      <c r="F93" s="339">
        <v>52</v>
      </c>
      <c r="G93" s="339">
        <v>41</v>
      </c>
      <c r="H93" s="339"/>
      <c r="I93" s="182"/>
      <c r="J93" s="405" t="s">
        <v>100</v>
      </c>
      <c r="K93" s="406"/>
      <c r="L93" s="406"/>
      <c r="M93" s="406"/>
      <c r="N93" s="406"/>
      <c r="O93" s="406"/>
      <c r="P93" s="406"/>
      <c r="Q93" s="406"/>
      <c r="R93" s="406"/>
      <c r="S93" s="406"/>
      <c r="T93" s="406"/>
      <c r="U93" s="406"/>
    </row>
    <row r="94" spans="1:23">
      <c r="A94" s="348" t="s">
        <v>253</v>
      </c>
      <c r="C94" s="4" t="s">
        <v>166</v>
      </c>
      <c r="D94" s="4">
        <f>+Tabla1[[#This Row],[Consumo presentado '[L/mes']]]*(1-'EERR Global'!$E$23)</f>
        <v>2185</v>
      </c>
      <c r="E94" s="4">
        <v>2185</v>
      </c>
      <c r="F94" s="4">
        <v>21</v>
      </c>
      <c r="G94" s="4">
        <v>8</v>
      </c>
      <c r="H94" s="4"/>
      <c r="I94" s="4"/>
      <c r="J94" s="4" t="s">
        <v>171</v>
      </c>
      <c r="K94" s="4" t="str">
        <f>IFERROR(VLOOKUP(J94,'Lista PQ Comp'!D:E,2,0),"")</f>
        <v>Biocida</v>
      </c>
      <c r="L94" s="4" t="s">
        <v>172</v>
      </c>
      <c r="M94" s="4"/>
      <c r="N94" s="4">
        <f>IFERROR(VLOOKUP(J94,'Lista PQ Comp'!D:F,3,0),"")</f>
        <v>8</v>
      </c>
      <c r="O94" s="201">
        <f>N94*Tabla1[[#This Row],[Consumo presentado '[L/mes']]]</f>
        <v>17480</v>
      </c>
      <c r="P94" s="117"/>
      <c r="Q94" s="4" t="s">
        <v>301</v>
      </c>
      <c r="R94" s="4">
        <f>IFERROR(VLOOKUP(Q94,'Lista PQ PECOM'!$I:$P,8,0),"")</f>
        <v>2.84</v>
      </c>
      <c r="S94" s="209">
        <f>IFERROR(VLOOKUP(Q94,CR!D:F,3,0),"")</f>
        <v>1.8797532066795741</v>
      </c>
      <c r="T94" s="199">
        <f>R94*Tabla1[[#This Row],[Consumo optimizado '[l/mes']]]</f>
        <v>6205.4</v>
      </c>
      <c r="U94" s="247">
        <f t="shared" ref="U94:U100" si="3">(T94-O94)/O94</f>
        <v>-0.64500000000000002</v>
      </c>
    </row>
    <row r="95" spans="1:23">
      <c r="A95" s="348" t="s">
        <v>253</v>
      </c>
      <c r="C95" s="4" t="s">
        <v>173</v>
      </c>
      <c r="D95" s="4">
        <f>+Tabla1[[#This Row],[Consumo presentado '[L/mes']]]*(1-'EERR Global'!$E$23)</f>
        <v>0</v>
      </c>
      <c r="E95" s="4">
        <v>0</v>
      </c>
      <c r="F95" s="4"/>
      <c r="G95" s="4">
        <v>2</v>
      </c>
      <c r="H95" s="4"/>
      <c r="I95" s="4"/>
      <c r="J95" s="95"/>
      <c r="K95" s="95" t="str">
        <f>IFERROR(VLOOKUP(J95,'Lista PQ Comp'!D:E,2,0),"")</f>
        <v/>
      </c>
      <c r="L95" s="95"/>
      <c r="M95" s="95"/>
      <c r="N95" s="4" t="str">
        <f>IFERROR(VLOOKUP(J95,'Lista PQ Comp'!D:F,3,0),"")</f>
        <v/>
      </c>
      <c r="O95" s="198"/>
      <c r="P95" s="4"/>
      <c r="Q95" s="95"/>
      <c r="R95" s="95" t="str">
        <f>IFERROR(VLOOKUP(Q95,'Lista PQ PECOM'!$I:$P,8,0),"")</f>
        <v/>
      </c>
      <c r="S95" s="208" t="str">
        <f>IFERROR(VLOOKUP(Q95,CR!D:F,3,0),"")</f>
        <v/>
      </c>
      <c r="T95" s="199"/>
      <c r="U95" s="248"/>
    </row>
    <row r="96" spans="1:23">
      <c r="A96" s="348" t="s">
        <v>253</v>
      </c>
      <c r="C96" s="4" t="s">
        <v>178</v>
      </c>
      <c r="D96" s="4">
        <f>+Tabla1[[#This Row],[Consumo presentado '[L/mes']]]*(1-'EERR Global'!$E$23)</f>
        <v>120</v>
      </c>
      <c r="E96" s="4">
        <v>120</v>
      </c>
      <c r="F96" s="4"/>
      <c r="G96" s="4">
        <v>4</v>
      </c>
      <c r="H96" s="4"/>
      <c r="I96" s="4"/>
      <c r="J96" s="116" t="s">
        <v>52</v>
      </c>
      <c r="K96" s="4" t="str">
        <f>IFERROR(VLOOKUP(J96,'Lista PQ Comp'!D:E,2,0),"")</f>
        <v>Clarificante</v>
      </c>
      <c r="L96" s="4" t="s">
        <v>168</v>
      </c>
      <c r="M96" s="4"/>
      <c r="N96" s="4">
        <f>IFERROR(VLOOKUP(J96,'Lista PQ Comp'!D:F,3,0),"")</f>
        <v>5.12</v>
      </c>
      <c r="O96" s="199">
        <f>N96*Tabla1[[#This Row],[Consumo presentado '[L/mes']]]</f>
        <v>614.4</v>
      </c>
      <c r="P96" s="4"/>
      <c r="Q96" s="4" t="s">
        <v>179</v>
      </c>
      <c r="R96" s="4">
        <f>IFERROR(VLOOKUP(Q96,'Lista PQ PECOM'!$I:$P,8,0),"")</f>
        <v>2.74</v>
      </c>
      <c r="S96" s="209">
        <f>IFERROR(VLOOKUP(Q96,CR!D:F,3,0),"")</f>
        <v>1.504731491417457</v>
      </c>
      <c r="T96" s="199">
        <f>R96*Tabla1[[#This Row],[Consumo optimizado '[l/mes']]]</f>
        <v>328.8</v>
      </c>
      <c r="U96" s="248">
        <f t="shared" si="3"/>
        <v>-0.46484374999999994</v>
      </c>
    </row>
    <row r="97" spans="1:24">
      <c r="A97" s="348" t="s">
        <v>253</v>
      </c>
      <c r="C97" s="4" t="s">
        <v>180</v>
      </c>
      <c r="D97" s="4">
        <f>+Tabla1[[#This Row],[Consumo presentado '[L/mes']]]*(1-'EERR Global'!$E$23)</f>
        <v>4977</v>
      </c>
      <c r="E97" s="4">
        <v>4977</v>
      </c>
      <c r="F97" s="4">
        <v>9</v>
      </c>
      <c r="G97" s="4">
        <v>8</v>
      </c>
      <c r="H97" s="4"/>
      <c r="I97" s="4"/>
      <c r="J97" s="95" t="s">
        <v>240</v>
      </c>
      <c r="K97" s="95" t="str">
        <f>IFERROR(VLOOKUP(J97,'Lista PQ Comp'!D:E,2,0),"")</f>
        <v>Desmulsionante</v>
      </c>
      <c r="L97" s="95" t="s">
        <v>172</v>
      </c>
      <c r="M97" s="95"/>
      <c r="N97" s="95">
        <f>IFERROR(VLOOKUP(J97,'Lista PQ Comp'!D:F,3,0),"")</f>
        <v>6.46</v>
      </c>
      <c r="O97" s="198">
        <f>N97*Tabla1[[#This Row],[Consumo presentado '[L/mes']]]</f>
        <v>32151.42</v>
      </c>
      <c r="P97" s="4"/>
      <c r="Q97" s="95" t="s">
        <v>182</v>
      </c>
      <c r="R97" s="95">
        <f>IFERROR(VLOOKUP(Q97,'Lista PQ PECOM'!$I:$P,8,0),"")</f>
        <v>6.82</v>
      </c>
      <c r="S97" s="210">
        <f>3.79+0.25</f>
        <v>4.04</v>
      </c>
      <c r="T97" s="199">
        <f>R97*Tabla1[[#This Row],[Consumo optimizado '[l/mes']]]</f>
        <v>33943.14</v>
      </c>
      <c r="U97" s="248">
        <f t="shared" si="3"/>
        <v>5.5727554179566603E-2</v>
      </c>
      <c r="X97" s="1" t="s">
        <v>183</v>
      </c>
    </row>
    <row r="98" spans="1:24">
      <c r="A98" s="348" t="s">
        <v>253</v>
      </c>
      <c r="C98" s="4" t="s">
        <v>195</v>
      </c>
      <c r="D98" s="4">
        <f>+Tabla1[[#This Row],[Consumo presentado '[L/mes']]]*(1-'EERR Global'!$E$23)</f>
        <v>1176</v>
      </c>
      <c r="E98" s="4">
        <v>1176</v>
      </c>
      <c r="F98" s="4">
        <v>7</v>
      </c>
      <c r="G98" s="4">
        <v>4</v>
      </c>
      <c r="H98" s="4"/>
      <c r="I98" s="4"/>
      <c r="J98" s="116" t="s">
        <v>196</v>
      </c>
      <c r="K98" s="4">
        <f>IFERROR(VLOOKUP(J98,'Lista PQ Comp'!D:E,2,0),"")</f>
        <v>0</v>
      </c>
      <c r="L98" s="4" t="s">
        <v>172</v>
      </c>
      <c r="M98" s="4"/>
      <c r="N98" s="4">
        <f>IFERROR(VLOOKUP(J98,'Lista PQ Comp'!D:F,3,0),"")</f>
        <v>4.5</v>
      </c>
      <c r="O98" s="199">
        <f>N98*Tabla1[[#This Row],[Consumo presentado '[L/mes']]]</f>
        <v>5292</v>
      </c>
      <c r="P98" s="4"/>
      <c r="Q98" s="4" t="s">
        <v>287</v>
      </c>
      <c r="R98" s="4">
        <f>IFERROR(VLOOKUP(Q98,'Lista PQ PECOM'!$I:$P,8,0),"")</f>
        <v>7.2</v>
      </c>
      <c r="S98" s="209">
        <f>IFERROR(VLOOKUP(Q98,CR!D:F,3,0),"")</f>
        <v>4.4678609027105516</v>
      </c>
      <c r="T98" s="199">
        <f>R98*Tabla1[[#This Row],[Consumo optimizado '[l/mes']]]</f>
        <v>8467.2000000000007</v>
      </c>
      <c r="U98" s="248"/>
      <c r="X98" s="1" t="s">
        <v>197</v>
      </c>
    </row>
    <row r="99" spans="1:24">
      <c r="A99" s="348" t="s">
        <v>253</v>
      </c>
      <c r="C99" s="4" t="s">
        <v>202</v>
      </c>
      <c r="D99" s="4">
        <f>+Tabla1[[#This Row],[Consumo presentado '[L/mes']]]*(1-'EERR Global'!$E$23)</f>
        <v>1197</v>
      </c>
      <c r="E99" s="4">
        <v>1197</v>
      </c>
      <c r="F99" s="4">
        <v>13</v>
      </c>
      <c r="G99" s="4">
        <v>6</v>
      </c>
      <c r="H99" s="4"/>
      <c r="I99" s="4"/>
      <c r="J99" s="95" t="s">
        <v>203</v>
      </c>
      <c r="K99" s="95" t="str">
        <f>IFERROR(VLOOKUP(J99,'Lista PQ Comp'!D:E,2,0),"")</f>
        <v>Inhibidor de corrosión</v>
      </c>
      <c r="L99" s="95" t="s">
        <v>172</v>
      </c>
      <c r="M99" s="95"/>
      <c r="N99" s="95">
        <f>IFERROR(VLOOKUP(J99,'Lista PQ Comp'!D:F,3,0),"")</f>
        <v>2.97</v>
      </c>
      <c r="O99" s="198">
        <f>N99*Tabla1[[#This Row],[Consumo presentado '[L/mes']]]</f>
        <v>3555.09</v>
      </c>
      <c r="P99" s="4"/>
      <c r="Q99" s="371" t="str">
        <f>+Q77</f>
        <v>CYB816</v>
      </c>
      <c r="R99" s="95">
        <f>IFERROR(VLOOKUP(Q99,'Lista PQ PECOM'!$I:$P,8,0),"")</f>
        <v>3.21</v>
      </c>
      <c r="S99" s="208">
        <f>+S77</f>
        <v>2.2799999999999998</v>
      </c>
      <c r="T99" s="199">
        <f>R99*Tabla1[[#This Row],[Consumo optimizado '[l/mes']]]</f>
        <v>3842.37</v>
      </c>
      <c r="U99" s="248">
        <f t="shared" si="3"/>
        <v>8.0808080808080732E-2</v>
      </c>
    </row>
    <row r="100" spans="1:24">
      <c r="A100" s="348" t="s">
        <v>253</v>
      </c>
      <c r="C100" s="4" t="s">
        <v>205</v>
      </c>
      <c r="D100" s="4">
        <f>+Tabla1[[#This Row],[Consumo presentado '[L/mes']]]*(1-'EERR Global'!$E$23)</f>
        <v>533</v>
      </c>
      <c r="E100" s="4">
        <v>533</v>
      </c>
      <c r="F100" s="4">
        <v>1</v>
      </c>
      <c r="G100" s="4">
        <v>7</v>
      </c>
      <c r="H100" s="4"/>
      <c r="I100" s="4"/>
      <c r="J100" s="4" t="s">
        <v>207</v>
      </c>
      <c r="K100" s="4" t="str">
        <f>IFERROR(VLOOKUP(J100,'Lista PQ Comp'!D:E,2,0),"")</f>
        <v>INHIBIDOR DE INCRUSTACIONES</v>
      </c>
      <c r="L100" s="4" t="s">
        <v>172</v>
      </c>
      <c r="M100" s="4"/>
      <c r="N100" s="4">
        <f>IFERROR(VLOOKUP(J100,'Lista PQ Comp'!D:F,3,0),"")</f>
        <v>5.31</v>
      </c>
      <c r="O100" s="199">
        <f>N100*Tabla1[[#This Row],[Consumo presentado '[L/mes']]]</f>
        <v>2830.23</v>
      </c>
      <c r="P100" s="4"/>
      <c r="Q100" s="4" t="s">
        <v>208</v>
      </c>
      <c r="R100" s="4">
        <f>IFERROR(VLOOKUP(Q100,'Lista PQ PECOM'!$I:$P,8,0),"")</f>
        <v>4.0199999999999996</v>
      </c>
      <c r="S100" s="209">
        <f>IFERROR(VLOOKUP(Q100,CR!D:F,3,0),"")</f>
        <v>1.8969840434471943</v>
      </c>
      <c r="T100" s="199">
        <f>R100*Tabla1[[#This Row],[Consumo optimizado '[l/mes']]]</f>
        <v>2142.66</v>
      </c>
      <c r="U100" s="248">
        <f t="shared" si="3"/>
        <v>-0.2429378531073447</v>
      </c>
    </row>
    <row r="101" spans="1:24">
      <c r="A101" s="348" t="s">
        <v>253</v>
      </c>
      <c r="C101" s="4" t="s">
        <v>289</v>
      </c>
      <c r="D101" s="4">
        <f>+Tabla1[[#This Row],[Consumo presentado '[L/mes']]]*(1-'EERR Global'!$E$23)</f>
        <v>0</v>
      </c>
      <c r="E101" s="4">
        <v>0</v>
      </c>
      <c r="F101" s="4"/>
      <c r="G101" s="4">
        <v>2</v>
      </c>
      <c r="H101" s="4"/>
      <c r="I101" s="4"/>
      <c r="J101" s="95"/>
      <c r="K101" s="95" t="str">
        <f>IFERROR(VLOOKUP(J101,'Lista PQ Comp'!D:E,2,0),"")</f>
        <v/>
      </c>
      <c r="L101" s="95"/>
      <c r="M101" s="95"/>
      <c r="N101" s="95" t="str">
        <f>IFERROR(VLOOKUP(J101,'Lista PQ Comp'!D:F,3,0),"")</f>
        <v/>
      </c>
      <c r="O101" s="198"/>
      <c r="P101" s="4"/>
      <c r="Q101" s="95"/>
      <c r="R101" s="95" t="str">
        <f>IFERROR(VLOOKUP(Q101,'Lista PQ PECOM'!$I:$P,8,0),"")</f>
        <v/>
      </c>
      <c r="S101" s="208" t="str">
        <f>IFERROR(VLOOKUP(Q101,CR!D:F,3,0),"")</f>
        <v/>
      </c>
      <c r="T101" s="199"/>
      <c r="U101" s="248"/>
    </row>
    <row r="102" spans="1:24">
      <c r="A102" s="348" t="s">
        <v>253</v>
      </c>
      <c r="C102" s="4" t="s">
        <v>224</v>
      </c>
      <c r="D102" s="4">
        <f>+Tabla1[[#This Row],[Consumo presentado '[L/mes']]]*(1-'EERR Global'!$E$23)</f>
        <v>0</v>
      </c>
      <c r="E102" s="4">
        <v>0</v>
      </c>
      <c r="F102" s="4">
        <v>1</v>
      </c>
      <c r="G102" s="4"/>
      <c r="H102" s="4"/>
      <c r="I102" s="4"/>
      <c r="J102" s="4"/>
      <c r="K102" s="4" t="str">
        <f>IFERROR(VLOOKUP(J102,'Lista PQ Comp'!D:E,2,0),"")</f>
        <v/>
      </c>
      <c r="L102" s="4"/>
      <c r="M102" s="4"/>
      <c r="N102" s="4" t="str">
        <f>IFERROR(VLOOKUP(J102,'Lista PQ Comp'!D:F,3,0),"")</f>
        <v/>
      </c>
      <c r="O102" s="199"/>
      <c r="P102" s="4"/>
      <c r="Q102" s="4" t="s">
        <v>226</v>
      </c>
      <c r="R102" s="4">
        <f>IFERROR(VLOOKUP(Q102,'Lista PQ PECOM'!$I:$P,8,0),"")</f>
        <v>2.31</v>
      </c>
      <c r="S102" s="209">
        <f>IFERROR(VLOOKUP(Q102,CR!D:F,3,0),"")</f>
        <v>1.8266571757018397</v>
      </c>
      <c r="T102" s="199">
        <f>R102*Tabla1[[#This Row],[Consumo optimizado '[l/mes']]]</f>
        <v>0</v>
      </c>
      <c r="U102" s="248"/>
    </row>
    <row r="103" spans="1:24">
      <c r="C103" s="245"/>
      <c r="D103" s="245">
        <f>+Tabla1[[#This Row],[Consumo presentado '[L/mes']]]*(1-'EERR Global'!$E$23)</f>
        <v>0</v>
      </c>
      <c r="E103" s="245"/>
      <c r="F103" s="245"/>
      <c r="G103" s="245"/>
      <c r="H103" s="245"/>
      <c r="I103" s="182"/>
      <c r="J103" s="245"/>
      <c r="K103" s="245"/>
      <c r="L103" s="245"/>
      <c r="M103" s="245"/>
      <c r="N103" s="230" t="s">
        <v>234</v>
      </c>
      <c r="O103" s="203">
        <f>SUM(O94:O102)</f>
        <v>61923.140000000007</v>
      </c>
      <c r="P103" s="182"/>
      <c r="Q103" s="245"/>
      <c r="R103" s="246"/>
      <c r="S103" s="230" t="s">
        <v>234</v>
      </c>
      <c r="T103" s="203">
        <f>SUM(T94:T102)</f>
        <v>54929.569999999992</v>
      </c>
    </row>
    <row r="104" spans="1:24">
      <c r="C104" s="4"/>
      <c r="D104" s="4">
        <f>+Tabla1[[#This Row],[Consumo presentado '[L/mes']]]*(1-'EERR Global'!$E$23)</f>
        <v>0</v>
      </c>
      <c r="E104" s="4"/>
      <c r="F104" s="4"/>
      <c r="G104" s="4"/>
      <c r="H104" s="4"/>
      <c r="I104" s="182"/>
      <c r="J104" s="4"/>
      <c r="K104" s="4"/>
      <c r="L104" s="4"/>
      <c r="M104" s="4"/>
      <c r="N104" s="4"/>
      <c r="O104" s="182"/>
      <c r="P104" s="182"/>
      <c r="Q104" s="4"/>
      <c r="R104" s="143"/>
      <c r="S104" s="4"/>
      <c r="T104" s="71"/>
    </row>
    <row r="105" spans="1:24" ht="15" customHeight="1">
      <c r="C105" s="96" t="s">
        <v>101</v>
      </c>
      <c r="D105" s="96">
        <f>+Tabla1[[#This Row],[Consumo presentado '[L/mes']]]*(1-'EERR Global'!$E$23)</f>
        <v>78935</v>
      </c>
      <c r="E105" s="97">
        <v>78935</v>
      </c>
      <c r="F105" s="97">
        <v>210</v>
      </c>
      <c r="G105" s="97">
        <v>165</v>
      </c>
      <c r="H105" s="97"/>
      <c r="I105" s="182"/>
      <c r="J105" s="405" t="s">
        <v>101</v>
      </c>
      <c r="K105" s="406"/>
      <c r="L105" s="406"/>
      <c r="M105" s="406"/>
      <c r="N105" s="406"/>
      <c r="O105" s="406"/>
      <c r="P105" s="406"/>
      <c r="Q105" s="406"/>
      <c r="R105" s="406"/>
      <c r="S105" s="406"/>
      <c r="T105" s="406"/>
      <c r="U105" s="406"/>
    </row>
    <row r="106" spans="1:24">
      <c r="C106" s="97"/>
      <c r="D106" s="97">
        <f>+Tabla1[[#This Row],[Consumo presentado '[L/mes']]]*(1-'EERR Global'!$E$23)</f>
        <v>10000</v>
      </c>
      <c r="E106" s="97">
        <v>10000</v>
      </c>
      <c r="F106" s="97"/>
      <c r="G106" s="97"/>
      <c r="H106" s="97"/>
      <c r="I106" s="182"/>
      <c r="J106" s="95" t="s">
        <v>167</v>
      </c>
      <c r="K106" s="95" t="s">
        <v>166</v>
      </c>
      <c r="L106" s="95" t="s">
        <v>168</v>
      </c>
      <c r="M106" s="95"/>
      <c r="N106" s="95">
        <f>IFERROR(VLOOKUP(J106,'Lista PQ Comp'!D:F,3,0),"")</f>
        <v>8.08</v>
      </c>
      <c r="O106" s="198">
        <f>N106*Tabla1[[#This Row],[Consumo presentado '[L/mes']]]</f>
        <v>80800</v>
      </c>
      <c r="P106" s="185"/>
      <c r="Q106" s="95"/>
      <c r="R106" s="95"/>
      <c r="S106" s="95"/>
      <c r="T106" s="95"/>
      <c r="U106" s="95"/>
    </row>
    <row r="107" spans="1:24">
      <c r="A107" s="348" t="s">
        <v>302</v>
      </c>
      <c r="C107" s="4" t="s">
        <v>166</v>
      </c>
      <c r="D107" s="4">
        <f>+Tabla1[[#This Row],[Consumo presentado '[L/mes']]]*(1-'EERR Global'!$E$23)</f>
        <v>5187</v>
      </c>
      <c r="E107" s="4">
        <v>5187</v>
      </c>
      <c r="F107" s="4">
        <v>10</v>
      </c>
      <c r="G107" s="4">
        <v>28</v>
      </c>
      <c r="H107" s="4"/>
      <c r="I107" s="182"/>
      <c r="J107" s="4" t="s">
        <v>171</v>
      </c>
      <c r="K107" s="4" t="str">
        <f>IFERROR(VLOOKUP(J107,'Lista PQ Comp'!D:E,2,0),"")</f>
        <v>Biocida</v>
      </c>
      <c r="L107" s="4" t="s">
        <v>172</v>
      </c>
      <c r="M107" s="4"/>
      <c r="N107" s="117">
        <f>IFERROR(VLOOKUP(J107,'Lista PQ Comp'!D:F,3,0),"")</f>
        <v>8</v>
      </c>
      <c r="O107" s="199">
        <f>N107*Tabla1[[#This Row],[Consumo presentado '[L/mes']]]</f>
        <v>41496</v>
      </c>
      <c r="P107" s="185"/>
      <c r="Q107" s="4" t="s">
        <v>301</v>
      </c>
      <c r="R107" s="4">
        <f>IFERROR(VLOOKUP(Q107,'Lista PQ PECOM'!$I:$P,8,0),"")</f>
        <v>2.84</v>
      </c>
      <c r="S107" s="209">
        <f>IFERROR(VLOOKUP(Q107,CR!D:F,3,0),"")</f>
        <v>1.8797532066795741</v>
      </c>
      <c r="T107" s="199">
        <f>R107*Tabla1[[#This Row],[Consumo optimizado '[l/mes']]]</f>
        <v>14731.08</v>
      </c>
      <c r="U107" s="216">
        <f>(T107-O107)/O107</f>
        <v>-0.64499999999999991</v>
      </c>
    </row>
    <row r="108" spans="1:24">
      <c r="A108" s="348" t="s">
        <v>302</v>
      </c>
      <c r="C108" s="4" t="s">
        <v>175</v>
      </c>
      <c r="D108" s="4">
        <f>+Tabla1[[#This Row],[Consumo presentado '[L/mes']]]*(1-'EERR Global'!$E$23)</f>
        <v>60</v>
      </c>
      <c r="E108" s="4">
        <v>60</v>
      </c>
      <c r="F108" s="4"/>
      <c r="G108" s="4">
        <v>2</v>
      </c>
      <c r="H108" s="4"/>
      <c r="I108" s="182"/>
      <c r="J108" s="95" t="s">
        <v>240</v>
      </c>
      <c r="K108" s="95" t="str">
        <f>IFERROR(VLOOKUP(J108,'Lista PQ Comp'!D:E,2,0),"")</f>
        <v>Desmulsionante</v>
      </c>
      <c r="L108" s="95" t="s">
        <v>172</v>
      </c>
      <c r="M108" s="95"/>
      <c r="N108" s="95">
        <f>IFERROR(VLOOKUP(J108,'Lista PQ Comp'!D:F,3,0),"")</f>
        <v>6.46</v>
      </c>
      <c r="O108" s="198">
        <f>N108*Tabla1[[#This Row],[Consumo presentado '[L/mes']]]</f>
        <v>387.6</v>
      </c>
      <c r="P108" s="182"/>
      <c r="Q108" s="95" t="s">
        <v>303</v>
      </c>
      <c r="R108" s="95">
        <f>IFERROR(VLOOKUP(Q108,'Lista PQ PECOM'!$I:$P,8,0),"")</f>
        <v>6.62</v>
      </c>
      <c r="S108" s="208">
        <f>IFERROR(VLOOKUP(Q108,CR!D:F,3,0),"")</f>
        <v>3.77</v>
      </c>
      <c r="T108" s="200">
        <f>R108*Tabla1[[#This Row],[Consumo optimizado '[l/mes']]]</f>
        <v>397.2</v>
      </c>
      <c r="U108" s="216">
        <f t="shared" ref="U108:U120" si="4">(T108-O108)/O108</f>
        <v>2.4767801857585051E-2</v>
      </c>
      <c r="W108" s="1" t="s">
        <v>242</v>
      </c>
    </row>
    <row r="109" spans="1:24">
      <c r="A109" s="348" t="s">
        <v>302</v>
      </c>
      <c r="C109" s="4" t="s">
        <v>178</v>
      </c>
      <c r="D109" s="4">
        <f>+Tabla1[[#This Row],[Consumo presentado '[L/mes']]]*(1-'EERR Global'!$E$23)</f>
        <v>1880</v>
      </c>
      <c r="E109" s="4">
        <v>1880</v>
      </c>
      <c r="F109" s="4"/>
      <c r="G109" s="4">
        <v>2</v>
      </c>
      <c r="H109" s="4"/>
      <c r="I109" s="182"/>
      <c r="J109" s="116" t="s">
        <v>52</v>
      </c>
      <c r="K109" s="4" t="str">
        <f>IFERROR(VLOOKUP(J109,'Lista PQ Comp'!D:E,2,0),"")</f>
        <v>Clarificante</v>
      </c>
      <c r="L109" s="4" t="s">
        <v>168</v>
      </c>
      <c r="M109" s="4"/>
      <c r="N109" s="4">
        <f>IFERROR(VLOOKUP(J109,'Lista PQ Comp'!D:F,3,0),"")</f>
        <v>5.12</v>
      </c>
      <c r="O109" s="199">
        <f>N109*Tabla1[[#This Row],[Consumo presentado '[L/mes']]]</f>
        <v>9625.6</v>
      </c>
      <c r="P109" s="182"/>
      <c r="Q109" s="4" t="s">
        <v>179</v>
      </c>
      <c r="R109" s="4">
        <f>IFERROR(VLOOKUP(Q109,'Lista PQ PECOM'!$I:$P,8,0),"")</f>
        <v>2.74</v>
      </c>
      <c r="S109" s="209">
        <f>IFERROR(VLOOKUP(Q109,CR!D:F,3,0),"")</f>
        <v>1.504731491417457</v>
      </c>
      <c r="T109" s="199">
        <f>R109*Tabla1[[#This Row],[Consumo optimizado '[l/mes']]]</f>
        <v>5151.2000000000007</v>
      </c>
      <c r="U109" s="216">
        <f t="shared" si="4"/>
        <v>-0.46484374999999994</v>
      </c>
    </row>
    <row r="110" spans="1:24">
      <c r="A110" s="348" t="s">
        <v>302</v>
      </c>
      <c r="C110" s="4" t="s">
        <v>180</v>
      </c>
      <c r="D110" s="4">
        <f>+Tabla1[[#This Row],[Consumo presentado '[L/mes']]]*(1-'EERR Global'!$E$23)</f>
        <v>10472</v>
      </c>
      <c r="E110" s="4">
        <v>10472</v>
      </c>
      <c r="F110" s="4">
        <v>5</v>
      </c>
      <c r="G110" s="4">
        <v>26</v>
      </c>
      <c r="H110" s="4"/>
      <c r="I110" s="182"/>
      <c r="J110" s="117" t="s">
        <v>240</v>
      </c>
      <c r="K110" s="95" t="str">
        <f>IFERROR(VLOOKUP(J110,'Lista PQ Comp'!D:E,2,0),"")</f>
        <v>Desmulsionante</v>
      </c>
      <c r="L110" s="95" t="s">
        <v>172</v>
      </c>
      <c r="M110" s="95"/>
      <c r="N110" s="95">
        <f>IFERROR(VLOOKUP(J110,'Lista PQ Comp'!D:F,3,0),"")</f>
        <v>6.46</v>
      </c>
      <c r="O110" s="198">
        <f>N110*Tabla1[[#This Row],[Consumo presentado '[L/mes']]]</f>
        <v>67649.119999999995</v>
      </c>
      <c r="P110" s="182"/>
      <c r="Q110" s="95" t="s">
        <v>303</v>
      </c>
      <c r="R110" s="95">
        <f>IFERROR(VLOOKUP(Q110,'Lista PQ PECOM'!$I:$P,8,0),"")</f>
        <v>6.62</v>
      </c>
      <c r="S110" s="209">
        <f>IFERROR(VLOOKUP(Q110,CR!D:F,3,0),"")</f>
        <v>3.77</v>
      </c>
      <c r="T110" s="200">
        <f>R110*Tabla1[[#This Row],[Consumo optimizado '[l/mes']]]</f>
        <v>69324.639999999999</v>
      </c>
      <c r="U110" s="216">
        <f t="shared" si="4"/>
        <v>2.47678018575852E-2</v>
      </c>
      <c r="W110" s="1" t="s">
        <v>242</v>
      </c>
    </row>
    <row r="111" spans="1:24">
      <c r="A111" s="348" t="s">
        <v>302</v>
      </c>
      <c r="C111" s="4" t="s">
        <v>187</v>
      </c>
      <c r="D111" s="4">
        <f>+Tabla1[[#This Row],[Consumo presentado '[L/mes']]]*(1-'EERR Global'!$E$23)</f>
        <v>330</v>
      </c>
      <c r="E111" s="4">
        <v>330</v>
      </c>
      <c r="F111" s="4"/>
      <c r="G111" s="4">
        <v>2</v>
      </c>
      <c r="H111" s="4"/>
      <c r="I111" s="182"/>
      <c r="J111" s="4"/>
      <c r="K111" s="4" t="str">
        <f>IFERROR(VLOOKUP(J111,'Lista PQ Comp'!D:E,2,0),"")</f>
        <v/>
      </c>
      <c r="L111" s="4"/>
      <c r="M111" s="4"/>
      <c r="N111" s="4" t="str">
        <f>IFERROR(VLOOKUP(J111,'Lista PQ Comp'!D:F,3,0),"")</f>
        <v/>
      </c>
      <c r="O111" s="199"/>
      <c r="P111" s="182"/>
      <c r="Q111" s="4" t="s">
        <v>188</v>
      </c>
      <c r="R111" s="4">
        <f>IFERROR(VLOOKUP(Q111,'Lista PQ PECOM'!$I:$P,8,0),"")</f>
        <v>1.51</v>
      </c>
      <c r="S111" s="209">
        <f>IFERROR(VLOOKUP(Q111,CR!D:F,3,0),"")</f>
        <v>0.97</v>
      </c>
      <c r="T111" s="236">
        <f>R111*Tabla1[[#This Row],[Consumo optimizado '[l/mes']]]</f>
        <v>498.3</v>
      </c>
      <c r="U111" s="216"/>
      <c r="W111" s="1" t="s">
        <v>189</v>
      </c>
    </row>
    <row r="112" spans="1:24">
      <c r="A112" s="348" t="s">
        <v>302</v>
      </c>
      <c r="C112" s="4" t="s">
        <v>195</v>
      </c>
      <c r="D112" s="4">
        <f>+Tabla1[[#This Row],[Consumo presentado '[L/mes']]]*(1-'EERR Global'!$E$23)</f>
        <v>656</v>
      </c>
      <c r="E112" s="4">
        <v>656</v>
      </c>
      <c r="F112" s="4">
        <v>3</v>
      </c>
      <c r="G112" s="4">
        <v>2</v>
      </c>
      <c r="H112" s="4"/>
      <c r="I112" s="182"/>
      <c r="J112" s="117" t="s">
        <v>196</v>
      </c>
      <c r="K112" s="95">
        <f>IFERROR(VLOOKUP(J112,'Lista PQ Comp'!D:E,2,0),"")</f>
        <v>0</v>
      </c>
      <c r="L112" s="95" t="s">
        <v>172</v>
      </c>
      <c r="M112" s="95"/>
      <c r="N112" s="95">
        <f>IFERROR(VLOOKUP(J112,'Lista PQ Comp'!D:F,3,0),"")</f>
        <v>4.5</v>
      </c>
      <c r="O112" s="198">
        <f>N112*Tabla1[[#This Row],[Consumo presentado '[L/mes']]]</f>
        <v>2952</v>
      </c>
      <c r="P112" s="182"/>
      <c r="Q112" s="95" t="s">
        <v>246</v>
      </c>
      <c r="R112" s="95">
        <f>IFERROR(VLOOKUP(Q112,'Lista PQ PECOM'!$I:$P,8,0),"")</f>
        <v>6.61</v>
      </c>
      <c r="S112" s="208">
        <f>IFERROR(VLOOKUP(Q112,CR!D:F,3,0),"")</f>
        <v>5.0541526074536618</v>
      </c>
      <c r="T112" s="200">
        <f>R112*Tabla1[[#This Row],[Consumo optimizado '[l/mes']]]</f>
        <v>4336.16</v>
      </c>
      <c r="U112" s="216"/>
      <c r="W112" s="1" t="s">
        <v>165</v>
      </c>
    </row>
    <row r="113" spans="1:23">
      <c r="A113" s="348" t="s">
        <v>302</v>
      </c>
      <c r="C113" s="4" t="s">
        <v>200</v>
      </c>
      <c r="D113" s="4">
        <f>+Tabla1[[#This Row],[Consumo presentado '[L/mes']]]*(1-'EERR Global'!$E$23)</f>
        <v>1282</v>
      </c>
      <c r="E113" s="4">
        <v>1282</v>
      </c>
      <c r="F113" s="4"/>
      <c r="G113" s="4">
        <v>2</v>
      </c>
      <c r="H113" s="4"/>
      <c r="I113" s="182"/>
      <c r="J113" s="4" t="s">
        <v>207</v>
      </c>
      <c r="K113" s="4" t="str">
        <f>IFERROR(VLOOKUP(J113,'Lista PQ Comp'!D:E,2,0),"")</f>
        <v>INHIBIDOR DE INCRUSTACIONES</v>
      </c>
      <c r="L113" s="4" t="s">
        <v>172</v>
      </c>
      <c r="M113" s="4"/>
      <c r="N113" s="4">
        <f>IFERROR(VLOOKUP(J113,'Lista PQ Comp'!D:F,3,0),"")</f>
        <v>5.31</v>
      </c>
      <c r="O113" s="199">
        <f>N113*Tabla1[[#This Row],[Consumo presentado '[L/mes']]]</f>
        <v>6807.4199999999992</v>
      </c>
      <c r="P113" s="182"/>
      <c r="Q113" s="4" t="s">
        <v>282</v>
      </c>
      <c r="R113" s="4">
        <f>IFERROR(VLOOKUP(Q113,'Lista PQ PECOM'!$I:$P,8,0),"")</f>
        <v>4.5999999999999996</v>
      </c>
      <c r="S113" s="209">
        <f>IFERROR(VLOOKUP(Q113,CR!D:F,3,0),"")</f>
        <v>2.031723017523126</v>
      </c>
      <c r="T113" s="199">
        <f>R113*Tabla1[[#This Row],[Consumo optimizado '[l/mes']]]</f>
        <v>5897.2</v>
      </c>
      <c r="U113" s="216">
        <f t="shared" si="4"/>
        <v>-0.13370998116760821</v>
      </c>
    </row>
    <row r="114" spans="1:23">
      <c r="A114" s="348" t="s">
        <v>302</v>
      </c>
      <c r="C114" s="4" t="s">
        <v>202</v>
      </c>
      <c r="D114" s="4">
        <f>+Tabla1[[#This Row],[Consumo presentado '[L/mes']]]*(1-'EERR Global'!$E$23)</f>
        <v>33172</v>
      </c>
      <c r="E114" s="4">
        <v>33172</v>
      </c>
      <c r="F114" s="4">
        <v>190</v>
      </c>
      <c r="G114" s="4">
        <v>43</v>
      </c>
      <c r="H114" s="4"/>
      <c r="I114" s="182"/>
      <c r="J114" s="95" t="s">
        <v>203</v>
      </c>
      <c r="K114" s="95" t="str">
        <f>IFERROR(VLOOKUP(J114,'Lista PQ Comp'!D:E,2,0),"")</f>
        <v>Inhibidor de corrosión</v>
      </c>
      <c r="L114" s="95" t="s">
        <v>172</v>
      </c>
      <c r="M114" s="95"/>
      <c r="N114" s="95">
        <f>IFERROR(VLOOKUP(J114,'Lista PQ Comp'!D:F,3,0),"")</f>
        <v>2.97</v>
      </c>
      <c r="O114" s="198">
        <f>N114*Tabla1[[#This Row],[Consumo presentado '[L/mes']]]</f>
        <v>98520.840000000011</v>
      </c>
      <c r="P114" s="182"/>
      <c r="Q114" s="371" t="str">
        <f>+Q99</f>
        <v>CYB816</v>
      </c>
      <c r="R114" s="95">
        <f>IFERROR(VLOOKUP(Q114,'Lista PQ PECOM'!$I:$P,8,0),"")</f>
        <v>3.21</v>
      </c>
      <c r="S114" s="208">
        <f>+S99</f>
        <v>2.2799999999999998</v>
      </c>
      <c r="T114" s="200">
        <f>R114*Tabla1[[#This Row],[Consumo optimizado '[l/mes']]]</f>
        <v>106482.12</v>
      </c>
      <c r="U114" s="216">
        <f t="shared" si="4"/>
        <v>8.0808080808080635E-2</v>
      </c>
    </row>
    <row r="115" spans="1:23">
      <c r="A115" s="348" t="s">
        <v>302</v>
      </c>
      <c r="C115" s="4" t="s">
        <v>248</v>
      </c>
      <c r="D115" s="4">
        <f>+Tabla1[[#This Row],[Consumo presentado '[L/mes']]]*(1-'EERR Global'!$E$23)</f>
        <v>0</v>
      </c>
      <c r="E115" s="4">
        <v>0</v>
      </c>
      <c r="F115" s="4"/>
      <c r="G115" s="4">
        <v>6</v>
      </c>
      <c r="H115" s="4"/>
      <c r="I115" s="182"/>
      <c r="J115" s="4"/>
      <c r="K115" s="4" t="str">
        <f>IFERROR(VLOOKUP(J115,'Lista PQ Comp'!D:E,2,0),"")</f>
        <v/>
      </c>
      <c r="L115" s="4"/>
      <c r="M115" s="4"/>
      <c r="N115" s="4" t="str">
        <f>IFERROR(VLOOKUP(J115,'Lista PQ Comp'!D:F,3,0),"")</f>
        <v/>
      </c>
      <c r="O115" s="199"/>
      <c r="P115" s="182"/>
      <c r="Q115" s="4"/>
      <c r="R115" s="4" t="str">
        <f>IFERROR(VLOOKUP(Q115,'Lista PQ PECOM'!$I:$P,8,0),"")</f>
        <v/>
      </c>
      <c r="S115" s="209" t="str">
        <f>IFERROR(VLOOKUP(Q115,CR!D:F,3,0),"")</f>
        <v/>
      </c>
      <c r="T115" s="199"/>
      <c r="U115" s="216"/>
    </row>
    <row r="116" spans="1:23">
      <c r="A116" s="348" t="s">
        <v>302</v>
      </c>
      <c r="C116" s="4" t="s">
        <v>205</v>
      </c>
      <c r="D116" s="4">
        <f>+Tabla1[[#This Row],[Consumo presentado '[L/mes']]]*(1-'EERR Global'!$E$23)</f>
        <v>11476</v>
      </c>
      <c r="E116" s="4">
        <v>11476</v>
      </c>
      <c r="F116" s="4">
        <v>2</v>
      </c>
      <c r="G116" s="4">
        <v>34</v>
      </c>
      <c r="H116" s="4"/>
      <c r="I116" s="182"/>
      <c r="J116" s="95" t="s">
        <v>250</v>
      </c>
      <c r="K116" s="95" t="str">
        <f>IFERROR(VLOOKUP(J116,'Lista PQ Comp'!D:E,2,0),"")</f>
        <v>INHIBIDOR DE INCRUSTACIONES</v>
      </c>
      <c r="L116" s="95" t="s">
        <v>172</v>
      </c>
      <c r="M116" s="95"/>
      <c r="N116" s="95">
        <f>IFERROR(VLOOKUP(J116,'Lista PQ Comp'!D:F,3,0),"")</f>
        <v>5.58</v>
      </c>
      <c r="O116" s="198">
        <f>N116*Tabla1[[#This Row],[Consumo presentado '[L/mes']]]</f>
        <v>64036.08</v>
      </c>
      <c r="P116" s="182"/>
      <c r="Q116" s="95" t="s">
        <v>208</v>
      </c>
      <c r="R116" s="95">
        <f>IFERROR(VLOOKUP(Q116,'Lista PQ PECOM'!$I:$P,8,0),"")</f>
        <v>4.0199999999999996</v>
      </c>
      <c r="S116" s="208">
        <f>IFERROR(VLOOKUP(Q116,CR!D:F,3,0),"")</f>
        <v>1.8969840434471943</v>
      </c>
      <c r="T116" s="200">
        <f>R116*Tabla1[[#This Row],[Consumo optimizado '[l/mes']]]</f>
        <v>46133.52</v>
      </c>
      <c r="U116" s="216">
        <f t="shared" si="4"/>
        <v>-0.27956989247311836</v>
      </c>
    </row>
    <row r="117" spans="1:23">
      <c r="A117" s="348" t="s">
        <v>302</v>
      </c>
      <c r="C117" s="4" t="s">
        <v>219</v>
      </c>
      <c r="D117" s="4">
        <f>+Tabla1[[#This Row],[Consumo presentado '[L/mes']]]*(1-'EERR Global'!$E$23)</f>
        <v>250</v>
      </c>
      <c r="E117" s="4">
        <v>250</v>
      </c>
      <c r="F117" s="4"/>
      <c r="G117" s="4">
        <v>2</v>
      </c>
      <c r="H117" s="4"/>
      <c r="I117" s="182"/>
      <c r="J117" s="4"/>
      <c r="K117" s="4" t="str">
        <f>IFERROR(VLOOKUP(J117,'Lista PQ Comp'!D:E,2,0),"")</f>
        <v/>
      </c>
      <c r="L117" s="4"/>
      <c r="M117" s="4"/>
      <c r="N117" s="4" t="str">
        <f>IFERROR(VLOOKUP(J117,'Lista PQ Comp'!D:F,3,0),"")</f>
        <v/>
      </c>
      <c r="O117" s="199"/>
      <c r="P117" s="182"/>
      <c r="Q117" s="4"/>
      <c r="R117" s="4" t="str">
        <f>IFERROR(VLOOKUP(Q117,'Lista PQ PECOM'!$I:$P,8,0),"")</f>
        <v/>
      </c>
      <c r="S117" s="209" t="str">
        <f>IFERROR(VLOOKUP(Q117,CR!D:F,3,0),"")</f>
        <v/>
      </c>
      <c r="T117" s="199"/>
      <c r="U117" s="216"/>
      <c r="W117" s="1" t="s">
        <v>220</v>
      </c>
    </row>
    <row r="118" spans="1:23">
      <c r="A118" s="348" t="s">
        <v>302</v>
      </c>
      <c r="C118" s="4" t="s">
        <v>221</v>
      </c>
      <c r="D118" s="4">
        <f>+Tabla1[[#This Row],[Consumo presentado '[L/mes']]]*(1-'EERR Global'!$E$23)</f>
        <v>0</v>
      </c>
      <c r="E118" s="4">
        <v>0</v>
      </c>
      <c r="F118" s="4"/>
      <c r="G118" s="4">
        <v>2</v>
      </c>
      <c r="H118" s="4"/>
      <c r="I118" s="182"/>
      <c r="J118" s="95"/>
      <c r="K118" s="95" t="str">
        <f>IFERROR(VLOOKUP(J118,'Lista PQ Comp'!D:E,2,0),"")</f>
        <v/>
      </c>
      <c r="L118" s="95"/>
      <c r="M118" s="95"/>
      <c r="N118" s="95" t="str">
        <f>IFERROR(VLOOKUP(J118,'Lista PQ Comp'!D:F,3,0),"")</f>
        <v/>
      </c>
      <c r="O118" s="198"/>
      <c r="P118" s="182"/>
      <c r="Q118" s="95"/>
      <c r="R118" s="95" t="str">
        <f>IFERROR(VLOOKUP(Q118,'Lista PQ PECOM'!$I:$P,8,0),"")</f>
        <v/>
      </c>
      <c r="S118" s="208" t="str">
        <f>IFERROR(VLOOKUP(Q118,CR!D:F,3,0),"")</f>
        <v/>
      </c>
      <c r="T118" s="200"/>
      <c r="U118" s="216"/>
      <c r="W118" s="1" t="s">
        <v>304</v>
      </c>
    </row>
    <row r="119" spans="1:23">
      <c r="A119" s="348" t="s">
        <v>302</v>
      </c>
      <c r="C119" s="4" t="s">
        <v>224</v>
      </c>
      <c r="D119" s="4">
        <f>+Tabla1[[#This Row],[Consumo presentado '[L/mes']]]*(1-'EERR Global'!$E$23)</f>
        <v>3670</v>
      </c>
      <c r="E119" s="4">
        <v>3670</v>
      </c>
      <c r="F119" s="4"/>
      <c r="G119" s="4">
        <v>12</v>
      </c>
      <c r="H119" s="4"/>
      <c r="I119" s="182"/>
      <c r="J119" s="4" t="s">
        <v>51</v>
      </c>
      <c r="K119" s="4" t="str">
        <f>IFERROR(VLOOKUP(J119,'Lista PQ Comp'!D:E,2,0),"")</f>
        <v>Inhibidor de corrosión</v>
      </c>
      <c r="L119" s="4" t="s">
        <v>168</v>
      </c>
      <c r="M119" s="4"/>
      <c r="N119" s="4">
        <f>IFERROR(VLOOKUP(J119,'Lista PQ Comp'!D:F,3,0),"")</f>
        <v>1.77</v>
      </c>
      <c r="O119" s="199">
        <f>N119*Tabla1[[#This Row],[Consumo presentado '[L/mes']]]</f>
        <v>6495.9</v>
      </c>
      <c r="P119" s="182"/>
      <c r="Q119" s="4" t="s">
        <v>226</v>
      </c>
      <c r="R119" s="4">
        <f>IFERROR(VLOOKUP(Q119,'Lista PQ PECOM'!$I:$P,8,0),"")</f>
        <v>2.31</v>
      </c>
      <c r="S119" s="209">
        <f>IFERROR(VLOOKUP(Q119,CR!D:F,3,0),"")</f>
        <v>1.8266571757018397</v>
      </c>
      <c r="T119" s="199">
        <f>R119*Tabla1[[#This Row],[Consumo optimizado '[l/mes']]]</f>
        <v>8477.7000000000007</v>
      </c>
      <c r="U119" s="216">
        <f t="shared" si="4"/>
        <v>0.30508474576271205</v>
      </c>
    </row>
    <row r="120" spans="1:23">
      <c r="A120" s="348" t="s">
        <v>302</v>
      </c>
      <c r="C120" s="4" t="s">
        <v>227</v>
      </c>
      <c r="D120" s="4">
        <f>+Tabla1[[#This Row],[Consumo presentado '[L/mes']]]*(1-'EERR Global'!$E$23)</f>
        <v>500</v>
      </c>
      <c r="E120" s="4">
        <v>500</v>
      </c>
      <c r="F120" s="4"/>
      <c r="G120" s="4">
        <v>2</v>
      </c>
      <c r="H120" s="4"/>
      <c r="I120" s="182"/>
      <c r="J120" s="95" t="s">
        <v>229</v>
      </c>
      <c r="K120" s="95" t="str">
        <f>IFERROR(VLOOKUP(J120,'Lista PQ Comp'!D:E,2,0),"")</f>
        <v>Sec de H2S</v>
      </c>
      <c r="L120" s="95" t="s">
        <v>168</v>
      </c>
      <c r="M120" s="95"/>
      <c r="N120" s="95">
        <f>IFERROR(VLOOKUP(J120,'Lista PQ Comp'!D:F,3,0),"")</f>
        <v>2.64</v>
      </c>
      <c r="O120" s="198">
        <f>N120*Tabla1[[#This Row],[Consumo presentado '[L/mes']]]</f>
        <v>1320</v>
      </c>
      <c r="P120" s="182"/>
      <c r="Q120" s="95" t="s">
        <v>610</v>
      </c>
      <c r="R120" s="95">
        <f>IFERROR(VLOOKUP(Q120,'Lista PQ PECOM'!$I:$P,8,0),"")</f>
        <v>2.4500000000000002</v>
      </c>
      <c r="S120" s="208">
        <f>+S87</f>
        <v>2.4700000000000002</v>
      </c>
      <c r="T120" s="200">
        <f>R120*Tabla1[[#This Row],[Consumo optimizado '[l/mes']]]</f>
        <v>1225</v>
      </c>
      <c r="U120" s="216">
        <f t="shared" si="4"/>
        <v>-7.1969696969696975E-2</v>
      </c>
    </row>
    <row r="121" spans="1:23">
      <c r="C121" s="4"/>
      <c r="D121" s="4">
        <f>+Tabla1[[#This Row],[Consumo presentado '[L/mes']]]*(1-'EERR Global'!$E$23)</f>
        <v>0</v>
      </c>
      <c r="E121" s="4"/>
      <c r="F121" s="4"/>
      <c r="G121" s="4"/>
      <c r="H121" s="4"/>
      <c r="I121" s="182"/>
      <c r="J121" s="95"/>
      <c r="K121" s="95"/>
      <c r="L121" s="95"/>
      <c r="M121" s="95"/>
      <c r="N121" s="230" t="s">
        <v>234</v>
      </c>
      <c r="O121" s="203">
        <f>SUM(O106:O120)</f>
        <v>380090.56000000006</v>
      </c>
      <c r="P121" s="182"/>
      <c r="Q121" s="202"/>
      <c r="R121" s="235"/>
      <c r="S121" s="230" t="s">
        <v>234</v>
      </c>
      <c r="T121" s="203">
        <f>SUM(T106:T120)</f>
        <v>262654.12</v>
      </c>
    </row>
    <row r="122" spans="1:23">
      <c r="C122" s="4"/>
      <c r="D122" s="4">
        <f>+Tabla1[[#This Row],[Consumo presentado '[L/mes']]]*(1-'EERR Global'!$E$23)</f>
        <v>0</v>
      </c>
      <c r="E122" s="4"/>
      <c r="F122" s="4"/>
      <c r="G122" s="4"/>
      <c r="H122" s="4"/>
      <c r="I122" s="182"/>
      <c r="J122" s="95"/>
      <c r="K122" s="95"/>
      <c r="L122" s="95"/>
      <c r="M122" s="95"/>
      <c r="N122" s="95"/>
      <c r="O122" s="193"/>
      <c r="P122" s="182"/>
      <c r="Q122" s="95"/>
      <c r="R122" s="144"/>
      <c r="S122" s="117"/>
      <c r="T122" s="192"/>
    </row>
    <row r="123" spans="1:23">
      <c r="C123" s="4"/>
      <c r="D123" s="4">
        <f>+Tabla1[[#This Row],[Consumo presentado '[L/mes']]]*(1-'EERR Global'!$E$23)</f>
        <v>0</v>
      </c>
      <c r="E123" s="4"/>
      <c r="F123" s="4"/>
      <c r="G123" s="4"/>
      <c r="H123" s="4"/>
      <c r="I123" s="182"/>
      <c r="J123" s="95"/>
      <c r="K123" s="95"/>
      <c r="L123" s="95"/>
      <c r="M123" s="95"/>
      <c r="N123" s="95"/>
      <c r="O123" s="193"/>
      <c r="P123" s="182"/>
      <c r="Q123" s="95"/>
      <c r="R123" s="144"/>
      <c r="S123" s="117"/>
      <c r="T123" s="192"/>
    </row>
    <row r="124" spans="1:23">
      <c r="C124" s="178" t="s">
        <v>305</v>
      </c>
      <c r="D124" s="178">
        <f>+Tabla1[[#This Row],[Consumo presentado '[L/mes']]]*(1-'EERR Global'!$E$23)</f>
        <v>366878.82999999996</v>
      </c>
      <c r="E124" s="178">
        <v>366878.82999999996</v>
      </c>
      <c r="F124" s="178">
        <v>1145</v>
      </c>
      <c r="G124" s="178">
        <v>695</v>
      </c>
      <c r="H124" s="178"/>
      <c r="I124" s="182"/>
      <c r="J124" s="249">
        <f>+Tabla1[[#This Row],[Consumo presentado '[L/mes']]]*5</f>
        <v>1834394.15</v>
      </c>
      <c r="K124" s="178" t="str">
        <f>IFERROR(VLOOKUP(J124,'Lista PQ Comp'!D:E,2,0),"")</f>
        <v/>
      </c>
      <c r="L124" s="178"/>
      <c r="M124" s="178"/>
      <c r="N124" s="178" t="str">
        <f>IFERROR(VLOOKUP(J124,'Lista PQ Comp'!D:F,3,0),"")</f>
        <v/>
      </c>
      <c r="O124" s="194"/>
      <c r="P124" s="182"/>
      <c r="Q124" s="178"/>
      <c r="R124" s="179" t="str">
        <f>IFERROR(VLOOKUP(Q124,'Lista PQ PECOM'!$I:$P,8,0),"")</f>
        <v/>
      </c>
      <c r="S124" s="178" t="str">
        <f>IFERROR(VLOOKUP(Q124,CR!D:F,3,0),"")</f>
        <v/>
      </c>
      <c r="T124" s="205"/>
    </row>
    <row r="125" spans="1:23">
      <c r="C125" s="4" t="s">
        <v>205</v>
      </c>
      <c r="D125" s="4">
        <f>+Tabla1[[#This Row],[Consumo presentado '[L/mes']]]*(1-'EERR Global'!$E$23)</f>
        <v>2</v>
      </c>
      <c r="E125" s="4">
        <v>2</v>
      </c>
      <c r="F125" s="4">
        <v>34</v>
      </c>
      <c r="G125" s="4"/>
      <c r="H125" s="4"/>
      <c r="I125" s="182"/>
      <c r="J125" s="95"/>
      <c r="K125" s="95" t="str">
        <f>IFERROR(VLOOKUP(J125,'Lista PQ Comp'!D:E,2,0),"")</f>
        <v/>
      </c>
      <c r="L125" s="95"/>
      <c r="M125" s="95"/>
      <c r="N125" s="95" t="str">
        <f>IFERROR(VLOOKUP(J125,'Lista PQ Comp'!D:F,3,0),"")</f>
        <v/>
      </c>
      <c r="O125" s="193"/>
      <c r="P125" s="182"/>
      <c r="Q125" s="95"/>
      <c r="R125" s="144" t="str">
        <f>IFERROR(VLOOKUP(Q125,'Lista PQ PECOM'!$I:$P,8,0),"")</f>
        <v/>
      </c>
      <c r="S125" s="117" t="str">
        <f>IFERROR(VLOOKUP(Q125,CR!D:F,3,0),"")</f>
        <v/>
      </c>
      <c r="T125" s="192"/>
    </row>
    <row r="126" spans="1:23">
      <c r="C126" s="4" t="s">
        <v>219</v>
      </c>
      <c r="D126" s="4">
        <f>+Tabla1[[#This Row],[Consumo presentado '[L/mes']]]*(1-'EERR Global'!$E$23)</f>
        <v>0</v>
      </c>
      <c r="E126" s="4"/>
      <c r="F126" s="4">
        <v>2</v>
      </c>
      <c r="G126" s="4"/>
      <c r="H126" s="4"/>
      <c r="I126" s="182"/>
      <c r="J126" s="4"/>
      <c r="K126" s="4" t="str">
        <f>IFERROR(VLOOKUP(J126,'Lista PQ Comp'!D:E,2,0),"")</f>
        <v/>
      </c>
      <c r="L126" s="4"/>
      <c r="M126" s="4"/>
      <c r="N126" s="4" t="str">
        <f>IFERROR(VLOOKUP(J126,'Lista PQ Comp'!D:F,3,0),"")</f>
        <v/>
      </c>
      <c r="O126" s="182"/>
      <c r="P126" s="182"/>
      <c r="Q126" s="4"/>
      <c r="R126" s="143" t="str">
        <f>IFERROR(VLOOKUP(Q126,'Lista PQ PECOM'!$I:$P,8,0),"")</f>
        <v/>
      </c>
      <c r="S126" s="4" t="str">
        <f>IFERROR(VLOOKUP(Q126,CR!D:F,3,0),"")</f>
        <v/>
      </c>
      <c r="T126" s="71"/>
      <c r="U126" s="1" t="s">
        <v>220</v>
      </c>
    </row>
    <row r="127" spans="1:23">
      <c r="C127" s="4" t="s">
        <v>221</v>
      </c>
      <c r="D127" s="4">
        <f>+Tabla1[[#This Row],[Consumo presentado '[L/mes']]]*(1-'EERR Global'!$E$23)</f>
        <v>0</v>
      </c>
      <c r="E127" s="4"/>
      <c r="F127" s="4">
        <v>2</v>
      </c>
      <c r="G127" s="4"/>
      <c r="H127" s="4"/>
      <c r="I127" s="182"/>
      <c r="J127" s="95"/>
      <c r="K127" s="95" t="str">
        <f>IFERROR(VLOOKUP(J127,'Lista PQ Comp'!D:E,2,0),"")</f>
        <v/>
      </c>
      <c r="L127" s="95"/>
      <c r="M127" s="95"/>
      <c r="N127" s="95" t="str">
        <f>IFERROR(VLOOKUP(J127,'Lista PQ Comp'!D:F,3,0),"")</f>
        <v/>
      </c>
      <c r="O127" s="193"/>
      <c r="P127" s="182"/>
      <c r="Q127" s="95"/>
      <c r="R127" s="144" t="str">
        <f>IFERROR(VLOOKUP(Q127,'Lista PQ PECOM'!$I:$P,8,0),"")</f>
        <v/>
      </c>
      <c r="S127" s="117" t="str">
        <f>IFERROR(VLOOKUP(Q127,CR!D:F,3,0),"")</f>
        <v/>
      </c>
      <c r="T127" s="192"/>
      <c r="U127" s="1" t="s">
        <v>223</v>
      </c>
    </row>
    <row r="128" spans="1:23">
      <c r="C128" s="4" t="s">
        <v>224</v>
      </c>
      <c r="D128" s="4">
        <f>+Tabla1[[#This Row],[Consumo presentado '[L/mes']]]*(1-'EERR Global'!$E$23)</f>
        <v>0</v>
      </c>
      <c r="E128" s="4"/>
      <c r="F128" s="4">
        <v>12</v>
      </c>
      <c r="G128" s="4"/>
      <c r="H128" s="4"/>
      <c r="I128" s="182"/>
      <c r="J128" s="4"/>
      <c r="K128" s="4" t="str">
        <f>IFERROR(VLOOKUP(J128,'Lista PQ Comp'!D:E,2,0),"")</f>
        <v/>
      </c>
      <c r="L128" s="4"/>
      <c r="M128" s="4"/>
      <c r="N128" s="4" t="str">
        <f>IFERROR(VLOOKUP(J128,'Lista PQ Comp'!D:F,3,0),"")</f>
        <v/>
      </c>
      <c r="O128" s="182"/>
      <c r="P128" s="182"/>
      <c r="Q128" s="4" t="s">
        <v>226</v>
      </c>
      <c r="R128" s="143">
        <f>IFERROR(VLOOKUP(Q128,'Lista PQ PECOM'!$I:$P,8,0),"")</f>
        <v>2.31</v>
      </c>
      <c r="S128" s="4">
        <f>IFERROR(VLOOKUP(Q128,CR!D:F,3,0),"")</f>
        <v>1.8266571757018397</v>
      </c>
      <c r="T128" s="71"/>
    </row>
    <row r="129" spans="3:20">
      <c r="C129" s="4" t="s">
        <v>227</v>
      </c>
      <c r="D129" s="4">
        <f>+Tabla1[[#This Row],[Consumo presentado '[L/mes']]]*(1-'EERR Global'!$E$23)</f>
        <v>0</v>
      </c>
      <c r="E129" s="4"/>
      <c r="F129" s="4">
        <v>2</v>
      </c>
      <c r="G129" s="4"/>
      <c r="H129" s="4"/>
      <c r="I129" s="182"/>
      <c r="J129" s="95"/>
      <c r="K129" s="95" t="str">
        <f>IFERROR(VLOOKUP(J129,'Lista PQ Comp'!D:E,2,0),"")</f>
        <v/>
      </c>
      <c r="L129" s="95"/>
      <c r="M129" s="95"/>
      <c r="N129" s="95" t="str">
        <f>IFERROR(VLOOKUP(J129,'Lista PQ Comp'!D:F,3,0),"")</f>
        <v/>
      </c>
      <c r="O129" s="193"/>
      <c r="P129" s="182"/>
      <c r="Q129" s="95" t="s">
        <v>298</v>
      </c>
      <c r="R129" s="144">
        <f>IFERROR(VLOOKUP(Q129,'Lista PQ PECOM'!$I:$P,8,0),"")</f>
        <v>4.1100000000000003</v>
      </c>
      <c r="S129" s="117">
        <f>IFERROR(VLOOKUP(Q129,CR!D:F,3,0),"")</f>
        <v>2.1833464266698939</v>
      </c>
      <c r="T129" s="192"/>
    </row>
    <row r="130" spans="3:20">
      <c r="C130" s="4" t="s">
        <v>305</v>
      </c>
      <c r="D130" s="4">
        <f>+Tabla1[[#This Row],[Consumo presentado '[L/mes']]]*(1-'EERR Global'!$E$23)</f>
        <v>1344</v>
      </c>
      <c r="E130" s="4">
        <v>1344</v>
      </c>
      <c r="F130" s="4">
        <v>878</v>
      </c>
      <c r="G130" s="4"/>
      <c r="H130" s="4"/>
      <c r="I130" s="182"/>
      <c r="J130" s="4"/>
      <c r="K130" s="4" t="str">
        <f>IFERROR(VLOOKUP(J130,'Lista PQ Comp'!D:E,2,0),"")</f>
        <v/>
      </c>
      <c r="L130" s="4"/>
      <c r="M130" s="4"/>
      <c r="N130" s="4"/>
      <c r="O130" s="182"/>
      <c r="P130" s="182"/>
      <c r="Q130" s="4"/>
      <c r="R130" s="143"/>
      <c r="S130" s="4" t="str">
        <f>IFERROR(VLOOKUP(Q130,CR!D:F,3,0),"")</f>
        <v/>
      </c>
      <c r="T130" s="71"/>
    </row>
  </sheetData>
  <mergeCells count="7">
    <mergeCell ref="J105:U105"/>
    <mergeCell ref="J93:U93"/>
    <mergeCell ref="J2:O2"/>
    <mergeCell ref="Q2:U2"/>
    <mergeCell ref="J59:U59"/>
    <mergeCell ref="J32:U32"/>
    <mergeCell ref="J4:U4"/>
  </mergeCells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E9529A0-AF3A-4BC6-8711-C6A6DD968C1A}">
          <x14:formula1>
            <xm:f>'Lista PQ Comp'!$D$3:$D$76</xm:f>
          </x14:formula1>
          <xm:sqref>J33:J58 J106:J130 J60:J92 J94:J104 J5:J31</xm:sqref>
        </x14:dataValidation>
        <x14:dataValidation type="list" allowBlank="1" showInputMessage="1" showErrorMessage="1" xr:uid="{C6B84AB9-EB4D-40B6-8018-93889D04978A}">
          <x14:formula1>
            <xm:f>'Lista PQ PECOM'!$I$3:$I$290</xm:f>
          </x14:formula1>
          <xm:sqref>Q33:Q58 Q5:Q31 Q94:Q104 Q60:Q92 Q106:Q130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0C16C-DE96-466F-8B65-40322B097D3D}">
  <dimension ref="A1:N300"/>
  <sheetViews>
    <sheetView showGridLines="0" workbookViewId="0">
      <selection activeCell="J293" sqref="J293"/>
    </sheetView>
  </sheetViews>
  <sheetFormatPr baseColWidth="10" defaultRowHeight="15"/>
  <sheetData>
    <row r="1" spans="1:12">
      <c r="A1" s="376" t="s">
        <v>943</v>
      </c>
      <c r="B1" s="376" t="s">
        <v>944</v>
      </c>
      <c r="C1" s="377" t="s">
        <v>945</v>
      </c>
      <c r="D1" s="376" t="s">
        <v>946</v>
      </c>
      <c r="E1" s="377" t="s">
        <v>947</v>
      </c>
      <c r="H1" s="376" t="s">
        <v>943</v>
      </c>
      <c r="I1" s="376" t="s">
        <v>944</v>
      </c>
      <c r="J1" s="377" t="s">
        <v>945</v>
      </c>
      <c r="K1" s="376" t="s">
        <v>946</v>
      </c>
      <c r="L1" s="377" t="s">
        <v>947</v>
      </c>
    </row>
    <row r="2" spans="1:12">
      <c r="A2" s="378" t="s">
        <v>97</v>
      </c>
      <c r="B2" s="379" t="s">
        <v>948</v>
      </c>
      <c r="C2" s="380" t="s">
        <v>949</v>
      </c>
      <c r="D2" s="381">
        <v>1</v>
      </c>
      <c r="E2" s="380">
        <v>44</v>
      </c>
      <c r="H2" s="378" t="s">
        <v>67</v>
      </c>
      <c r="I2" s="379" t="s">
        <v>950</v>
      </c>
      <c r="J2" s="380" t="s">
        <v>951</v>
      </c>
      <c r="K2" s="381">
        <v>1</v>
      </c>
      <c r="L2" s="380">
        <v>109</v>
      </c>
    </row>
    <row r="3" spans="1:12">
      <c r="A3" s="378" t="s">
        <v>97</v>
      </c>
      <c r="B3" s="379" t="s">
        <v>952</v>
      </c>
      <c r="C3" s="380" t="s">
        <v>953</v>
      </c>
      <c r="D3" s="381">
        <v>1</v>
      </c>
      <c r="E3" s="380">
        <v>96</v>
      </c>
      <c r="H3" s="378" t="s">
        <v>67</v>
      </c>
      <c r="I3" s="379" t="s">
        <v>950</v>
      </c>
      <c r="J3" s="380" t="s">
        <v>954</v>
      </c>
      <c r="K3" s="381">
        <v>1</v>
      </c>
      <c r="L3" s="380">
        <v>29</v>
      </c>
    </row>
    <row r="4" spans="1:12">
      <c r="A4" s="378" t="s">
        <v>97</v>
      </c>
      <c r="B4" s="379" t="s">
        <v>948</v>
      </c>
      <c r="C4" s="380" t="s">
        <v>953</v>
      </c>
      <c r="D4" s="381"/>
      <c r="E4" s="380">
        <v>96</v>
      </c>
      <c r="H4" s="378" t="s">
        <v>67</v>
      </c>
      <c r="I4" s="379" t="s">
        <v>950</v>
      </c>
      <c r="J4" s="380" t="s">
        <v>955</v>
      </c>
      <c r="K4" s="381">
        <v>1</v>
      </c>
      <c r="L4" s="380">
        <v>80</v>
      </c>
    </row>
    <row r="5" spans="1:12">
      <c r="A5" s="378" t="s">
        <v>97</v>
      </c>
      <c r="B5" s="379" t="s">
        <v>952</v>
      </c>
      <c r="C5" s="380" t="s">
        <v>956</v>
      </c>
      <c r="D5" s="381">
        <v>1</v>
      </c>
      <c r="E5" s="380">
        <v>74</v>
      </c>
      <c r="H5" s="378" t="s">
        <v>67</v>
      </c>
      <c r="I5" s="379" t="s">
        <v>950</v>
      </c>
      <c r="J5" s="380" t="s">
        <v>957</v>
      </c>
      <c r="K5" s="381">
        <v>1</v>
      </c>
      <c r="L5" s="380">
        <v>103</v>
      </c>
    </row>
    <row r="6" spans="1:12">
      <c r="A6" s="378" t="s">
        <v>97</v>
      </c>
      <c r="B6" s="379" t="s">
        <v>948</v>
      </c>
      <c r="C6" s="380" t="s">
        <v>956</v>
      </c>
      <c r="D6" s="381"/>
      <c r="E6" s="380">
        <v>78</v>
      </c>
      <c r="H6" s="378" t="s">
        <v>67</v>
      </c>
      <c r="I6" s="379" t="s">
        <v>950</v>
      </c>
      <c r="J6" s="380" t="s">
        <v>958</v>
      </c>
      <c r="K6" s="381">
        <v>1</v>
      </c>
      <c r="L6" s="380">
        <v>263</v>
      </c>
    </row>
    <row r="7" spans="1:12">
      <c r="A7" s="378" t="s">
        <v>97</v>
      </c>
      <c r="B7" s="379" t="s">
        <v>952</v>
      </c>
      <c r="C7" s="380" t="s">
        <v>959</v>
      </c>
      <c r="D7" s="381">
        <v>1</v>
      </c>
      <c r="E7" s="380">
        <v>30</v>
      </c>
      <c r="H7" s="378" t="s">
        <v>67</v>
      </c>
      <c r="I7" s="379" t="s">
        <v>950</v>
      </c>
      <c r="J7" s="380" t="s">
        <v>960</v>
      </c>
      <c r="K7" s="381">
        <v>1</v>
      </c>
      <c r="L7" s="380">
        <v>160</v>
      </c>
    </row>
    <row r="8" spans="1:12">
      <c r="A8" s="378" t="s">
        <v>97</v>
      </c>
      <c r="B8" s="379" t="s">
        <v>948</v>
      </c>
      <c r="C8" s="380" t="s">
        <v>959</v>
      </c>
      <c r="D8" s="381"/>
      <c r="E8" s="380">
        <v>26</v>
      </c>
      <c r="H8" s="378" t="s">
        <v>67</v>
      </c>
      <c r="I8" s="379" t="s">
        <v>950</v>
      </c>
      <c r="J8" s="380" t="s">
        <v>961</v>
      </c>
      <c r="K8" s="381">
        <v>1</v>
      </c>
      <c r="L8" s="380">
        <v>94</v>
      </c>
    </row>
    <row r="9" spans="1:12">
      <c r="A9" s="378" t="s">
        <v>97</v>
      </c>
      <c r="B9" s="379" t="s">
        <v>948</v>
      </c>
      <c r="C9" s="380" t="s">
        <v>962</v>
      </c>
      <c r="D9" s="381">
        <v>1</v>
      </c>
      <c r="E9" s="380">
        <v>26</v>
      </c>
      <c r="H9" s="378" t="s">
        <v>67</v>
      </c>
      <c r="I9" s="379" t="s">
        <v>950</v>
      </c>
      <c r="J9" s="380" t="s">
        <v>963</v>
      </c>
      <c r="K9" s="381">
        <v>1</v>
      </c>
      <c r="L9" s="380">
        <v>217</v>
      </c>
    </row>
    <row r="10" spans="1:12">
      <c r="A10" s="378" t="s">
        <v>97</v>
      </c>
      <c r="B10" s="379" t="s">
        <v>964</v>
      </c>
      <c r="C10" s="380" t="s">
        <v>962</v>
      </c>
      <c r="D10" s="381">
        <v>1</v>
      </c>
      <c r="E10" s="380">
        <v>72</v>
      </c>
      <c r="H10" s="378" t="s">
        <v>67</v>
      </c>
      <c r="I10" s="379" t="s">
        <v>965</v>
      </c>
      <c r="J10" s="380" t="s">
        <v>966</v>
      </c>
      <c r="K10" s="381">
        <v>1</v>
      </c>
      <c r="L10" s="380">
        <v>26</v>
      </c>
    </row>
    <row r="11" spans="1:12">
      <c r="A11" s="378" t="s">
        <v>97</v>
      </c>
      <c r="B11" s="379" t="s">
        <v>952</v>
      </c>
      <c r="C11" s="380" t="s">
        <v>967</v>
      </c>
      <c r="D11" s="381">
        <v>1</v>
      </c>
      <c r="E11" s="380">
        <v>86</v>
      </c>
      <c r="H11" s="378" t="s">
        <v>67</v>
      </c>
      <c r="I11" s="379" t="s">
        <v>950</v>
      </c>
      <c r="J11" s="380" t="s">
        <v>966</v>
      </c>
      <c r="K11" s="381">
        <v>1</v>
      </c>
      <c r="L11" s="380">
        <v>14</v>
      </c>
    </row>
    <row r="12" spans="1:12">
      <c r="A12" s="378" t="s">
        <v>97</v>
      </c>
      <c r="B12" s="379" t="s">
        <v>948</v>
      </c>
      <c r="C12" s="380" t="s">
        <v>967</v>
      </c>
      <c r="D12" s="381"/>
      <c r="E12" s="380">
        <v>86</v>
      </c>
      <c r="H12" s="378" t="s">
        <v>67</v>
      </c>
      <c r="I12" s="379" t="s">
        <v>950</v>
      </c>
      <c r="J12" s="380" t="s">
        <v>968</v>
      </c>
      <c r="K12" s="381">
        <v>1</v>
      </c>
      <c r="L12" s="380">
        <v>19</v>
      </c>
    </row>
    <row r="13" spans="1:12">
      <c r="A13" s="378" t="s">
        <v>97</v>
      </c>
      <c r="B13" s="379" t="s">
        <v>952</v>
      </c>
      <c r="C13" s="380" t="s">
        <v>969</v>
      </c>
      <c r="D13" s="381">
        <v>1</v>
      </c>
      <c r="E13" s="380">
        <v>104</v>
      </c>
      <c r="H13" s="378" t="s">
        <v>67</v>
      </c>
      <c r="I13" s="379" t="s">
        <v>950</v>
      </c>
      <c r="J13" s="380" t="s">
        <v>970</v>
      </c>
      <c r="K13" s="381">
        <v>1</v>
      </c>
      <c r="L13" s="380">
        <v>10</v>
      </c>
    </row>
    <row r="14" spans="1:12">
      <c r="A14" s="378" t="s">
        <v>97</v>
      </c>
      <c r="B14" s="379" t="s">
        <v>948</v>
      </c>
      <c r="C14" s="380" t="s">
        <v>971</v>
      </c>
      <c r="D14" s="381">
        <v>1</v>
      </c>
      <c r="E14" s="380">
        <v>38</v>
      </c>
      <c r="H14" s="378" t="s">
        <v>67</v>
      </c>
      <c r="I14" s="379" t="s">
        <v>950</v>
      </c>
      <c r="J14" s="380" t="s">
        <v>972</v>
      </c>
      <c r="K14" s="381">
        <v>1</v>
      </c>
      <c r="L14" s="380">
        <v>27</v>
      </c>
    </row>
    <row r="15" spans="1:12">
      <c r="A15" s="378" t="s">
        <v>97</v>
      </c>
      <c r="B15" s="379" t="s">
        <v>952</v>
      </c>
      <c r="C15" s="380" t="s">
        <v>973</v>
      </c>
      <c r="D15" s="381">
        <v>1</v>
      </c>
      <c r="E15" s="380">
        <v>112</v>
      </c>
      <c r="H15" s="378" t="s">
        <v>66</v>
      </c>
      <c r="I15" s="379" t="s">
        <v>948</v>
      </c>
      <c r="J15" s="380" t="s">
        <v>974</v>
      </c>
      <c r="K15" s="381">
        <v>1</v>
      </c>
      <c r="L15" s="380">
        <v>200</v>
      </c>
    </row>
    <row r="16" spans="1:12">
      <c r="A16" s="378" t="s">
        <v>97</v>
      </c>
      <c r="B16" s="379" t="s">
        <v>948</v>
      </c>
      <c r="C16" s="380" t="s">
        <v>973</v>
      </c>
      <c r="D16" s="381"/>
      <c r="E16" s="380">
        <v>94</v>
      </c>
      <c r="H16" s="378" t="s">
        <v>66</v>
      </c>
      <c r="I16" s="379" t="s">
        <v>975</v>
      </c>
      <c r="J16" s="380" t="s">
        <v>976</v>
      </c>
      <c r="K16" s="381">
        <v>1</v>
      </c>
      <c r="L16" s="380">
        <v>264</v>
      </c>
    </row>
    <row r="17" spans="1:12">
      <c r="A17" s="378" t="s">
        <v>97</v>
      </c>
      <c r="B17" s="379" t="s">
        <v>948</v>
      </c>
      <c r="C17" s="380" t="s">
        <v>977</v>
      </c>
      <c r="D17" s="381">
        <v>1</v>
      </c>
      <c r="E17" s="380">
        <v>98</v>
      </c>
      <c r="H17" s="378" t="s">
        <v>66</v>
      </c>
      <c r="I17" s="379" t="s">
        <v>948</v>
      </c>
      <c r="J17" s="380" t="s">
        <v>978</v>
      </c>
      <c r="K17" s="381">
        <v>1</v>
      </c>
      <c r="L17" s="380">
        <v>72</v>
      </c>
    </row>
    <row r="18" spans="1:12">
      <c r="A18" s="378" t="s">
        <v>97</v>
      </c>
      <c r="B18" s="379" t="s">
        <v>964</v>
      </c>
      <c r="C18" s="380" t="s">
        <v>977</v>
      </c>
      <c r="D18" s="381">
        <v>1</v>
      </c>
      <c r="E18" s="380">
        <v>134</v>
      </c>
      <c r="H18" s="378" t="s">
        <v>66</v>
      </c>
      <c r="I18" s="379" t="s">
        <v>948</v>
      </c>
      <c r="J18" s="380" t="s">
        <v>979</v>
      </c>
      <c r="K18" s="381">
        <v>1</v>
      </c>
      <c r="L18" s="380">
        <v>64</v>
      </c>
    </row>
    <row r="19" spans="1:12">
      <c r="A19" s="378" t="s">
        <v>97</v>
      </c>
      <c r="B19" s="379" t="s">
        <v>948</v>
      </c>
      <c r="C19" s="380" t="s">
        <v>980</v>
      </c>
      <c r="D19" s="381">
        <v>1</v>
      </c>
      <c r="E19" s="380">
        <v>92</v>
      </c>
      <c r="H19" s="378" t="s">
        <v>66</v>
      </c>
      <c r="I19" s="379" t="s">
        <v>975</v>
      </c>
      <c r="J19" s="380" t="s">
        <v>981</v>
      </c>
      <c r="K19" s="381">
        <v>1</v>
      </c>
      <c r="L19" s="380">
        <v>54</v>
      </c>
    </row>
    <row r="20" spans="1:12">
      <c r="A20" s="378" t="s">
        <v>97</v>
      </c>
      <c r="B20" s="379" t="s">
        <v>952</v>
      </c>
      <c r="C20" s="380" t="s">
        <v>982</v>
      </c>
      <c r="D20" s="381">
        <v>1</v>
      </c>
      <c r="E20" s="380">
        <v>46</v>
      </c>
      <c r="H20" s="378" t="s">
        <v>66</v>
      </c>
      <c r="I20" s="379" t="s">
        <v>948</v>
      </c>
      <c r="J20" s="380" t="s">
        <v>981</v>
      </c>
      <c r="K20" s="381"/>
      <c r="L20" s="380">
        <v>54</v>
      </c>
    </row>
    <row r="21" spans="1:12">
      <c r="A21" s="378" t="s">
        <v>97</v>
      </c>
      <c r="B21" s="379" t="s">
        <v>983</v>
      </c>
      <c r="C21" s="380" t="s">
        <v>982</v>
      </c>
      <c r="D21" s="381">
        <v>1</v>
      </c>
      <c r="E21" s="380">
        <v>90</v>
      </c>
      <c r="H21" s="378" t="s">
        <v>66</v>
      </c>
      <c r="I21" s="379" t="s">
        <v>975</v>
      </c>
      <c r="J21" s="380" t="s">
        <v>984</v>
      </c>
      <c r="K21" s="381">
        <v>1</v>
      </c>
      <c r="L21" s="380">
        <v>66</v>
      </c>
    </row>
    <row r="22" spans="1:12">
      <c r="A22" s="378" t="s">
        <v>97</v>
      </c>
      <c r="B22" s="379" t="s">
        <v>948</v>
      </c>
      <c r="C22" s="380" t="s">
        <v>982</v>
      </c>
      <c r="D22" s="381"/>
      <c r="E22" s="380">
        <v>40</v>
      </c>
      <c r="H22" s="378" t="s">
        <v>66</v>
      </c>
      <c r="I22" s="379" t="s">
        <v>948</v>
      </c>
      <c r="J22" s="380" t="s">
        <v>984</v>
      </c>
      <c r="K22" s="381"/>
      <c r="L22" s="380">
        <v>66</v>
      </c>
    </row>
    <row r="23" spans="1:12">
      <c r="A23" s="378" t="s">
        <v>97</v>
      </c>
      <c r="B23" s="379" t="s">
        <v>985</v>
      </c>
      <c r="C23" s="380" t="s">
        <v>982</v>
      </c>
      <c r="D23" s="381"/>
      <c r="E23" s="380">
        <v>90</v>
      </c>
      <c r="H23" s="378" t="s">
        <v>66</v>
      </c>
      <c r="I23" s="379" t="s">
        <v>948</v>
      </c>
      <c r="J23" s="380" t="s">
        <v>986</v>
      </c>
      <c r="K23" s="381">
        <v>1</v>
      </c>
      <c r="L23" s="380">
        <v>72</v>
      </c>
    </row>
    <row r="24" spans="1:12">
      <c r="A24" s="378" t="s">
        <v>97</v>
      </c>
      <c r="B24" s="379" t="s">
        <v>948</v>
      </c>
      <c r="C24" s="380" t="s">
        <v>987</v>
      </c>
      <c r="D24" s="381">
        <v>1</v>
      </c>
      <c r="E24" s="380">
        <v>178</v>
      </c>
      <c r="H24" s="378" t="s">
        <v>66</v>
      </c>
      <c r="I24" s="379" t="s">
        <v>975</v>
      </c>
      <c r="J24" s="380" t="s">
        <v>988</v>
      </c>
      <c r="K24" s="381">
        <v>1</v>
      </c>
      <c r="L24" s="380">
        <v>68</v>
      </c>
    </row>
    <row r="25" spans="1:12">
      <c r="A25" s="378" t="s">
        <v>97</v>
      </c>
      <c r="B25" s="379" t="s">
        <v>983</v>
      </c>
      <c r="C25" s="380" t="s">
        <v>989</v>
      </c>
      <c r="D25" s="381">
        <v>1</v>
      </c>
      <c r="E25" s="380">
        <v>80</v>
      </c>
      <c r="H25" s="378" t="s">
        <v>66</v>
      </c>
      <c r="I25" s="379" t="s">
        <v>948</v>
      </c>
      <c r="J25" s="380" t="s">
        <v>988</v>
      </c>
      <c r="K25" s="381"/>
      <c r="L25" s="380">
        <v>68</v>
      </c>
    </row>
    <row r="26" spans="1:12">
      <c r="A26" s="378" t="s">
        <v>97</v>
      </c>
      <c r="B26" s="379" t="s">
        <v>948</v>
      </c>
      <c r="C26" s="380" t="s">
        <v>989</v>
      </c>
      <c r="D26" s="381"/>
      <c r="E26" s="380">
        <v>44</v>
      </c>
      <c r="H26" s="378" t="s">
        <v>66</v>
      </c>
      <c r="I26" s="379" t="s">
        <v>948</v>
      </c>
      <c r="J26" s="380" t="s">
        <v>990</v>
      </c>
      <c r="K26" s="381">
        <v>1</v>
      </c>
      <c r="L26" s="380">
        <v>58</v>
      </c>
    </row>
    <row r="27" spans="1:12">
      <c r="A27" s="378" t="s">
        <v>97</v>
      </c>
      <c r="B27" s="379" t="s">
        <v>985</v>
      </c>
      <c r="C27" s="380" t="s">
        <v>989</v>
      </c>
      <c r="D27" s="381">
        <v>1</v>
      </c>
      <c r="E27" s="380">
        <v>80</v>
      </c>
      <c r="H27" s="378" t="s">
        <v>66</v>
      </c>
      <c r="I27" s="379" t="s">
        <v>975</v>
      </c>
      <c r="J27" s="380" t="s">
        <v>991</v>
      </c>
      <c r="K27" s="381">
        <v>1</v>
      </c>
      <c r="L27" s="380">
        <v>49</v>
      </c>
    </row>
    <row r="28" spans="1:12">
      <c r="A28" s="378" t="s">
        <v>97</v>
      </c>
      <c r="B28" s="379" t="s">
        <v>952</v>
      </c>
      <c r="C28" s="380" t="s">
        <v>992</v>
      </c>
      <c r="D28" s="381">
        <v>1</v>
      </c>
      <c r="E28" s="380">
        <v>78</v>
      </c>
      <c r="H28" s="378" t="s">
        <v>66</v>
      </c>
      <c r="I28" s="379" t="s">
        <v>948</v>
      </c>
      <c r="J28" s="380" t="s">
        <v>991</v>
      </c>
      <c r="K28" s="381"/>
      <c r="L28" s="380">
        <v>43</v>
      </c>
    </row>
    <row r="29" spans="1:12">
      <c r="A29" s="378" t="s">
        <v>97</v>
      </c>
      <c r="B29" s="379" t="s">
        <v>948</v>
      </c>
      <c r="C29" s="380" t="s">
        <v>992</v>
      </c>
      <c r="D29" s="381"/>
      <c r="E29" s="380">
        <v>72</v>
      </c>
      <c r="H29" s="378" t="s">
        <v>66</v>
      </c>
      <c r="I29" s="379" t="s">
        <v>948</v>
      </c>
      <c r="J29" s="380" t="s">
        <v>993</v>
      </c>
      <c r="K29" s="381">
        <v>1</v>
      </c>
      <c r="L29" s="380">
        <v>74</v>
      </c>
    </row>
    <row r="30" spans="1:12">
      <c r="A30" s="378" t="s">
        <v>97</v>
      </c>
      <c r="B30" s="379" t="s">
        <v>948</v>
      </c>
      <c r="C30" s="380" t="s">
        <v>994</v>
      </c>
      <c r="D30" s="381">
        <v>1</v>
      </c>
      <c r="E30" s="380">
        <v>88</v>
      </c>
      <c r="H30" s="378" t="s">
        <v>66</v>
      </c>
      <c r="I30" s="379" t="s">
        <v>975</v>
      </c>
      <c r="J30" s="380" t="s">
        <v>995</v>
      </c>
      <c r="K30" s="381">
        <v>1</v>
      </c>
      <c r="L30" s="380">
        <v>142</v>
      </c>
    </row>
    <row r="31" spans="1:12">
      <c r="A31" s="378" t="s">
        <v>97</v>
      </c>
      <c r="B31" s="379" t="s">
        <v>952</v>
      </c>
      <c r="C31" s="380" t="s">
        <v>996</v>
      </c>
      <c r="D31" s="381">
        <v>1</v>
      </c>
      <c r="E31" s="380">
        <v>136</v>
      </c>
      <c r="H31" s="378" t="s">
        <v>66</v>
      </c>
      <c r="I31" s="379" t="s">
        <v>948</v>
      </c>
      <c r="J31" s="380" t="s">
        <v>995</v>
      </c>
      <c r="K31" s="381"/>
      <c r="L31" s="380">
        <v>142</v>
      </c>
    </row>
    <row r="32" spans="1:12">
      <c r="A32" s="378" t="s">
        <v>97</v>
      </c>
      <c r="B32" s="379" t="s">
        <v>948</v>
      </c>
      <c r="C32" s="380" t="s">
        <v>997</v>
      </c>
      <c r="D32" s="381">
        <v>1</v>
      </c>
      <c r="E32" s="380">
        <v>90</v>
      </c>
      <c r="H32" s="378" t="s">
        <v>66</v>
      </c>
      <c r="I32" s="379" t="s">
        <v>948</v>
      </c>
      <c r="J32" s="380" t="s">
        <v>998</v>
      </c>
      <c r="K32" s="381">
        <v>1</v>
      </c>
      <c r="L32" s="380">
        <v>80</v>
      </c>
    </row>
    <row r="33" spans="1:12">
      <c r="A33" s="378" t="s">
        <v>97</v>
      </c>
      <c r="B33" s="379" t="s">
        <v>948</v>
      </c>
      <c r="C33" s="380" t="s">
        <v>999</v>
      </c>
      <c r="D33" s="381">
        <v>1</v>
      </c>
      <c r="E33" s="380">
        <v>108</v>
      </c>
      <c r="H33" s="378" t="s">
        <v>66</v>
      </c>
      <c r="I33" s="379" t="s">
        <v>975</v>
      </c>
      <c r="J33" s="380" t="s">
        <v>1000</v>
      </c>
      <c r="K33" s="381">
        <v>1</v>
      </c>
      <c r="L33" s="380">
        <v>74</v>
      </c>
    </row>
    <row r="34" spans="1:12">
      <c r="A34" s="378" t="s">
        <v>97</v>
      </c>
      <c r="B34" s="379" t="s">
        <v>952</v>
      </c>
      <c r="C34" s="380" t="s">
        <v>1001</v>
      </c>
      <c r="D34" s="381">
        <v>1</v>
      </c>
      <c r="E34" s="380">
        <v>18</v>
      </c>
      <c r="H34" s="378" t="s">
        <v>66</v>
      </c>
      <c r="I34" s="379" t="s">
        <v>948</v>
      </c>
      <c r="J34" s="380" t="s">
        <v>1000</v>
      </c>
      <c r="K34" s="381"/>
      <c r="L34" s="380">
        <v>74</v>
      </c>
    </row>
    <row r="35" spans="1:12">
      <c r="A35" s="378" t="s">
        <v>97</v>
      </c>
      <c r="B35" s="379" t="s">
        <v>948</v>
      </c>
      <c r="C35" s="380" t="s">
        <v>1001</v>
      </c>
      <c r="D35" s="381"/>
      <c r="E35" s="380">
        <v>18</v>
      </c>
      <c r="H35" s="378" t="s">
        <v>66</v>
      </c>
      <c r="I35" s="379" t="s">
        <v>948</v>
      </c>
      <c r="J35" s="380" t="s">
        <v>1002</v>
      </c>
      <c r="K35" s="381">
        <v>1</v>
      </c>
      <c r="L35" s="380">
        <v>80</v>
      </c>
    </row>
    <row r="36" spans="1:12">
      <c r="A36" s="378" t="s">
        <v>97</v>
      </c>
      <c r="B36" s="379" t="s">
        <v>952</v>
      </c>
      <c r="C36" s="380" t="s">
        <v>1003</v>
      </c>
      <c r="D36" s="381">
        <v>1</v>
      </c>
      <c r="E36" s="380">
        <v>40</v>
      </c>
      <c r="H36" s="378" t="s">
        <v>66</v>
      </c>
      <c r="I36" s="379" t="s">
        <v>1004</v>
      </c>
      <c r="J36" s="380" t="s">
        <v>1005</v>
      </c>
      <c r="K36" s="381">
        <v>1</v>
      </c>
      <c r="L36" s="380">
        <v>58</v>
      </c>
    </row>
    <row r="37" spans="1:12">
      <c r="A37" s="378" t="s">
        <v>97</v>
      </c>
      <c r="B37" s="379" t="s">
        <v>948</v>
      </c>
      <c r="C37" s="380" t="s">
        <v>1003</v>
      </c>
      <c r="D37" s="381"/>
      <c r="E37" s="380">
        <v>40</v>
      </c>
      <c r="H37" s="378" t="s">
        <v>66</v>
      </c>
      <c r="I37" s="379" t="s">
        <v>975</v>
      </c>
      <c r="J37" s="380" t="s">
        <v>1006</v>
      </c>
      <c r="K37" s="381">
        <v>1</v>
      </c>
      <c r="L37" s="380">
        <v>60</v>
      </c>
    </row>
    <row r="38" spans="1:12">
      <c r="A38" s="378" t="s">
        <v>97</v>
      </c>
      <c r="B38" s="379" t="s">
        <v>948</v>
      </c>
      <c r="C38" s="380" t="s">
        <v>1007</v>
      </c>
      <c r="D38" s="381">
        <v>1</v>
      </c>
      <c r="E38" s="380">
        <v>90</v>
      </c>
      <c r="H38" s="378" t="s">
        <v>66</v>
      </c>
      <c r="I38" s="379" t="s">
        <v>1008</v>
      </c>
      <c r="J38" s="380" t="s">
        <v>1009</v>
      </c>
      <c r="K38" s="381">
        <v>1</v>
      </c>
      <c r="L38" s="380">
        <v>104</v>
      </c>
    </row>
    <row r="39" spans="1:12">
      <c r="A39" s="378" t="s">
        <v>97</v>
      </c>
      <c r="B39" s="379" t="s">
        <v>948</v>
      </c>
      <c r="C39" s="380" t="s">
        <v>1010</v>
      </c>
      <c r="D39" s="381">
        <v>1</v>
      </c>
      <c r="E39" s="380">
        <v>82</v>
      </c>
      <c r="H39" s="378" t="s">
        <v>66</v>
      </c>
      <c r="I39" s="379" t="s">
        <v>975</v>
      </c>
      <c r="J39" s="380" t="s">
        <v>1011</v>
      </c>
      <c r="K39" s="381">
        <v>1</v>
      </c>
      <c r="L39" s="380">
        <v>46</v>
      </c>
    </row>
    <row r="40" spans="1:12">
      <c r="A40" s="378" t="s">
        <v>97</v>
      </c>
      <c r="B40" s="379" t="s">
        <v>952</v>
      </c>
      <c r="C40" s="380" t="s">
        <v>1012</v>
      </c>
      <c r="D40" s="381">
        <v>1</v>
      </c>
      <c r="E40" s="380">
        <v>74</v>
      </c>
      <c r="H40" s="378" t="s">
        <v>66</v>
      </c>
      <c r="I40" s="379" t="s">
        <v>948</v>
      </c>
      <c r="J40" s="380" t="s">
        <v>1011</v>
      </c>
      <c r="K40" s="381"/>
      <c r="L40" s="380">
        <v>33</v>
      </c>
    </row>
    <row r="41" spans="1:12">
      <c r="A41" s="378" t="s">
        <v>97</v>
      </c>
      <c r="B41" s="379" t="s">
        <v>1013</v>
      </c>
      <c r="C41" s="380" t="s">
        <v>1012</v>
      </c>
      <c r="D41" s="381"/>
      <c r="E41" s="380">
        <v>40</v>
      </c>
      <c r="H41" s="378" t="s">
        <v>66</v>
      </c>
      <c r="I41" s="379" t="s">
        <v>975</v>
      </c>
      <c r="J41" s="380" t="s">
        <v>1014</v>
      </c>
      <c r="K41" s="381">
        <v>1</v>
      </c>
      <c r="L41" s="380">
        <v>68</v>
      </c>
    </row>
    <row r="42" spans="1:12">
      <c r="A42" s="378" t="s">
        <v>97</v>
      </c>
      <c r="B42" s="379" t="s">
        <v>948</v>
      </c>
      <c r="C42" s="380" t="s">
        <v>1015</v>
      </c>
      <c r="D42" s="381">
        <v>1</v>
      </c>
      <c r="E42" s="380">
        <v>34</v>
      </c>
      <c r="H42" s="378" t="s">
        <v>66</v>
      </c>
      <c r="I42" s="379" t="s">
        <v>948</v>
      </c>
      <c r="J42" s="380" t="s">
        <v>1014</v>
      </c>
      <c r="K42" s="381"/>
      <c r="L42" s="380">
        <v>114</v>
      </c>
    </row>
    <row r="43" spans="1:12">
      <c r="A43" s="378" t="s">
        <v>97</v>
      </c>
      <c r="B43" s="379" t="s">
        <v>952</v>
      </c>
      <c r="C43" s="380" t="s">
        <v>1016</v>
      </c>
      <c r="D43" s="381">
        <v>1</v>
      </c>
      <c r="E43" s="380">
        <v>68</v>
      </c>
      <c r="H43" s="378" t="s">
        <v>66</v>
      </c>
      <c r="I43" s="379" t="s">
        <v>948</v>
      </c>
      <c r="J43" s="380" t="s">
        <v>1017</v>
      </c>
      <c r="K43" s="381">
        <v>1</v>
      </c>
      <c r="L43" s="380">
        <v>86</v>
      </c>
    </row>
    <row r="44" spans="1:12">
      <c r="A44" s="378" t="s">
        <v>97</v>
      </c>
      <c r="B44" s="379" t="s">
        <v>948</v>
      </c>
      <c r="C44" s="380" t="s">
        <v>1016</v>
      </c>
      <c r="D44" s="381"/>
      <c r="E44" s="380">
        <v>68</v>
      </c>
      <c r="H44" s="378" t="s">
        <v>66</v>
      </c>
      <c r="I44" s="379" t="s">
        <v>948</v>
      </c>
      <c r="J44" s="380" t="s">
        <v>1018</v>
      </c>
      <c r="K44" s="381">
        <v>1</v>
      </c>
      <c r="L44" s="380">
        <v>80</v>
      </c>
    </row>
    <row r="45" spans="1:12">
      <c r="A45" s="378" t="s">
        <v>97</v>
      </c>
      <c r="B45" s="379" t="s">
        <v>952</v>
      </c>
      <c r="C45" s="380" t="s">
        <v>1019</v>
      </c>
      <c r="D45" s="381">
        <v>1</v>
      </c>
      <c r="E45" s="380">
        <v>66</v>
      </c>
      <c r="H45" s="378" t="s">
        <v>66</v>
      </c>
      <c r="I45" s="379" t="s">
        <v>975</v>
      </c>
      <c r="J45" s="380" t="s">
        <v>1020</v>
      </c>
      <c r="K45" s="381">
        <v>1</v>
      </c>
      <c r="L45" s="380">
        <v>26</v>
      </c>
    </row>
    <row r="46" spans="1:12">
      <c r="A46" s="378" t="s">
        <v>97</v>
      </c>
      <c r="B46" s="379" t="s">
        <v>948</v>
      </c>
      <c r="C46" s="380" t="s">
        <v>1019</v>
      </c>
      <c r="D46" s="381"/>
      <c r="E46" s="380">
        <v>66</v>
      </c>
      <c r="H46" s="378" t="s">
        <v>66</v>
      </c>
      <c r="I46" s="379" t="s">
        <v>948</v>
      </c>
      <c r="J46" s="380" t="s">
        <v>1020</v>
      </c>
      <c r="K46" s="381"/>
      <c r="L46" s="380">
        <v>26</v>
      </c>
    </row>
    <row r="47" spans="1:12">
      <c r="A47" s="378" t="s">
        <v>97</v>
      </c>
      <c r="B47" s="379" t="s">
        <v>948</v>
      </c>
      <c r="C47" s="380" t="s">
        <v>1021</v>
      </c>
      <c r="D47" s="381">
        <v>1</v>
      </c>
      <c r="E47" s="380">
        <v>96</v>
      </c>
      <c r="H47" s="378" t="s">
        <v>66</v>
      </c>
      <c r="I47" s="379" t="s">
        <v>948</v>
      </c>
      <c r="J47" s="380" t="s">
        <v>1022</v>
      </c>
      <c r="K47" s="381">
        <v>1</v>
      </c>
      <c r="L47" s="380">
        <v>100</v>
      </c>
    </row>
    <row r="48" spans="1:12">
      <c r="A48" s="378" t="s">
        <v>97</v>
      </c>
      <c r="B48" s="379" t="s">
        <v>952</v>
      </c>
      <c r="C48" s="380" t="s">
        <v>1023</v>
      </c>
      <c r="D48" s="381">
        <v>1</v>
      </c>
      <c r="E48" s="380">
        <v>54</v>
      </c>
      <c r="H48" s="378" t="s">
        <v>66</v>
      </c>
      <c r="I48" s="379" t="s">
        <v>975</v>
      </c>
      <c r="J48" s="380" t="s">
        <v>1024</v>
      </c>
      <c r="K48" s="381">
        <v>1</v>
      </c>
      <c r="L48" s="380">
        <v>86</v>
      </c>
    </row>
    <row r="49" spans="1:12">
      <c r="A49" s="378" t="s">
        <v>97</v>
      </c>
      <c r="B49" s="379" t="s">
        <v>948</v>
      </c>
      <c r="C49" s="380" t="s">
        <v>1023</v>
      </c>
      <c r="D49" s="381"/>
      <c r="E49" s="380">
        <v>48</v>
      </c>
      <c r="H49" s="378" t="s">
        <v>66</v>
      </c>
      <c r="I49" s="379" t="s">
        <v>948</v>
      </c>
      <c r="J49" s="380" t="s">
        <v>1024</v>
      </c>
      <c r="K49" s="381"/>
      <c r="L49" s="380">
        <v>86</v>
      </c>
    </row>
    <row r="50" spans="1:12">
      <c r="A50" s="378" t="s">
        <v>97</v>
      </c>
      <c r="B50" s="379" t="s">
        <v>985</v>
      </c>
      <c r="C50" s="380" t="s">
        <v>1023</v>
      </c>
      <c r="D50" s="381">
        <v>1</v>
      </c>
      <c r="E50" s="380">
        <v>72</v>
      </c>
      <c r="H50" s="378" t="s">
        <v>66</v>
      </c>
      <c r="I50" s="379" t="s">
        <v>1008</v>
      </c>
      <c r="J50" s="380" t="s">
        <v>1025</v>
      </c>
      <c r="K50" s="381">
        <v>1</v>
      </c>
      <c r="L50" s="380">
        <v>60</v>
      </c>
    </row>
    <row r="51" spans="1:12">
      <c r="A51" s="378" t="s">
        <v>97</v>
      </c>
      <c r="B51" s="379" t="s">
        <v>952</v>
      </c>
      <c r="C51" s="380" t="s">
        <v>1026</v>
      </c>
      <c r="D51" s="381">
        <v>1</v>
      </c>
      <c r="E51" s="380">
        <v>70</v>
      </c>
      <c r="H51" s="378" t="s">
        <v>66</v>
      </c>
      <c r="I51" s="379" t="s">
        <v>975</v>
      </c>
      <c r="J51" s="380" t="s">
        <v>1027</v>
      </c>
      <c r="K51" s="381">
        <v>1</v>
      </c>
      <c r="L51" s="380">
        <v>66</v>
      </c>
    </row>
    <row r="52" spans="1:12">
      <c r="A52" s="378" t="s">
        <v>97</v>
      </c>
      <c r="B52" s="379" t="s">
        <v>948</v>
      </c>
      <c r="C52" s="380" t="s">
        <v>1026</v>
      </c>
      <c r="D52" s="381"/>
      <c r="E52" s="380">
        <v>50</v>
      </c>
      <c r="H52" s="378" t="s">
        <v>66</v>
      </c>
      <c r="I52" s="379" t="s">
        <v>975</v>
      </c>
      <c r="J52" s="380" t="s">
        <v>1028</v>
      </c>
      <c r="K52" s="381">
        <v>1</v>
      </c>
      <c r="L52" s="380">
        <v>25</v>
      </c>
    </row>
    <row r="53" spans="1:12">
      <c r="A53" s="378" t="s">
        <v>97</v>
      </c>
      <c r="B53" s="379" t="s">
        <v>985</v>
      </c>
      <c r="C53" s="380" t="s">
        <v>1026</v>
      </c>
      <c r="D53" s="381"/>
      <c r="E53" s="380">
        <v>66</v>
      </c>
      <c r="H53" s="378" t="s">
        <v>66</v>
      </c>
      <c r="I53" s="379" t="s">
        <v>1008</v>
      </c>
      <c r="J53" s="380" t="s">
        <v>1028</v>
      </c>
      <c r="K53" s="381">
        <v>1</v>
      </c>
      <c r="L53" s="380">
        <v>43</v>
      </c>
    </row>
    <row r="54" spans="1:12">
      <c r="A54" s="378" t="s">
        <v>97</v>
      </c>
      <c r="B54" s="379" t="s">
        <v>952</v>
      </c>
      <c r="C54" s="380" t="s">
        <v>1029</v>
      </c>
      <c r="D54" s="381">
        <v>1</v>
      </c>
      <c r="E54" s="380">
        <v>40</v>
      </c>
      <c r="H54" s="378" t="s">
        <v>66</v>
      </c>
      <c r="I54" s="379" t="s">
        <v>948</v>
      </c>
      <c r="J54" s="380" t="s">
        <v>1028</v>
      </c>
      <c r="K54" s="381"/>
      <c r="L54" s="380">
        <v>25</v>
      </c>
    </row>
    <row r="55" spans="1:12">
      <c r="A55" s="378" t="s">
        <v>97</v>
      </c>
      <c r="B55" s="379" t="s">
        <v>948</v>
      </c>
      <c r="C55" s="380" t="s">
        <v>1029</v>
      </c>
      <c r="D55" s="381"/>
      <c r="E55" s="380">
        <v>40</v>
      </c>
      <c r="H55" s="378" t="s">
        <v>66</v>
      </c>
      <c r="I55" s="379" t="s">
        <v>975</v>
      </c>
      <c r="J55" s="380" t="s">
        <v>1030</v>
      </c>
      <c r="K55" s="381">
        <v>1</v>
      </c>
      <c r="L55" s="380">
        <v>78</v>
      </c>
    </row>
    <row r="56" spans="1:12">
      <c r="A56" s="378" t="s">
        <v>97</v>
      </c>
      <c r="B56" s="379" t="s">
        <v>952</v>
      </c>
      <c r="C56" s="380" t="s">
        <v>1031</v>
      </c>
      <c r="D56" s="381">
        <v>1</v>
      </c>
      <c r="E56" s="380">
        <v>34</v>
      </c>
      <c r="H56" s="378" t="s">
        <v>66</v>
      </c>
      <c r="I56" s="379" t="s">
        <v>948</v>
      </c>
      <c r="J56" s="380" t="s">
        <v>1030</v>
      </c>
      <c r="K56" s="381"/>
      <c r="L56" s="380">
        <v>78</v>
      </c>
    </row>
    <row r="57" spans="1:12">
      <c r="A57" s="378" t="s">
        <v>97</v>
      </c>
      <c r="B57" s="379" t="s">
        <v>948</v>
      </c>
      <c r="C57" s="380" t="s">
        <v>1031</v>
      </c>
      <c r="D57" s="381"/>
      <c r="E57" s="380">
        <v>34</v>
      </c>
      <c r="H57" s="378" t="s">
        <v>66</v>
      </c>
      <c r="I57" s="379" t="s">
        <v>975</v>
      </c>
      <c r="J57" s="380" t="s">
        <v>1032</v>
      </c>
      <c r="K57" s="381">
        <v>1</v>
      </c>
      <c r="L57" s="380">
        <v>46</v>
      </c>
    </row>
    <row r="58" spans="1:12">
      <c r="A58" s="378" t="s">
        <v>97</v>
      </c>
      <c r="B58" s="379" t="s">
        <v>985</v>
      </c>
      <c r="C58" s="380" t="s">
        <v>1031</v>
      </c>
      <c r="D58" s="381"/>
      <c r="E58" s="380">
        <v>120</v>
      </c>
      <c r="H58" s="378" t="s">
        <v>66</v>
      </c>
      <c r="I58" s="379" t="s">
        <v>948</v>
      </c>
      <c r="J58" s="380" t="s">
        <v>1032</v>
      </c>
      <c r="K58" s="381"/>
      <c r="L58" s="380">
        <v>46</v>
      </c>
    </row>
    <row r="59" spans="1:12">
      <c r="A59" s="378" t="s">
        <v>97</v>
      </c>
      <c r="B59" s="379" t="s">
        <v>983</v>
      </c>
      <c r="C59" s="380" t="s">
        <v>1033</v>
      </c>
      <c r="D59" s="381">
        <v>1</v>
      </c>
      <c r="E59" s="380">
        <v>46</v>
      </c>
      <c r="H59" s="378" t="s">
        <v>66</v>
      </c>
      <c r="I59" s="379" t="s">
        <v>975</v>
      </c>
      <c r="J59" s="380" t="s">
        <v>1034</v>
      </c>
      <c r="K59" s="381">
        <v>1</v>
      </c>
      <c r="L59" s="380">
        <v>37</v>
      </c>
    </row>
    <row r="60" spans="1:12">
      <c r="A60" s="378" t="s">
        <v>97</v>
      </c>
      <c r="B60" s="379" t="s">
        <v>948</v>
      </c>
      <c r="C60" s="380" t="s">
        <v>1033</v>
      </c>
      <c r="D60" s="381">
        <v>1</v>
      </c>
      <c r="E60" s="380">
        <v>76</v>
      </c>
      <c r="H60" s="378" t="s">
        <v>66</v>
      </c>
      <c r="I60" s="379" t="s">
        <v>948</v>
      </c>
      <c r="J60" s="380" t="s">
        <v>1034</v>
      </c>
      <c r="K60" s="381"/>
      <c r="L60" s="380">
        <v>30</v>
      </c>
    </row>
    <row r="61" spans="1:12">
      <c r="A61" s="378" t="s">
        <v>97</v>
      </c>
      <c r="B61" s="379" t="s">
        <v>985</v>
      </c>
      <c r="C61" s="380" t="s">
        <v>1033</v>
      </c>
      <c r="D61" s="381"/>
      <c r="E61" s="380">
        <v>46</v>
      </c>
      <c r="H61" s="378" t="s">
        <v>66</v>
      </c>
      <c r="I61" s="379" t="s">
        <v>975</v>
      </c>
      <c r="J61" s="380" t="s">
        <v>1035</v>
      </c>
      <c r="K61" s="381">
        <v>1</v>
      </c>
      <c r="L61" s="380">
        <v>40</v>
      </c>
    </row>
    <row r="62" spans="1:12">
      <c r="A62" s="378" t="s">
        <v>97</v>
      </c>
      <c r="B62" s="379" t="s">
        <v>952</v>
      </c>
      <c r="C62" s="380" t="s">
        <v>1036</v>
      </c>
      <c r="D62" s="381">
        <v>1</v>
      </c>
      <c r="E62" s="380">
        <v>106</v>
      </c>
      <c r="H62" s="378" t="s">
        <v>66</v>
      </c>
      <c r="I62" s="379" t="s">
        <v>975</v>
      </c>
      <c r="J62" s="380" t="s">
        <v>1037</v>
      </c>
      <c r="K62" s="381">
        <v>1</v>
      </c>
      <c r="L62" s="380">
        <v>56</v>
      </c>
    </row>
    <row r="63" spans="1:12">
      <c r="A63" s="378" t="s">
        <v>97</v>
      </c>
      <c r="B63" s="379" t="s">
        <v>948</v>
      </c>
      <c r="C63" s="380" t="s">
        <v>1036</v>
      </c>
      <c r="D63" s="381"/>
      <c r="E63" s="380">
        <v>106</v>
      </c>
      <c r="H63" s="378" t="s">
        <v>66</v>
      </c>
      <c r="I63" s="379" t="s">
        <v>948</v>
      </c>
      <c r="J63" s="380" t="s">
        <v>1037</v>
      </c>
      <c r="K63" s="381"/>
      <c r="L63" s="380">
        <v>56</v>
      </c>
    </row>
    <row r="64" spans="1:12">
      <c r="A64" s="378" t="s">
        <v>97</v>
      </c>
      <c r="B64" s="379" t="s">
        <v>952</v>
      </c>
      <c r="C64" s="380" t="s">
        <v>1038</v>
      </c>
      <c r="D64" s="381">
        <v>1</v>
      </c>
      <c r="E64" s="380">
        <v>60</v>
      </c>
      <c r="H64" s="378" t="s">
        <v>67</v>
      </c>
      <c r="I64" s="379" t="s">
        <v>950</v>
      </c>
      <c r="J64" s="380" t="s">
        <v>1039</v>
      </c>
      <c r="K64" s="381">
        <v>1</v>
      </c>
      <c r="L64" s="380">
        <v>296</v>
      </c>
    </row>
    <row r="65" spans="1:12">
      <c r="A65" s="378" t="s">
        <v>97</v>
      </c>
      <c r="B65" s="379" t="s">
        <v>948</v>
      </c>
      <c r="C65" s="380" t="s">
        <v>1038</v>
      </c>
      <c r="D65" s="381"/>
      <c r="E65" s="380">
        <v>50</v>
      </c>
      <c r="H65" s="378" t="s">
        <v>67</v>
      </c>
      <c r="I65" s="379" t="s">
        <v>950</v>
      </c>
      <c r="J65" s="380" t="s">
        <v>1040</v>
      </c>
      <c r="K65" s="381">
        <v>1</v>
      </c>
      <c r="L65" s="380">
        <v>306</v>
      </c>
    </row>
    <row r="66" spans="1:12">
      <c r="A66" s="378" t="s">
        <v>97</v>
      </c>
      <c r="B66" s="379" t="s">
        <v>952</v>
      </c>
      <c r="C66" s="380" t="s">
        <v>1041</v>
      </c>
      <c r="D66" s="381">
        <v>1</v>
      </c>
      <c r="E66" s="380">
        <v>46</v>
      </c>
      <c r="H66" s="378" t="s">
        <v>67</v>
      </c>
      <c r="I66" s="379" t="s">
        <v>950</v>
      </c>
      <c r="J66" s="380" t="s">
        <v>1042</v>
      </c>
      <c r="K66" s="381">
        <v>1</v>
      </c>
      <c r="L66" s="380">
        <v>157</v>
      </c>
    </row>
    <row r="67" spans="1:12">
      <c r="A67" s="378" t="s">
        <v>97</v>
      </c>
      <c r="B67" s="379" t="s">
        <v>948</v>
      </c>
      <c r="C67" s="380" t="s">
        <v>1041</v>
      </c>
      <c r="D67" s="381"/>
      <c r="E67" s="380">
        <v>38</v>
      </c>
      <c r="H67" s="378" t="s">
        <v>67</v>
      </c>
      <c r="I67" s="379" t="s">
        <v>950</v>
      </c>
      <c r="J67" s="380" t="s">
        <v>1043</v>
      </c>
      <c r="K67" s="381">
        <v>1</v>
      </c>
      <c r="L67" s="380">
        <v>128</v>
      </c>
    </row>
    <row r="68" spans="1:12">
      <c r="A68" s="378" t="s">
        <v>97</v>
      </c>
      <c r="B68" s="379" t="s">
        <v>964</v>
      </c>
      <c r="C68" s="380" t="s">
        <v>1041</v>
      </c>
      <c r="D68" s="381">
        <v>1</v>
      </c>
      <c r="E68" s="380">
        <v>90</v>
      </c>
      <c r="H68" s="378" t="s">
        <v>67</v>
      </c>
      <c r="I68" s="379" t="s">
        <v>950</v>
      </c>
      <c r="J68" s="380" t="s">
        <v>1044</v>
      </c>
      <c r="K68" s="381">
        <v>1</v>
      </c>
      <c r="L68" s="380">
        <v>110</v>
      </c>
    </row>
    <row r="69" spans="1:12">
      <c r="A69" s="378" t="s">
        <v>97</v>
      </c>
      <c r="B69" s="379" t="s">
        <v>952</v>
      </c>
      <c r="C69" s="380" t="s">
        <v>1045</v>
      </c>
      <c r="D69" s="381">
        <v>1</v>
      </c>
      <c r="E69" s="380">
        <v>90</v>
      </c>
      <c r="H69" s="378" t="s">
        <v>67</v>
      </c>
      <c r="I69" s="379" t="s">
        <v>950</v>
      </c>
      <c r="J69" s="380" t="s">
        <v>1046</v>
      </c>
      <c r="K69" s="381">
        <v>1</v>
      </c>
      <c r="L69" s="380">
        <v>85</v>
      </c>
    </row>
    <row r="70" spans="1:12">
      <c r="A70" s="378" t="s">
        <v>97</v>
      </c>
      <c r="B70" s="379" t="s">
        <v>948</v>
      </c>
      <c r="C70" s="380" t="s">
        <v>1045</v>
      </c>
      <c r="D70" s="381"/>
      <c r="E70" s="380">
        <v>82</v>
      </c>
      <c r="H70" s="378" t="s">
        <v>67</v>
      </c>
      <c r="I70" s="379" t="s">
        <v>950</v>
      </c>
      <c r="J70" s="380" t="s">
        <v>1047</v>
      </c>
      <c r="K70" s="381">
        <v>1</v>
      </c>
      <c r="L70" s="380">
        <v>51</v>
      </c>
    </row>
    <row r="71" spans="1:12">
      <c r="A71" s="378" t="s">
        <v>97</v>
      </c>
      <c r="B71" s="379" t="s">
        <v>948</v>
      </c>
      <c r="C71" s="380" t="s">
        <v>1048</v>
      </c>
      <c r="D71" s="381">
        <v>1</v>
      </c>
      <c r="E71" s="380">
        <v>80</v>
      </c>
      <c r="H71" s="378" t="s">
        <v>67</v>
      </c>
      <c r="I71" s="379" t="s">
        <v>950</v>
      </c>
      <c r="J71" s="380" t="s">
        <v>1049</v>
      </c>
      <c r="K71" s="381">
        <v>1</v>
      </c>
      <c r="L71" s="380">
        <v>70</v>
      </c>
    </row>
    <row r="72" spans="1:12">
      <c r="A72" s="378" t="s">
        <v>97</v>
      </c>
      <c r="B72" s="379" t="s">
        <v>948</v>
      </c>
      <c r="C72" s="380" t="s">
        <v>1050</v>
      </c>
      <c r="D72" s="381">
        <v>1</v>
      </c>
      <c r="E72" s="380">
        <v>44</v>
      </c>
      <c r="H72" s="378" t="s">
        <v>67</v>
      </c>
      <c r="I72" s="379" t="s">
        <v>950</v>
      </c>
      <c r="J72" s="380" t="s">
        <v>1051</v>
      </c>
      <c r="K72" s="381">
        <v>1</v>
      </c>
      <c r="L72" s="380">
        <v>127</v>
      </c>
    </row>
    <row r="73" spans="1:12">
      <c r="A73" s="378" t="s">
        <v>97</v>
      </c>
      <c r="B73" s="379" t="s">
        <v>985</v>
      </c>
      <c r="C73" s="380" t="s">
        <v>1052</v>
      </c>
      <c r="D73" s="381">
        <v>1</v>
      </c>
      <c r="E73" s="380">
        <v>142</v>
      </c>
      <c r="H73" s="378" t="s">
        <v>67</v>
      </c>
      <c r="I73" s="379" t="s">
        <v>1053</v>
      </c>
      <c r="J73" s="380" t="s">
        <v>1054</v>
      </c>
      <c r="K73" s="381">
        <v>1</v>
      </c>
      <c r="L73" s="380">
        <v>250</v>
      </c>
    </row>
    <row r="74" spans="1:12">
      <c r="A74" s="378" t="s">
        <v>97</v>
      </c>
      <c r="B74" s="379" t="s">
        <v>948</v>
      </c>
      <c r="C74" s="380" t="s">
        <v>1055</v>
      </c>
      <c r="D74" s="381">
        <v>1</v>
      </c>
      <c r="E74" s="380">
        <v>36</v>
      </c>
      <c r="H74" s="378" t="s">
        <v>67</v>
      </c>
      <c r="I74" s="379" t="s">
        <v>950</v>
      </c>
      <c r="J74" s="380" t="s">
        <v>1054</v>
      </c>
      <c r="K74" s="381"/>
      <c r="L74" s="380">
        <v>96</v>
      </c>
    </row>
    <row r="75" spans="1:12">
      <c r="A75" s="378" t="s">
        <v>97</v>
      </c>
      <c r="B75" s="379" t="s">
        <v>952</v>
      </c>
      <c r="C75" s="380" t="s">
        <v>1056</v>
      </c>
      <c r="D75" s="381">
        <v>1</v>
      </c>
      <c r="E75" s="380">
        <v>82</v>
      </c>
      <c r="H75" s="378" t="s">
        <v>67</v>
      </c>
      <c r="I75" s="379" t="s">
        <v>950</v>
      </c>
      <c r="J75" s="380" t="s">
        <v>1057</v>
      </c>
      <c r="K75" s="381">
        <v>1</v>
      </c>
      <c r="L75" s="380">
        <v>138</v>
      </c>
    </row>
    <row r="76" spans="1:12">
      <c r="A76" s="378" t="s">
        <v>97</v>
      </c>
      <c r="B76" s="379" t="s">
        <v>948</v>
      </c>
      <c r="C76" s="380" t="s">
        <v>1056</v>
      </c>
      <c r="D76" s="381"/>
      <c r="E76" s="380">
        <v>82</v>
      </c>
      <c r="H76" s="378" t="s">
        <v>67</v>
      </c>
      <c r="I76" s="379" t="s">
        <v>950</v>
      </c>
      <c r="J76" s="380" t="s">
        <v>1058</v>
      </c>
      <c r="K76" s="381">
        <v>1</v>
      </c>
      <c r="L76" s="380">
        <v>142</v>
      </c>
    </row>
    <row r="77" spans="1:12">
      <c r="A77" s="378" t="s">
        <v>97</v>
      </c>
      <c r="B77" s="379" t="s">
        <v>952</v>
      </c>
      <c r="C77" s="380" t="s">
        <v>1059</v>
      </c>
      <c r="D77" s="381">
        <v>1</v>
      </c>
      <c r="E77" s="380">
        <v>86</v>
      </c>
      <c r="H77" s="378" t="s">
        <v>67</v>
      </c>
      <c r="I77" s="379" t="s">
        <v>950</v>
      </c>
      <c r="J77" s="380" t="s">
        <v>1060</v>
      </c>
      <c r="K77" s="381">
        <v>1</v>
      </c>
      <c r="L77" s="380">
        <v>215</v>
      </c>
    </row>
    <row r="78" spans="1:12">
      <c r="A78" s="378" t="s">
        <v>97</v>
      </c>
      <c r="B78" s="379" t="s">
        <v>948</v>
      </c>
      <c r="C78" s="380" t="s">
        <v>1059</v>
      </c>
      <c r="D78" s="381"/>
      <c r="E78" s="380">
        <v>72</v>
      </c>
      <c r="H78" s="378" t="s">
        <v>67</v>
      </c>
      <c r="I78" s="379" t="s">
        <v>950</v>
      </c>
      <c r="J78" s="380" t="s">
        <v>1061</v>
      </c>
      <c r="K78" s="381">
        <v>1</v>
      </c>
      <c r="L78" s="380">
        <v>120</v>
      </c>
    </row>
    <row r="79" spans="1:12">
      <c r="A79" s="378" t="s">
        <v>97</v>
      </c>
      <c r="B79" s="379" t="s">
        <v>952</v>
      </c>
      <c r="C79" s="380" t="s">
        <v>1062</v>
      </c>
      <c r="D79" s="381">
        <v>1</v>
      </c>
      <c r="E79" s="380">
        <v>40</v>
      </c>
      <c r="H79" s="378" t="s">
        <v>67</v>
      </c>
      <c r="I79" s="379" t="s">
        <v>950</v>
      </c>
      <c r="J79" s="380" t="s">
        <v>1063</v>
      </c>
      <c r="K79" s="381">
        <v>1</v>
      </c>
      <c r="L79" s="380">
        <v>50</v>
      </c>
    </row>
    <row r="80" spans="1:12">
      <c r="A80" s="378" t="s">
        <v>97</v>
      </c>
      <c r="B80" s="379" t="s">
        <v>983</v>
      </c>
      <c r="C80" s="380" t="s">
        <v>1062</v>
      </c>
      <c r="D80" s="381">
        <v>1</v>
      </c>
      <c r="E80" s="380">
        <v>84</v>
      </c>
      <c r="H80" s="378" t="s">
        <v>67</v>
      </c>
      <c r="I80" s="379" t="s">
        <v>950</v>
      </c>
      <c r="J80" s="380" t="s">
        <v>1064</v>
      </c>
      <c r="K80" s="381">
        <v>1</v>
      </c>
      <c r="L80" s="380">
        <v>42</v>
      </c>
    </row>
    <row r="81" spans="1:12">
      <c r="A81" s="378" t="s">
        <v>97</v>
      </c>
      <c r="B81" s="379" t="s">
        <v>948</v>
      </c>
      <c r="C81" s="380" t="s">
        <v>1062</v>
      </c>
      <c r="D81" s="381"/>
      <c r="E81" s="380">
        <v>40</v>
      </c>
      <c r="H81" s="378" t="s">
        <v>67</v>
      </c>
      <c r="I81" s="379" t="s">
        <v>950</v>
      </c>
      <c r="J81" s="380" t="s">
        <v>1065</v>
      </c>
      <c r="K81" s="381">
        <v>1</v>
      </c>
      <c r="L81" s="380">
        <v>71</v>
      </c>
    </row>
    <row r="82" spans="1:12">
      <c r="A82" s="378" t="s">
        <v>97</v>
      </c>
      <c r="B82" s="379" t="s">
        <v>985</v>
      </c>
      <c r="C82" s="380" t="s">
        <v>1062</v>
      </c>
      <c r="D82" s="381"/>
      <c r="E82" s="380">
        <v>84</v>
      </c>
      <c r="H82" s="378" t="s">
        <v>67</v>
      </c>
      <c r="I82" s="379" t="s">
        <v>950</v>
      </c>
      <c r="J82" s="380" t="s">
        <v>1066</v>
      </c>
      <c r="K82" s="381">
        <v>1</v>
      </c>
      <c r="L82" s="380">
        <v>55</v>
      </c>
    </row>
    <row r="83" spans="1:12">
      <c r="A83" s="378" t="s">
        <v>97</v>
      </c>
      <c r="B83" s="379" t="s">
        <v>948</v>
      </c>
      <c r="C83" s="380" t="s">
        <v>1067</v>
      </c>
      <c r="D83" s="381">
        <v>1</v>
      </c>
      <c r="E83" s="380">
        <v>73</v>
      </c>
      <c r="H83" s="378" t="s">
        <v>67</v>
      </c>
      <c r="I83" s="379" t="s">
        <v>950</v>
      </c>
      <c r="J83" s="380" t="s">
        <v>1068</v>
      </c>
      <c r="K83" s="381">
        <v>1</v>
      </c>
      <c r="L83" s="380">
        <v>132</v>
      </c>
    </row>
    <row r="84" spans="1:12">
      <c r="A84" s="378" t="s">
        <v>97</v>
      </c>
      <c r="B84" s="379" t="s">
        <v>1069</v>
      </c>
      <c r="C84" s="380" t="s">
        <v>1067</v>
      </c>
      <c r="D84" s="381">
        <v>1</v>
      </c>
      <c r="E84" s="380">
        <v>40</v>
      </c>
      <c r="H84" s="378" t="s">
        <v>67</v>
      </c>
      <c r="I84" s="379" t="s">
        <v>950</v>
      </c>
      <c r="J84" s="380" t="s">
        <v>1070</v>
      </c>
      <c r="K84" s="381">
        <v>1</v>
      </c>
      <c r="L84" s="380">
        <v>74</v>
      </c>
    </row>
    <row r="85" spans="1:12">
      <c r="A85" s="378" t="s">
        <v>97</v>
      </c>
      <c r="B85" s="379" t="s">
        <v>952</v>
      </c>
      <c r="C85" s="380" t="s">
        <v>1071</v>
      </c>
      <c r="D85" s="381">
        <v>1</v>
      </c>
      <c r="E85" s="380">
        <v>62</v>
      </c>
      <c r="H85" s="378" t="s">
        <v>67</v>
      </c>
      <c r="I85" s="379" t="s">
        <v>950</v>
      </c>
      <c r="J85" s="380" t="s">
        <v>1072</v>
      </c>
      <c r="K85" s="381">
        <v>1</v>
      </c>
      <c r="L85" s="380">
        <v>82</v>
      </c>
    </row>
    <row r="86" spans="1:12">
      <c r="A86" s="378" t="s">
        <v>97</v>
      </c>
      <c r="B86" s="379" t="s">
        <v>948</v>
      </c>
      <c r="C86" s="380" t="s">
        <v>1071</v>
      </c>
      <c r="D86" s="381">
        <v>1</v>
      </c>
      <c r="E86" s="380">
        <v>60</v>
      </c>
      <c r="H86" s="378" t="s">
        <v>67</v>
      </c>
      <c r="I86" s="379" t="s">
        <v>950</v>
      </c>
      <c r="J86" s="380" t="s">
        <v>1073</v>
      </c>
      <c r="K86" s="381">
        <v>1</v>
      </c>
      <c r="L86" s="380">
        <v>113</v>
      </c>
    </row>
    <row r="87" spans="1:12">
      <c r="A87" s="378" t="s">
        <v>97</v>
      </c>
      <c r="B87" s="379" t="s">
        <v>952</v>
      </c>
      <c r="C87" s="380" t="s">
        <v>1074</v>
      </c>
      <c r="D87" s="381">
        <v>1</v>
      </c>
      <c r="E87" s="380">
        <v>64</v>
      </c>
      <c r="H87" s="378" t="s">
        <v>67</v>
      </c>
      <c r="I87" s="379" t="s">
        <v>950</v>
      </c>
      <c r="J87" s="380" t="s">
        <v>1075</v>
      </c>
      <c r="K87" s="381">
        <v>1</v>
      </c>
      <c r="L87" s="380">
        <v>105</v>
      </c>
    </row>
    <row r="88" spans="1:12">
      <c r="A88" s="378" t="s">
        <v>97</v>
      </c>
      <c r="B88" s="379" t="s">
        <v>948</v>
      </c>
      <c r="C88" s="380" t="s">
        <v>1074</v>
      </c>
      <c r="D88" s="381"/>
      <c r="E88" s="380">
        <v>64</v>
      </c>
      <c r="H88" s="378" t="s">
        <v>67</v>
      </c>
      <c r="I88" s="379" t="s">
        <v>950</v>
      </c>
      <c r="J88" s="380" t="s">
        <v>1076</v>
      </c>
      <c r="K88" s="381">
        <v>1</v>
      </c>
      <c r="L88" s="380">
        <v>57</v>
      </c>
    </row>
    <row r="89" spans="1:12">
      <c r="A89" s="378" t="s">
        <v>97</v>
      </c>
      <c r="B89" s="379" t="s">
        <v>952</v>
      </c>
      <c r="C89" s="380" t="s">
        <v>1077</v>
      </c>
      <c r="D89" s="381">
        <v>1</v>
      </c>
      <c r="E89" s="380">
        <v>138</v>
      </c>
      <c r="H89" s="378" t="s">
        <v>67</v>
      </c>
      <c r="I89" s="379" t="s">
        <v>950</v>
      </c>
      <c r="J89" s="380" t="s">
        <v>1078</v>
      </c>
      <c r="K89" s="381">
        <v>1</v>
      </c>
      <c r="L89" s="380">
        <v>151</v>
      </c>
    </row>
    <row r="90" spans="1:12">
      <c r="A90" s="378" t="s">
        <v>97</v>
      </c>
      <c r="B90" s="379" t="s">
        <v>948</v>
      </c>
      <c r="C90" s="380" t="s">
        <v>1077</v>
      </c>
      <c r="D90" s="381">
        <v>1</v>
      </c>
      <c r="E90" s="380">
        <v>110</v>
      </c>
      <c r="H90" s="378" t="s">
        <v>67</v>
      </c>
      <c r="I90" s="379" t="s">
        <v>950</v>
      </c>
      <c r="J90" s="380" t="s">
        <v>1079</v>
      </c>
      <c r="K90" s="381">
        <v>1</v>
      </c>
      <c r="L90" s="380">
        <v>125</v>
      </c>
    </row>
    <row r="91" spans="1:12">
      <c r="A91" s="378" t="s">
        <v>97</v>
      </c>
      <c r="B91" s="379" t="s">
        <v>948</v>
      </c>
      <c r="C91" s="380" t="s">
        <v>1080</v>
      </c>
      <c r="D91" s="381"/>
      <c r="E91" s="380">
        <v>116</v>
      </c>
      <c r="H91" s="378" t="s">
        <v>67</v>
      </c>
      <c r="I91" s="379" t="s">
        <v>950</v>
      </c>
      <c r="J91" s="380" t="s">
        <v>1081</v>
      </c>
      <c r="K91" s="381">
        <v>1</v>
      </c>
      <c r="L91" s="380">
        <v>169</v>
      </c>
    </row>
    <row r="92" spans="1:12">
      <c r="A92" s="378" t="s">
        <v>97</v>
      </c>
      <c r="B92" s="379" t="s">
        <v>952</v>
      </c>
      <c r="C92" s="380" t="s">
        <v>1082</v>
      </c>
      <c r="D92" s="381">
        <v>1</v>
      </c>
      <c r="E92" s="380">
        <v>60</v>
      </c>
      <c r="H92" s="378" t="s">
        <v>67</v>
      </c>
      <c r="I92" s="379" t="s">
        <v>950</v>
      </c>
      <c r="J92" s="380" t="s">
        <v>1083</v>
      </c>
      <c r="K92" s="381">
        <v>1</v>
      </c>
      <c r="L92" s="380">
        <v>246</v>
      </c>
    </row>
    <row r="93" spans="1:12">
      <c r="A93" s="378" t="s">
        <v>97</v>
      </c>
      <c r="B93" s="379" t="s">
        <v>948</v>
      </c>
      <c r="C93" s="380" t="s">
        <v>1082</v>
      </c>
      <c r="D93" s="381"/>
      <c r="E93" s="380">
        <v>76</v>
      </c>
      <c r="H93" s="378" t="s">
        <v>67</v>
      </c>
      <c r="I93" s="379" t="s">
        <v>950</v>
      </c>
      <c r="J93" s="380" t="s">
        <v>1084</v>
      </c>
      <c r="K93" s="381">
        <v>1</v>
      </c>
      <c r="L93" s="380">
        <v>285</v>
      </c>
    </row>
    <row r="94" spans="1:12">
      <c r="A94" s="378" t="s">
        <v>97</v>
      </c>
      <c r="B94" s="379" t="s">
        <v>948</v>
      </c>
      <c r="C94" s="380" t="s">
        <v>1085</v>
      </c>
      <c r="D94" s="381">
        <v>1</v>
      </c>
      <c r="E94" s="380">
        <v>78</v>
      </c>
      <c r="H94" s="378" t="s">
        <v>67</v>
      </c>
      <c r="I94" s="379" t="s">
        <v>950</v>
      </c>
      <c r="J94" s="380" t="s">
        <v>1086</v>
      </c>
      <c r="K94" s="381">
        <v>1</v>
      </c>
      <c r="L94" s="380">
        <v>107</v>
      </c>
    </row>
    <row r="95" spans="1:12">
      <c r="A95" s="378" t="s">
        <v>97</v>
      </c>
      <c r="B95" s="379" t="s">
        <v>948</v>
      </c>
      <c r="C95" s="380" t="s">
        <v>1087</v>
      </c>
      <c r="D95" s="381">
        <v>1</v>
      </c>
      <c r="E95" s="380">
        <v>72</v>
      </c>
      <c r="H95" s="378" t="s">
        <v>67</v>
      </c>
      <c r="I95" s="379" t="s">
        <v>950</v>
      </c>
      <c r="J95" s="380" t="s">
        <v>1088</v>
      </c>
      <c r="K95" s="381">
        <v>1</v>
      </c>
      <c r="L95" s="380">
        <v>244</v>
      </c>
    </row>
    <row r="96" spans="1:12">
      <c r="A96" s="378" t="s">
        <v>97</v>
      </c>
      <c r="B96" s="379" t="s">
        <v>952</v>
      </c>
      <c r="C96" s="380" t="s">
        <v>1089</v>
      </c>
      <c r="D96" s="381">
        <v>1</v>
      </c>
      <c r="E96" s="380">
        <v>80</v>
      </c>
      <c r="H96" s="378" t="s">
        <v>67</v>
      </c>
      <c r="I96" s="379" t="s">
        <v>950</v>
      </c>
      <c r="J96" s="380" t="s">
        <v>1090</v>
      </c>
      <c r="K96" s="381">
        <v>1</v>
      </c>
      <c r="L96" s="380">
        <v>149</v>
      </c>
    </row>
    <row r="97" spans="1:12">
      <c r="A97" s="378" t="s">
        <v>97</v>
      </c>
      <c r="B97" s="379" t="s">
        <v>948</v>
      </c>
      <c r="C97" s="380" t="s">
        <v>1089</v>
      </c>
      <c r="D97" s="381"/>
      <c r="E97" s="380">
        <v>40</v>
      </c>
      <c r="H97" s="378" t="s">
        <v>67</v>
      </c>
      <c r="I97" s="379" t="s">
        <v>950</v>
      </c>
      <c r="J97" s="380" t="s">
        <v>1091</v>
      </c>
      <c r="K97" s="381">
        <v>1</v>
      </c>
      <c r="L97" s="380">
        <v>179</v>
      </c>
    </row>
    <row r="98" spans="1:12">
      <c r="A98" s="378" t="s">
        <v>97</v>
      </c>
      <c r="B98" s="379" t="s">
        <v>948</v>
      </c>
      <c r="C98" s="380" t="s">
        <v>1092</v>
      </c>
      <c r="D98" s="381">
        <v>1</v>
      </c>
      <c r="E98" s="380">
        <v>120</v>
      </c>
      <c r="H98" s="378" t="s">
        <v>67</v>
      </c>
      <c r="I98" s="379" t="s">
        <v>950</v>
      </c>
      <c r="J98" s="380" t="s">
        <v>1093</v>
      </c>
      <c r="K98" s="381">
        <v>1</v>
      </c>
      <c r="L98" s="380">
        <v>181</v>
      </c>
    </row>
    <row r="99" spans="1:12">
      <c r="A99" s="378" t="s">
        <v>97</v>
      </c>
      <c r="B99" s="379" t="s">
        <v>983</v>
      </c>
      <c r="C99" s="380" t="s">
        <v>1094</v>
      </c>
      <c r="D99" s="381">
        <v>1</v>
      </c>
      <c r="E99" s="380">
        <v>96</v>
      </c>
      <c r="H99" s="378" t="s">
        <v>67</v>
      </c>
      <c r="I99" s="379" t="s">
        <v>950</v>
      </c>
      <c r="J99" s="380" t="s">
        <v>1095</v>
      </c>
      <c r="K99" s="381">
        <v>1</v>
      </c>
      <c r="L99" s="380">
        <v>199</v>
      </c>
    </row>
    <row r="100" spans="1:12">
      <c r="A100" s="378" t="s">
        <v>97</v>
      </c>
      <c r="B100" s="379" t="s">
        <v>948</v>
      </c>
      <c r="C100" s="380" t="s">
        <v>1094</v>
      </c>
      <c r="D100" s="381">
        <v>1</v>
      </c>
      <c r="E100" s="380">
        <v>60</v>
      </c>
      <c r="H100" s="378" t="s">
        <v>67</v>
      </c>
      <c r="I100" s="379" t="s">
        <v>950</v>
      </c>
      <c r="J100" s="380" t="s">
        <v>1096</v>
      </c>
      <c r="K100" s="381">
        <v>1</v>
      </c>
      <c r="L100" s="380">
        <v>100</v>
      </c>
    </row>
    <row r="101" spans="1:12">
      <c r="A101" s="378" t="s">
        <v>97</v>
      </c>
      <c r="B101" s="379" t="s">
        <v>985</v>
      </c>
      <c r="C101" s="380" t="s">
        <v>1097</v>
      </c>
      <c r="D101" s="381">
        <v>1</v>
      </c>
      <c r="E101" s="380">
        <v>300</v>
      </c>
      <c r="H101" s="378" t="s">
        <v>67</v>
      </c>
      <c r="I101" s="379" t="s">
        <v>950</v>
      </c>
      <c r="J101" s="380" t="s">
        <v>1098</v>
      </c>
      <c r="K101" s="381">
        <v>1</v>
      </c>
      <c r="L101" s="380">
        <v>124</v>
      </c>
    </row>
    <row r="102" spans="1:12">
      <c r="A102" s="378" t="s">
        <v>97</v>
      </c>
      <c r="B102" s="379" t="s">
        <v>952</v>
      </c>
      <c r="C102" s="380" t="s">
        <v>1099</v>
      </c>
      <c r="D102" s="381">
        <v>1</v>
      </c>
      <c r="E102" s="380">
        <v>100</v>
      </c>
      <c r="H102" s="378" t="s">
        <v>67</v>
      </c>
      <c r="I102" s="379" t="s">
        <v>950</v>
      </c>
      <c r="J102" s="380" t="s">
        <v>1100</v>
      </c>
      <c r="K102" s="381">
        <v>1</v>
      </c>
      <c r="L102" s="380">
        <v>101</v>
      </c>
    </row>
    <row r="103" spans="1:12">
      <c r="A103" s="378" t="s">
        <v>97</v>
      </c>
      <c r="B103" s="379" t="s">
        <v>948</v>
      </c>
      <c r="C103" s="380" t="s">
        <v>1101</v>
      </c>
      <c r="D103" s="381">
        <v>1</v>
      </c>
      <c r="E103" s="380">
        <v>56</v>
      </c>
      <c r="H103" s="378" t="s">
        <v>67</v>
      </c>
      <c r="I103" s="379" t="s">
        <v>950</v>
      </c>
      <c r="J103" s="380" t="s">
        <v>1102</v>
      </c>
      <c r="K103" s="381">
        <v>1</v>
      </c>
      <c r="L103" s="380">
        <v>123</v>
      </c>
    </row>
    <row r="104" spans="1:12">
      <c r="A104" s="378" t="s">
        <v>97</v>
      </c>
      <c r="B104" s="379" t="s">
        <v>952</v>
      </c>
      <c r="C104" s="380" t="s">
        <v>1103</v>
      </c>
      <c r="D104" s="381">
        <v>1</v>
      </c>
      <c r="E104" s="380">
        <v>68</v>
      </c>
      <c r="H104" s="378" t="s">
        <v>67</v>
      </c>
      <c r="I104" s="379" t="s">
        <v>950</v>
      </c>
      <c r="J104" s="380" t="s">
        <v>1104</v>
      </c>
      <c r="K104" s="381">
        <v>1</v>
      </c>
      <c r="L104" s="380">
        <v>70</v>
      </c>
    </row>
    <row r="105" spans="1:12">
      <c r="A105" s="378" t="s">
        <v>97</v>
      </c>
      <c r="B105" s="379" t="s">
        <v>948</v>
      </c>
      <c r="C105" s="380" t="s">
        <v>1103</v>
      </c>
      <c r="D105" s="381"/>
      <c r="E105" s="380">
        <v>68</v>
      </c>
      <c r="H105" s="378" t="s">
        <v>67</v>
      </c>
      <c r="I105" s="379" t="s">
        <v>950</v>
      </c>
      <c r="J105" s="380" t="s">
        <v>1105</v>
      </c>
      <c r="K105" s="381">
        <v>1</v>
      </c>
      <c r="L105" s="380">
        <v>138</v>
      </c>
    </row>
    <row r="106" spans="1:12">
      <c r="A106" s="378" t="s">
        <v>97</v>
      </c>
      <c r="B106" s="379" t="s">
        <v>985</v>
      </c>
      <c r="C106" s="380" t="s">
        <v>1103</v>
      </c>
      <c r="D106" s="381">
        <v>1</v>
      </c>
      <c r="E106" s="380">
        <v>60</v>
      </c>
      <c r="H106" s="378" t="s">
        <v>67</v>
      </c>
      <c r="I106" s="379" t="s">
        <v>950</v>
      </c>
      <c r="J106" s="380" t="s">
        <v>1106</v>
      </c>
      <c r="K106" s="381">
        <v>1</v>
      </c>
      <c r="L106" s="380">
        <v>201</v>
      </c>
    </row>
    <row r="107" spans="1:12">
      <c r="A107" s="378" t="s">
        <v>97</v>
      </c>
      <c r="B107" s="379" t="s">
        <v>952</v>
      </c>
      <c r="C107" s="380" t="s">
        <v>1107</v>
      </c>
      <c r="D107" s="381">
        <v>1</v>
      </c>
      <c r="E107" s="380">
        <v>56</v>
      </c>
      <c r="H107" s="378" t="s">
        <v>67</v>
      </c>
      <c r="I107" s="379" t="s">
        <v>950</v>
      </c>
      <c r="J107" s="380" t="s">
        <v>1108</v>
      </c>
      <c r="K107" s="381">
        <v>1</v>
      </c>
      <c r="L107" s="380">
        <v>51</v>
      </c>
    </row>
    <row r="108" spans="1:12">
      <c r="A108" s="378" t="s">
        <v>97</v>
      </c>
      <c r="B108" s="379" t="s">
        <v>948</v>
      </c>
      <c r="C108" s="380" t="s">
        <v>1107</v>
      </c>
      <c r="D108" s="381"/>
      <c r="E108" s="380">
        <v>56</v>
      </c>
      <c r="H108" s="378" t="s">
        <v>67</v>
      </c>
      <c r="I108" s="379" t="s">
        <v>950</v>
      </c>
      <c r="J108" s="380" t="s">
        <v>1109</v>
      </c>
      <c r="K108" s="381">
        <v>1</v>
      </c>
      <c r="L108" s="380">
        <v>383</v>
      </c>
    </row>
    <row r="109" spans="1:12">
      <c r="A109" s="378" t="s">
        <v>97</v>
      </c>
      <c r="B109" s="379" t="s">
        <v>952</v>
      </c>
      <c r="C109" s="380" t="s">
        <v>1110</v>
      </c>
      <c r="D109" s="381">
        <v>1</v>
      </c>
      <c r="E109" s="380">
        <v>92</v>
      </c>
      <c r="H109" s="378" t="s">
        <v>67</v>
      </c>
      <c r="I109" s="379" t="s">
        <v>950</v>
      </c>
      <c r="J109" s="380" t="s">
        <v>1111</v>
      </c>
      <c r="K109" s="381">
        <v>1</v>
      </c>
      <c r="L109" s="380">
        <v>49</v>
      </c>
    </row>
    <row r="110" spans="1:12">
      <c r="A110" s="378" t="s">
        <v>97</v>
      </c>
      <c r="B110" s="379" t="s">
        <v>983</v>
      </c>
      <c r="C110" s="380" t="s">
        <v>1110</v>
      </c>
      <c r="D110" s="381">
        <v>1</v>
      </c>
      <c r="E110" s="380">
        <v>92</v>
      </c>
      <c r="H110" s="378" t="s">
        <v>67</v>
      </c>
      <c r="I110" s="379" t="s">
        <v>950</v>
      </c>
      <c r="J110" s="380" t="s">
        <v>1112</v>
      </c>
      <c r="K110" s="381">
        <v>1</v>
      </c>
      <c r="L110" s="380">
        <v>49</v>
      </c>
    </row>
    <row r="111" spans="1:12">
      <c r="A111" s="378" t="s">
        <v>97</v>
      </c>
      <c r="B111" s="379" t="s">
        <v>948</v>
      </c>
      <c r="C111" s="380" t="s">
        <v>1110</v>
      </c>
      <c r="D111" s="381"/>
      <c r="E111" s="380">
        <v>92</v>
      </c>
      <c r="H111" s="378" t="s">
        <v>67</v>
      </c>
      <c r="I111" s="379" t="s">
        <v>950</v>
      </c>
      <c r="J111" s="380" t="s">
        <v>1113</v>
      </c>
      <c r="K111" s="381">
        <v>1</v>
      </c>
      <c r="L111" s="380">
        <v>167</v>
      </c>
    </row>
    <row r="112" spans="1:12">
      <c r="A112" s="378" t="s">
        <v>97</v>
      </c>
      <c r="B112" s="379" t="s">
        <v>952</v>
      </c>
      <c r="C112" s="380" t="s">
        <v>1114</v>
      </c>
      <c r="D112" s="381">
        <v>1</v>
      </c>
      <c r="E112" s="380">
        <v>94</v>
      </c>
      <c r="H112" s="378" t="s">
        <v>67</v>
      </c>
      <c r="I112" s="379" t="s">
        <v>950</v>
      </c>
      <c r="J112" s="380" t="s">
        <v>1115</v>
      </c>
      <c r="K112" s="381">
        <v>1</v>
      </c>
      <c r="L112" s="380">
        <v>81</v>
      </c>
    </row>
    <row r="113" spans="1:12">
      <c r="A113" s="378" t="s">
        <v>97</v>
      </c>
      <c r="B113" s="379" t="s">
        <v>948</v>
      </c>
      <c r="C113" s="380" t="s">
        <v>1114</v>
      </c>
      <c r="D113" s="381"/>
      <c r="E113" s="380">
        <v>94</v>
      </c>
      <c r="H113" s="378" t="s">
        <v>67</v>
      </c>
      <c r="I113" s="379" t="s">
        <v>950</v>
      </c>
      <c r="J113" s="380" t="s">
        <v>1116</v>
      </c>
      <c r="K113" s="381">
        <v>1</v>
      </c>
      <c r="L113" s="380">
        <v>91</v>
      </c>
    </row>
    <row r="114" spans="1:12">
      <c r="A114" s="378" t="s">
        <v>97</v>
      </c>
      <c r="B114" s="379" t="s">
        <v>952</v>
      </c>
      <c r="C114" s="380" t="s">
        <v>1117</v>
      </c>
      <c r="D114" s="381">
        <v>1</v>
      </c>
      <c r="E114" s="380">
        <v>118</v>
      </c>
      <c r="H114" s="378" t="s">
        <v>67</v>
      </c>
      <c r="I114" s="379" t="s">
        <v>950</v>
      </c>
      <c r="J114" s="380" t="s">
        <v>1118</v>
      </c>
      <c r="K114" s="381">
        <v>1</v>
      </c>
      <c r="L114" s="380">
        <v>64</v>
      </c>
    </row>
    <row r="115" spans="1:12">
      <c r="A115" s="378" t="s">
        <v>97</v>
      </c>
      <c r="B115" s="379" t="s">
        <v>948</v>
      </c>
      <c r="C115" s="380" t="s">
        <v>1117</v>
      </c>
      <c r="D115" s="381"/>
      <c r="E115" s="380">
        <v>66</v>
      </c>
      <c r="H115" s="378" t="s">
        <v>67</v>
      </c>
      <c r="I115" s="379" t="s">
        <v>950</v>
      </c>
      <c r="J115" s="380" t="s">
        <v>1119</v>
      </c>
      <c r="K115" s="381">
        <v>1</v>
      </c>
      <c r="L115" s="380">
        <v>52</v>
      </c>
    </row>
    <row r="116" spans="1:12">
      <c r="A116" s="378" t="s">
        <v>97</v>
      </c>
      <c r="B116" s="379" t="s">
        <v>952</v>
      </c>
      <c r="C116" s="380" t="s">
        <v>1120</v>
      </c>
      <c r="D116" s="381">
        <v>1</v>
      </c>
      <c r="E116" s="380">
        <v>80</v>
      </c>
      <c r="H116" s="378" t="s">
        <v>67</v>
      </c>
      <c r="I116" s="379" t="s">
        <v>1053</v>
      </c>
      <c r="J116" s="380" t="s">
        <v>1121</v>
      </c>
      <c r="K116" s="381">
        <v>1</v>
      </c>
      <c r="L116" s="380">
        <v>97</v>
      </c>
    </row>
    <row r="117" spans="1:12">
      <c r="A117" s="378" t="s">
        <v>97</v>
      </c>
      <c r="B117" s="379" t="s">
        <v>983</v>
      </c>
      <c r="C117" s="380" t="s">
        <v>1120</v>
      </c>
      <c r="D117" s="381">
        <v>1</v>
      </c>
      <c r="E117" s="380">
        <v>110</v>
      </c>
      <c r="H117" s="378" t="s">
        <v>67</v>
      </c>
      <c r="I117" s="379" t="s">
        <v>950</v>
      </c>
      <c r="J117" s="380" t="s">
        <v>1121</v>
      </c>
      <c r="K117" s="381"/>
      <c r="L117" s="380">
        <v>42</v>
      </c>
    </row>
    <row r="118" spans="1:12">
      <c r="A118" s="378" t="s">
        <v>97</v>
      </c>
      <c r="B118" s="379" t="s">
        <v>948</v>
      </c>
      <c r="C118" s="380" t="s">
        <v>1120</v>
      </c>
      <c r="D118" s="381"/>
      <c r="E118" s="380">
        <v>60</v>
      </c>
      <c r="H118" s="378" t="s">
        <v>67</v>
      </c>
      <c r="I118" s="379" t="s">
        <v>950</v>
      </c>
      <c r="J118" s="380" t="s">
        <v>1122</v>
      </c>
      <c r="K118" s="381">
        <v>1</v>
      </c>
      <c r="L118" s="380">
        <v>124</v>
      </c>
    </row>
    <row r="119" spans="1:12">
      <c r="A119" s="378" t="s">
        <v>97</v>
      </c>
      <c r="B119" s="379" t="s">
        <v>985</v>
      </c>
      <c r="C119" s="380" t="s">
        <v>1120</v>
      </c>
      <c r="D119" s="381"/>
      <c r="E119" s="380">
        <v>110</v>
      </c>
      <c r="H119" s="378" t="s">
        <v>67</v>
      </c>
      <c r="I119" s="379" t="s">
        <v>950</v>
      </c>
      <c r="J119" s="380" t="s">
        <v>1123</v>
      </c>
      <c r="K119" s="381">
        <v>1</v>
      </c>
      <c r="L119" s="380">
        <v>163</v>
      </c>
    </row>
    <row r="120" spans="1:12">
      <c r="A120" s="378" t="s">
        <v>97</v>
      </c>
      <c r="B120" s="379" t="s">
        <v>952</v>
      </c>
      <c r="C120" s="380" t="s">
        <v>1124</v>
      </c>
      <c r="D120" s="381">
        <v>1</v>
      </c>
      <c r="E120" s="380">
        <v>88</v>
      </c>
      <c r="H120" s="378" t="s">
        <v>67</v>
      </c>
      <c r="I120" s="379" t="s">
        <v>950</v>
      </c>
      <c r="J120" s="380" t="s">
        <v>1125</v>
      </c>
      <c r="K120" s="381">
        <v>1</v>
      </c>
      <c r="L120" s="380">
        <v>186</v>
      </c>
    </row>
    <row r="121" spans="1:12">
      <c r="A121" s="378" t="s">
        <v>97</v>
      </c>
      <c r="B121" s="379" t="s">
        <v>952</v>
      </c>
      <c r="C121" s="380" t="s">
        <v>1126</v>
      </c>
      <c r="D121" s="381">
        <v>1</v>
      </c>
      <c r="E121" s="380">
        <v>108</v>
      </c>
      <c r="H121" s="378" t="s">
        <v>67</v>
      </c>
      <c r="I121" s="379" t="s">
        <v>950</v>
      </c>
      <c r="J121" s="380" t="s">
        <v>1127</v>
      </c>
      <c r="K121" s="381">
        <v>1</v>
      </c>
      <c r="L121" s="380">
        <v>71</v>
      </c>
    </row>
    <row r="122" spans="1:12">
      <c r="A122" s="378" t="s">
        <v>97</v>
      </c>
      <c r="B122" s="379" t="s">
        <v>983</v>
      </c>
      <c r="C122" s="380" t="s">
        <v>1126</v>
      </c>
      <c r="D122" s="381">
        <v>1</v>
      </c>
      <c r="E122" s="380">
        <v>102</v>
      </c>
      <c r="H122" s="378" t="s">
        <v>67</v>
      </c>
      <c r="I122" s="379" t="s">
        <v>950</v>
      </c>
      <c r="J122" s="380" t="s">
        <v>1128</v>
      </c>
      <c r="K122" s="381">
        <v>1</v>
      </c>
      <c r="L122" s="380">
        <v>109</v>
      </c>
    </row>
    <row r="123" spans="1:12">
      <c r="A123" s="378" t="s">
        <v>97</v>
      </c>
      <c r="B123" s="379" t="s">
        <v>985</v>
      </c>
      <c r="C123" s="380" t="s">
        <v>1126</v>
      </c>
      <c r="D123" s="381"/>
      <c r="E123" s="380">
        <v>102</v>
      </c>
      <c r="H123" s="378" t="s">
        <v>67</v>
      </c>
      <c r="I123" s="379" t="s">
        <v>950</v>
      </c>
      <c r="J123" s="380" t="s">
        <v>1129</v>
      </c>
      <c r="K123" s="381">
        <v>1</v>
      </c>
      <c r="L123" s="380">
        <v>155</v>
      </c>
    </row>
    <row r="124" spans="1:12">
      <c r="A124" s="378" t="s">
        <v>97</v>
      </c>
      <c r="B124" s="379" t="s">
        <v>952</v>
      </c>
      <c r="C124" s="380" t="s">
        <v>1130</v>
      </c>
      <c r="D124" s="381">
        <v>1</v>
      </c>
      <c r="E124" s="380">
        <v>76</v>
      </c>
      <c r="H124" s="378" t="s">
        <v>67</v>
      </c>
      <c r="I124" s="379" t="s">
        <v>950</v>
      </c>
      <c r="J124" s="380" t="s">
        <v>1131</v>
      </c>
      <c r="K124" s="381">
        <v>1</v>
      </c>
      <c r="L124" s="380">
        <v>175</v>
      </c>
    </row>
    <row r="125" spans="1:12">
      <c r="A125" s="378" t="s">
        <v>97</v>
      </c>
      <c r="B125" s="379" t="s">
        <v>983</v>
      </c>
      <c r="C125" s="380" t="s">
        <v>1130</v>
      </c>
      <c r="D125" s="381">
        <v>1</v>
      </c>
      <c r="E125" s="380">
        <v>84</v>
      </c>
      <c r="H125" s="378" t="s">
        <v>67</v>
      </c>
      <c r="I125" s="379" t="s">
        <v>950</v>
      </c>
      <c r="J125" s="380" t="s">
        <v>1132</v>
      </c>
      <c r="K125" s="381">
        <v>1</v>
      </c>
      <c r="L125" s="380">
        <v>307</v>
      </c>
    </row>
    <row r="126" spans="1:12">
      <c r="A126" s="378" t="s">
        <v>97</v>
      </c>
      <c r="B126" s="379" t="s">
        <v>948</v>
      </c>
      <c r="C126" s="380" t="s">
        <v>1130</v>
      </c>
      <c r="D126" s="381"/>
      <c r="E126" s="380">
        <v>76</v>
      </c>
      <c r="H126" s="378" t="s">
        <v>67</v>
      </c>
      <c r="I126" s="379" t="s">
        <v>950</v>
      </c>
      <c r="J126" s="380" t="s">
        <v>1133</v>
      </c>
      <c r="K126" s="381">
        <v>1</v>
      </c>
      <c r="L126" s="380">
        <v>97</v>
      </c>
    </row>
    <row r="127" spans="1:12">
      <c r="A127" s="378" t="s">
        <v>97</v>
      </c>
      <c r="B127" s="379" t="s">
        <v>985</v>
      </c>
      <c r="C127" s="380" t="s">
        <v>1130</v>
      </c>
      <c r="D127" s="381"/>
      <c r="E127" s="380">
        <v>84</v>
      </c>
      <c r="H127" s="378" t="s">
        <v>67</v>
      </c>
      <c r="I127" s="379" t="s">
        <v>950</v>
      </c>
      <c r="J127" s="380" t="s">
        <v>1134</v>
      </c>
      <c r="K127" s="381">
        <v>1</v>
      </c>
      <c r="L127" s="380">
        <v>130</v>
      </c>
    </row>
    <row r="128" spans="1:12">
      <c r="A128" s="378" t="s">
        <v>97</v>
      </c>
      <c r="B128" s="379" t="s">
        <v>952</v>
      </c>
      <c r="C128" s="380" t="s">
        <v>1135</v>
      </c>
      <c r="D128" s="381">
        <v>1</v>
      </c>
      <c r="E128" s="380">
        <v>76</v>
      </c>
      <c r="H128" s="378" t="s">
        <v>67</v>
      </c>
      <c r="I128" s="379" t="s">
        <v>950</v>
      </c>
      <c r="J128" s="380" t="s">
        <v>1136</v>
      </c>
      <c r="K128" s="381">
        <v>1</v>
      </c>
      <c r="L128" s="380">
        <v>82</v>
      </c>
    </row>
    <row r="129" spans="1:12">
      <c r="A129" s="378" t="s">
        <v>97</v>
      </c>
      <c r="B129" s="379" t="s">
        <v>948</v>
      </c>
      <c r="C129" s="380" t="s">
        <v>1135</v>
      </c>
      <c r="D129" s="381"/>
      <c r="E129" s="380">
        <v>66</v>
      </c>
      <c r="H129" s="378" t="s">
        <v>67</v>
      </c>
      <c r="I129" s="379" t="s">
        <v>950</v>
      </c>
      <c r="J129" s="380" t="s">
        <v>1137</v>
      </c>
      <c r="K129" s="381">
        <v>1</v>
      </c>
      <c r="L129" s="380">
        <v>132</v>
      </c>
    </row>
    <row r="130" spans="1:12">
      <c r="A130" s="378" t="s">
        <v>97</v>
      </c>
      <c r="B130" s="379" t="s">
        <v>985</v>
      </c>
      <c r="C130" s="380" t="s">
        <v>1135</v>
      </c>
      <c r="D130" s="381">
        <v>1</v>
      </c>
      <c r="E130" s="380">
        <v>150</v>
      </c>
      <c r="H130" s="378" t="s">
        <v>67</v>
      </c>
      <c r="I130" s="379" t="s">
        <v>950</v>
      </c>
      <c r="J130" s="380" t="s">
        <v>1138</v>
      </c>
      <c r="K130" s="381">
        <v>1</v>
      </c>
      <c r="L130" s="380">
        <v>97</v>
      </c>
    </row>
    <row r="131" spans="1:12">
      <c r="A131" s="378" t="s">
        <v>97</v>
      </c>
      <c r="B131" s="379" t="s">
        <v>952</v>
      </c>
      <c r="C131" s="380" t="s">
        <v>1139</v>
      </c>
      <c r="D131" s="381">
        <v>1</v>
      </c>
      <c r="E131" s="380">
        <v>46</v>
      </c>
      <c r="H131" s="378" t="s">
        <v>67</v>
      </c>
      <c r="I131" s="379" t="s">
        <v>950</v>
      </c>
      <c r="J131" s="380" t="s">
        <v>1140</v>
      </c>
      <c r="K131" s="381">
        <v>1</v>
      </c>
      <c r="L131" s="380">
        <v>71</v>
      </c>
    </row>
    <row r="132" spans="1:12">
      <c r="A132" s="378" t="s">
        <v>97</v>
      </c>
      <c r="B132" s="379" t="s">
        <v>948</v>
      </c>
      <c r="C132" s="380" t="s">
        <v>1139</v>
      </c>
      <c r="D132" s="381"/>
      <c r="E132" s="380">
        <v>40</v>
      </c>
      <c r="H132" s="378" t="s">
        <v>67</v>
      </c>
      <c r="I132" s="379" t="s">
        <v>950</v>
      </c>
      <c r="J132" s="380" t="s">
        <v>1141</v>
      </c>
      <c r="K132" s="381">
        <v>1</v>
      </c>
      <c r="L132" s="380">
        <v>221</v>
      </c>
    </row>
    <row r="133" spans="1:12">
      <c r="A133" s="378" t="s">
        <v>97</v>
      </c>
      <c r="B133" s="379" t="s">
        <v>948</v>
      </c>
      <c r="C133" s="380" t="s">
        <v>1142</v>
      </c>
      <c r="D133" s="381">
        <v>1</v>
      </c>
      <c r="E133" s="380">
        <v>90</v>
      </c>
      <c r="H133" s="378" t="s">
        <v>67</v>
      </c>
      <c r="I133" s="379" t="s">
        <v>950</v>
      </c>
      <c r="J133" s="380" t="s">
        <v>1143</v>
      </c>
      <c r="K133" s="381">
        <v>1</v>
      </c>
      <c r="L133" s="380">
        <v>48</v>
      </c>
    </row>
    <row r="134" spans="1:12">
      <c r="A134" s="378" t="s">
        <v>97</v>
      </c>
      <c r="B134" s="379" t="s">
        <v>985</v>
      </c>
      <c r="C134" s="380" t="s">
        <v>1144</v>
      </c>
      <c r="D134" s="381">
        <v>1</v>
      </c>
      <c r="E134" s="380">
        <v>140</v>
      </c>
      <c r="H134" s="378" t="s">
        <v>67</v>
      </c>
      <c r="I134" s="379" t="s">
        <v>950</v>
      </c>
      <c r="J134" s="380" t="s">
        <v>1145</v>
      </c>
      <c r="K134" s="381">
        <v>1</v>
      </c>
      <c r="L134" s="380">
        <v>141</v>
      </c>
    </row>
    <row r="135" spans="1:12">
      <c r="A135" s="378" t="s">
        <v>97</v>
      </c>
      <c r="B135" s="379" t="s">
        <v>985</v>
      </c>
      <c r="C135" s="380" t="s">
        <v>1146</v>
      </c>
      <c r="D135" s="381">
        <v>1</v>
      </c>
      <c r="E135" s="380">
        <v>68</v>
      </c>
      <c r="H135" s="378" t="s">
        <v>67</v>
      </c>
      <c r="I135" s="379" t="s">
        <v>950</v>
      </c>
      <c r="J135" s="380" t="s">
        <v>1147</v>
      </c>
      <c r="K135" s="381">
        <v>1</v>
      </c>
      <c r="L135" s="380">
        <v>102</v>
      </c>
    </row>
    <row r="136" spans="1:12">
      <c r="A136" s="378" t="s">
        <v>97</v>
      </c>
      <c r="B136" s="379" t="s">
        <v>952</v>
      </c>
      <c r="C136" s="380" t="s">
        <v>1148</v>
      </c>
      <c r="D136" s="381">
        <v>1</v>
      </c>
      <c r="E136" s="380">
        <v>60</v>
      </c>
      <c r="H136" s="378" t="s">
        <v>67</v>
      </c>
      <c r="I136" s="379" t="s">
        <v>950</v>
      </c>
      <c r="J136" s="380" t="s">
        <v>1149</v>
      </c>
      <c r="K136" s="381">
        <v>1</v>
      </c>
      <c r="L136" s="380">
        <v>59</v>
      </c>
    </row>
    <row r="137" spans="1:12">
      <c r="A137" s="378" t="s">
        <v>97</v>
      </c>
      <c r="B137" s="379" t="s">
        <v>948</v>
      </c>
      <c r="C137" s="380" t="s">
        <v>1148</v>
      </c>
      <c r="D137" s="381"/>
      <c r="E137" s="380">
        <v>52</v>
      </c>
      <c r="H137" s="378" t="s">
        <v>67</v>
      </c>
      <c r="I137" s="379" t="s">
        <v>950</v>
      </c>
      <c r="J137" s="380" t="s">
        <v>1150</v>
      </c>
      <c r="K137" s="381">
        <v>1</v>
      </c>
      <c r="L137" s="380">
        <v>58</v>
      </c>
    </row>
    <row r="138" spans="1:12">
      <c r="A138" s="378" t="s">
        <v>97</v>
      </c>
      <c r="B138" s="379" t="s">
        <v>952</v>
      </c>
      <c r="C138" s="380" t="s">
        <v>1151</v>
      </c>
      <c r="D138" s="381">
        <v>1</v>
      </c>
      <c r="E138" s="380">
        <v>80</v>
      </c>
      <c r="H138" s="378" t="s">
        <v>67</v>
      </c>
      <c r="I138" s="379" t="s">
        <v>950</v>
      </c>
      <c r="J138" s="380" t="s">
        <v>1152</v>
      </c>
      <c r="K138" s="381">
        <v>1</v>
      </c>
      <c r="L138" s="380">
        <v>202</v>
      </c>
    </row>
    <row r="139" spans="1:12">
      <c r="A139" s="378" t="s">
        <v>97</v>
      </c>
      <c r="B139" s="379" t="s">
        <v>948</v>
      </c>
      <c r="C139" s="380" t="s">
        <v>1151</v>
      </c>
      <c r="D139" s="381"/>
      <c r="E139" s="380">
        <v>80</v>
      </c>
      <c r="H139" s="378" t="s">
        <v>67</v>
      </c>
      <c r="I139" s="379" t="s">
        <v>1053</v>
      </c>
      <c r="J139" s="380" t="s">
        <v>1153</v>
      </c>
      <c r="K139" s="381">
        <v>1</v>
      </c>
      <c r="L139" s="380">
        <v>150</v>
      </c>
    </row>
    <row r="140" spans="1:12">
      <c r="A140" s="378" t="s">
        <v>97</v>
      </c>
      <c r="B140" s="379" t="s">
        <v>948</v>
      </c>
      <c r="C140" s="380" t="s">
        <v>1154</v>
      </c>
      <c r="D140" s="381">
        <v>1</v>
      </c>
      <c r="E140" s="380">
        <v>50</v>
      </c>
      <c r="H140" s="378" t="s">
        <v>67</v>
      </c>
      <c r="I140" s="379" t="s">
        <v>950</v>
      </c>
      <c r="J140" s="380" t="s">
        <v>1153</v>
      </c>
      <c r="K140" s="381">
        <v>1</v>
      </c>
      <c r="L140" s="380">
        <v>108</v>
      </c>
    </row>
    <row r="141" spans="1:12">
      <c r="A141" s="378" t="s">
        <v>97</v>
      </c>
      <c r="B141" s="379" t="s">
        <v>948</v>
      </c>
      <c r="C141" s="380" t="s">
        <v>1155</v>
      </c>
      <c r="D141" s="381">
        <v>1</v>
      </c>
      <c r="E141" s="380">
        <v>50</v>
      </c>
      <c r="H141" s="378" t="s">
        <v>67</v>
      </c>
      <c r="I141" s="379" t="s">
        <v>950</v>
      </c>
      <c r="J141" s="380" t="s">
        <v>1156</v>
      </c>
      <c r="K141" s="381">
        <v>1</v>
      </c>
      <c r="L141" s="380">
        <v>74</v>
      </c>
    </row>
    <row r="142" spans="1:12">
      <c r="A142" s="378" t="s">
        <v>97</v>
      </c>
      <c r="B142" s="379" t="s">
        <v>952</v>
      </c>
      <c r="C142" s="380" t="s">
        <v>1157</v>
      </c>
      <c r="D142" s="381">
        <v>1</v>
      </c>
      <c r="E142" s="380">
        <v>50</v>
      </c>
      <c r="H142" s="378" t="s">
        <v>67</v>
      </c>
      <c r="I142" s="379" t="s">
        <v>950</v>
      </c>
      <c r="J142" s="380" t="s">
        <v>1158</v>
      </c>
      <c r="K142" s="381">
        <v>1</v>
      </c>
      <c r="L142" s="380">
        <v>120</v>
      </c>
    </row>
    <row r="143" spans="1:12">
      <c r="A143" s="378" t="s">
        <v>97</v>
      </c>
      <c r="B143" s="379" t="s">
        <v>983</v>
      </c>
      <c r="C143" s="380" t="s">
        <v>1157</v>
      </c>
      <c r="D143" s="381">
        <v>1</v>
      </c>
      <c r="E143" s="380">
        <v>60</v>
      </c>
      <c r="H143" s="378" t="s">
        <v>67</v>
      </c>
      <c r="I143" s="379" t="s">
        <v>950</v>
      </c>
      <c r="J143" s="380" t="s">
        <v>1159</v>
      </c>
      <c r="K143" s="381">
        <v>1</v>
      </c>
      <c r="L143" s="380">
        <v>108</v>
      </c>
    </row>
    <row r="144" spans="1:12">
      <c r="A144" s="378" t="s">
        <v>97</v>
      </c>
      <c r="B144" s="379" t="s">
        <v>948</v>
      </c>
      <c r="C144" s="380" t="s">
        <v>1157</v>
      </c>
      <c r="D144" s="381"/>
      <c r="E144" s="380">
        <v>50</v>
      </c>
      <c r="H144" s="378" t="s">
        <v>67</v>
      </c>
      <c r="I144" s="379" t="s">
        <v>1053</v>
      </c>
      <c r="J144" s="380" t="s">
        <v>1160</v>
      </c>
      <c r="K144" s="381">
        <v>1</v>
      </c>
      <c r="L144" s="380">
        <v>38</v>
      </c>
    </row>
    <row r="145" spans="1:12">
      <c r="A145" s="378" t="s">
        <v>97</v>
      </c>
      <c r="B145" s="379" t="s">
        <v>985</v>
      </c>
      <c r="C145" s="380" t="s">
        <v>1157</v>
      </c>
      <c r="D145" s="381"/>
      <c r="E145" s="380">
        <v>60</v>
      </c>
      <c r="H145" s="378" t="s">
        <v>67</v>
      </c>
      <c r="I145" s="379" t="s">
        <v>950</v>
      </c>
      <c r="J145" s="380" t="s">
        <v>1160</v>
      </c>
      <c r="K145" s="381"/>
      <c r="L145" s="380">
        <v>54</v>
      </c>
    </row>
    <row r="146" spans="1:12">
      <c r="A146" s="378" t="s">
        <v>97</v>
      </c>
      <c r="B146" s="379" t="s">
        <v>983</v>
      </c>
      <c r="C146" s="380" t="s">
        <v>1161</v>
      </c>
      <c r="D146" s="381">
        <v>1</v>
      </c>
      <c r="E146" s="380">
        <v>40</v>
      </c>
      <c r="H146" s="378" t="s">
        <v>67</v>
      </c>
      <c r="I146" s="379" t="s">
        <v>950</v>
      </c>
      <c r="J146" s="380" t="s">
        <v>1162</v>
      </c>
      <c r="K146" s="381">
        <v>1</v>
      </c>
      <c r="L146" s="380">
        <v>42</v>
      </c>
    </row>
    <row r="147" spans="1:12">
      <c r="A147" s="378" t="s">
        <v>97</v>
      </c>
      <c r="B147" s="379" t="s">
        <v>948</v>
      </c>
      <c r="C147" s="380" t="s">
        <v>1161</v>
      </c>
      <c r="D147" s="381">
        <v>1</v>
      </c>
      <c r="E147" s="380">
        <v>50</v>
      </c>
      <c r="H147" s="378" t="s">
        <v>67</v>
      </c>
      <c r="I147" s="379" t="s">
        <v>950</v>
      </c>
      <c r="J147" s="380" t="s">
        <v>1163</v>
      </c>
      <c r="K147" s="381">
        <v>1</v>
      </c>
      <c r="L147" s="380">
        <v>92</v>
      </c>
    </row>
    <row r="148" spans="1:12">
      <c r="A148" s="378" t="s">
        <v>97</v>
      </c>
      <c r="B148" s="379" t="s">
        <v>952</v>
      </c>
      <c r="C148" s="380" t="s">
        <v>1164</v>
      </c>
      <c r="D148" s="381">
        <v>1</v>
      </c>
      <c r="E148" s="380">
        <v>30</v>
      </c>
      <c r="H148" s="378" t="s">
        <v>67</v>
      </c>
      <c r="I148" s="379" t="s">
        <v>950</v>
      </c>
      <c r="J148" s="380" t="s">
        <v>1165</v>
      </c>
      <c r="K148" s="381">
        <v>1</v>
      </c>
      <c r="L148" s="380">
        <v>75</v>
      </c>
    </row>
    <row r="149" spans="1:12">
      <c r="A149" s="378" t="s">
        <v>97</v>
      </c>
      <c r="B149" s="379" t="s">
        <v>983</v>
      </c>
      <c r="C149" s="380" t="s">
        <v>1164</v>
      </c>
      <c r="D149" s="381">
        <v>1</v>
      </c>
      <c r="E149" s="380">
        <v>120</v>
      </c>
      <c r="H149" s="378" t="s">
        <v>67</v>
      </c>
      <c r="I149" s="379" t="s">
        <v>950</v>
      </c>
      <c r="J149" s="380" t="s">
        <v>1166</v>
      </c>
      <c r="K149" s="381">
        <v>1</v>
      </c>
      <c r="L149" s="380">
        <v>57</v>
      </c>
    </row>
    <row r="150" spans="1:12">
      <c r="A150" s="378" t="s">
        <v>97</v>
      </c>
      <c r="B150" s="379" t="s">
        <v>948</v>
      </c>
      <c r="C150" s="380" t="s">
        <v>1164</v>
      </c>
      <c r="D150" s="381"/>
      <c r="E150" s="380">
        <v>50</v>
      </c>
      <c r="H150" s="378" t="s">
        <v>67</v>
      </c>
      <c r="I150" s="379" t="s">
        <v>950</v>
      </c>
      <c r="J150" s="380" t="s">
        <v>1167</v>
      </c>
      <c r="K150" s="381">
        <v>1</v>
      </c>
      <c r="L150" s="380">
        <v>111</v>
      </c>
    </row>
    <row r="151" spans="1:12">
      <c r="A151" s="378" t="s">
        <v>97</v>
      </c>
      <c r="B151" s="379" t="s">
        <v>985</v>
      </c>
      <c r="C151" s="380" t="s">
        <v>1164</v>
      </c>
      <c r="D151" s="381"/>
      <c r="E151" s="380">
        <v>120</v>
      </c>
      <c r="H151" s="378" t="s">
        <v>67</v>
      </c>
      <c r="I151" s="379" t="s">
        <v>950</v>
      </c>
      <c r="J151" s="380" t="s">
        <v>1168</v>
      </c>
      <c r="K151" s="381">
        <v>1</v>
      </c>
      <c r="L151" s="380">
        <v>201</v>
      </c>
    </row>
    <row r="152" spans="1:12">
      <c r="A152" s="378" t="s">
        <v>97</v>
      </c>
      <c r="B152" s="379" t="s">
        <v>985</v>
      </c>
      <c r="C152" s="380" t="s">
        <v>1169</v>
      </c>
      <c r="D152" s="381">
        <v>1</v>
      </c>
      <c r="E152" s="380">
        <v>70</v>
      </c>
      <c r="H152" s="378" t="s">
        <v>67</v>
      </c>
      <c r="I152" s="379" t="s">
        <v>950</v>
      </c>
      <c r="J152" s="380" t="s">
        <v>1170</v>
      </c>
      <c r="K152" s="381">
        <v>1</v>
      </c>
      <c r="L152" s="380">
        <v>109</v>
      </c>
    </row>
    <row r="153" spans="1:12">
      <c r="A153" s="378" t="s">
        <v>97</v>
      </c>
      <c r="B153" s="379" t="s">
        <v>952</v>
      </c>
      <c r="C153" s="380" t="s">
        <v>1171</v>
      </c>
      <c r="D153" s="381">
        <v>1</v>
      </c>
      <c r="E153" s="380">
        <v>40</v>
      </c>
      <c r="H153" s="378" t="s">
        <v>67</v>
      </c>
      <c r="I153" s="379" t="s">
        <v>950</v>
      </c>
      <c r="J153" s="380" t="s">
        <v>1172</v>
      </c>
      <c r="K153" s="381">
        <v>1</v>
      </c>
      <c r="L153" s="380">
        <v>136</v>
      </c>
    </row>
    <row r="154" spans="1:12">
      <c r="A154" s="378" t="s">
        <v>97</v>
      </c>
      <c r="B154" s="379" t="s">
        <v>983</v>
      </c>
      <c r="C154" s="380" t="s">
        <v>1171</v>
      </c>
      <c r="D154" s="381">
        <v>1</v>
      </c>
      <c r="E154" s="380">
        <v>40</v>
      </c>
      <c r="H154" s="378" t="s">
        <v>67</v>
      </c>
      <c r="I154" s="379" t="s">
        <v>1053</v>
      </c>
      <c r="J154" s="380" t="s">
        <v>1173</v>
      </c>
      <c r="K154" s="381">
        <v>1</v>
      </c>
      <c r="L154" s="380">
        <v>159</v>
      </c>
    </row>
    <row r="155" spans="1:12">
      <c r="A155" s="378" t="s">
        <v>97</v>
      </c>
      <c r="B155" s="379" t="s">
        <v>948</v>
      </c>
      <c r="C155" s="380" t="s">
        <v>1171</v>
      </c>
      <c r="D155" s="381"/>
      <c r="E155" s="380">
        <v>50</v>
      </c>
      <c r="H155" s="378" t="s">
        <v>67</v>
      </c>
      <c r="I155" s="379" t="s">
        <v>950</v>
      </c>
      <c r="J155" s="380" t="s">
        <v>1174</v>
      </c>
      <c r="K155" s="381">
        <v>1</v>
      </c>
      <c r="L155" s="380">
        <v>130</v>
      </c>
    </row>
    <row r="156" spans="1:12">
      <c r="A156" s="378" t="s">
        <v>97</v>
      </c>
      <c r="B156" s="379" t="s">
        <v>983</v>
      </c>
      <c r="C156" s="380" t="s">
        <v>1175</v>
      </c>
      <c r="D156" s="381">
        <v>1</v>
      </c>
      <c r="E156" s="380">
        <v>50</v>
      </c>
      <c r="H156" s="378" t="s">
        <v>67</v>
      </c>
      <c r="I156" s="379" t="s">
        <v>950</v>
      </c>
      <c r="J156" s="380" t="s">
        <v>1176</v>
      </c>
      <c r="K156" s="381">
        <v>1</v>
      </c>
      <c r="L156" s="380">
        <v>134</v>
      </c>
    </row>
    <row r="157" spans="1:12">
      <c r="A157" s="378" t="s">
        <v>97</v>
      </c>
      <c r="B157" s="379" t="s">
        <v>948</v>
      </c>
      <c r="C157" s="380" t="s">
        <v>1175</v>
      </c>
      <c r="D157" s="381">
        <v>1</v>
      </c>
      <c r="E157" s="380">
        <v>50</v>
      </c>
      <c r="H157" s="378" t="s">
        <v>67</v>
      </c>
      <c r="I157" s="379" t="s">
        <v>950</v>
      </c>
      <c r="J157" s="380" t="s">
        <v>1177</v>
      </c>
      <c r="K157" s="381">
        <v>1</v>
      </c>
      <c r="L157" s="380">
        <v>211</v>
      </c>
    </row>
    <row r="158" spans="1:12">
      <c r="A158" s="378" t="s">
        <v>97</v>
      </c>
      <c r="B158" s="379" t="s">
        <v>983</v>
      </c>
      <c r="C158" s="380" t="s">
        <v>1178</v>
      </c>
      <c r="D158" s="381">
        <v>1</v>
      </c>
      <c r="E158" s="380">
        <v>50</v>
      </c>
      <c r="H158" s="378" t="s">
        <v>67</v>
      </c>
      <c r="I158" s="379" t="s">
        <v>950</v>
      </c>
      <c r="J158" s="380" t="s">
        <v>1179</v>
      </c>
      <c r="K158" s="381">
        <v>1</v>
      </c>
      <c r="L158" s="380">
        <v>110</v>
      </c>
    </row>
    <row r="159" spans="1:12">
      <c r="A159" s="378" t="s">
        <v>97</v>
      </c>
      <c r="B159" s="379" t="s">
        <v>948</v>
      </c>
      <c r="C159" s="380" t="s">
        <v>1178</v>
      </c>
      <c r="D159" s="381">
        <v>1</v>
      </c>
      <c r="E159" s="380">
        <v>50</v>
      </c>
      <c r="H159" s="378" t="s">
        <v>67</v>
      </c>
      <c r="I159" s="379" t="s">
        <v>950</v>
      </c>
      <c r="J159" s="380" t="s">
        <v>1180</v>
      </c>
      <c r="K159" s="381">
        <v>1</v>
      </c>
      <c r="L159" s="380">
        <v>25</v>
      </c>
    </row>
    <row r="160" spans="1:12">
      <c r="A160" s="378" t="s">
        <v>97</v>
      </c>
      <c r="B160" s="379" t="s">
        <v>952</v>
      </c>
      <c r="C160" s="380" t="s">
        <v>1181</v>
      </c>
      <c r="D160" s="381">
        <v>1</v>
      </c>
      <c r="E160" s="380">
        <v>50</v>
      </c>
      <c r="H160" s="378" t="s">
        <v>67</v>
      </c>
      <c r="I160" s="379" t="s">
        <v>950</v>
      </c>
      <c r="J160" s="380" t="s">
        <v>1182</v>
      </c>
      <c r="K160" s="381">
        <v>1</v>
      </c>
      <c r="L160" s="380">
        <v>55</v>
      </c>
    </row>
    <row r="161" spans="1:12">
      <c r="A161" s="378" t="s">
        <v>97</v>
      </c>
      <c r="B161" s="379" t="s">
        <v>948</v>
      </c>
      <c r="C161" s="380" t="s">
        <v>1181</v>
      </c>
      <c r="D161" s="381"/>
      <c r="E161" s="380">
        <v>50</v>
      </c>
      <c r="H161" s="378" t="s">
        <v>67</v>
      </c>
      <c r="I161" s="379" t="s">
        <v>950</v>
      </c>
      <c r="J161" s="380" t="s">
        <v>1183</v>
      </c>
      <c r="K161" s="381">
        <v>1</v>
      </c>
      <c r="L161" s="380">
        <v>77</v>
      </c>
    </row>
    <row r="162" spans="1:12">
      <c r="A162" s="378" t="s">
        <v>97</v>
      </c>
      <c r="B162" s="379" t="s">
        <v>948</v>
      </c>
      <c r="C162" s="380" t="s">
        <v>1184</v>
      </c>
      <c r="D162" s="381">
        <v>1</v>
      </c>
      <c r="E162" s="380">
        <v>50</v>
      </c>
      <c r="H162" s="378" t="s">
        <v>67</v>
      </c>
      <c r="I162" s="379" t="s">
        <v>950</v>
      </c>
      <c r="J162" s="380" t="s">
        <v>1185</v>
      </c>
      <c r="K162" s="381">
        <v>1</v>
      </c>
      <c r="L162" s="380">
        <v>99</v>
      </c>
    </row>
    <row r="163" spans="1:12">
      <c r="A163" s="378" t="s">
        <v>97</v>
      </c>
      <c r="B163" s="379" t="s">
        <v>952</v>
      </c>
      <c r="C163" s="380" t="s">
        <v>1186</v>
      </c>
      <c r="D163" s="381">
        <v>1</v>
      </c>
      <c r="E163" s="380">
        <v>80</v>
      </c>
      <c r="H163" s="378" t="s">
        <v>67</v>
      </c>
      <c r="I163" s="379" t="s">
        <v>950</v>
      </c>
      <c r="J163" s="380" t="s">
        <v>1187</v>
      </c>
      <c r="K163" s="381">
        <v>1</v>
      </c>
      <c r="L163" s="380">
        <v>60</v>
      </c>
    </row>
    <row r="164" spans="1:12">
      <c r="A164" s="378" t="s">
        <v>97</v>
      </c>
      <c r="B164" s="379" t="s">
        <v>948</v>
      </c>
      <c r="C164" s="380" t="s">
        <v>1186</v>
      </c>
      <c r="D164" s="381"/>
      <c r="E164" s="380">
        <v>50</v>
      </c>
      <c r="H164" s="378" t="s">
        <v>67</v>
      </c>
      <c r="I164" s="379" t="s">
        <v>950</v>
      </c>
      <c r="J164" s="380" t="s">
        <v>1188</v>
      </c>
      <c r="K164" s="381">
        <v>1</v>
      </c>
      <c r="L164" s="380">
        <v>52</v>
      </c>
    </row>
    <row r="165" spans="1:12">
      <c r="A165" s="378" t="s">
        <v>97</v>
      </c>
      <c r="B165" s="379" t="s">
        <v>948</v>
      </c>
      <c r="C165" s="380" t="s">
        <v>1189</v>
      </c>
      <c r="D165" s="381">
        <v>1</v>
      </c>
      <c r="E165" s="380">
        <v>50</v>
      </c>
      <c r="H165" s="378" t="s">
        <v>67</v>
      </c>
      <c r="I165" s="379" t="s">
        <v>950</v>
      </c>
      <c r="J165" s="380" t="s">
        <v>1190</v>
      </c>
      <c r="K165" s="381">
        <v>1</v>
      </c>
      <c r="L165" s="380">
        <v>87</v>
      </c>
    </row>
    <row r="166" spans="1:12">
      <c r="A166" s="378" t="s">
        <v>97</v>
      </c>
      <c r="B166" s="379" t="s">
        <v>985</v>
      </c>
      <c r="C166" s="380" t="s">
        <v>1189</v>
      </c>
      <c r="D166" s="381">
        <v>1</v>
      </c>
      <c r="E166" s="380">
        <v>70</v>
      </c>
      <c r="H166" s="378" t="s">
        <v>67</v>
      </c>
      <c r="I166" s="379" t="s">
        <v>950</v>
      </c>
      <c r="J166" s="380" t="s">
        <v>1191</v>
      </c>
      <c r="K166" s="381">
        <v>1</v>
      </c>
      <c r="L166" s="380">
        <v>51</v>
      </c>
    </row>
    <row r="167" spans="1:12">
      <c r="A167" s="378" t="s">
        <v>97</v>
      </c>
      <c r="B167" s="379" t="s">
        <v>948</v>
      </c>
      <c r="C167" s="380" t="s">
        <v>1192</v>
      </c>
      <c r="D167" s="381">
        <v>1</v>
      </c>
      <c r="E167" s="380">
        <v>100</v>
      </c>
      <c r="H167" s="378" t="s">
        <v>67</v>
      </c>
      <c r="I167" s="379" t="s">
        <v>950</v>
      </c>
      <c r="J167" s="380" t="s">
        <v>1193</v>
      </c>
      <c r="K167" s="381">
        <v>1</v>
      </c>
      <c r="L167" s="380">
        <v>46</v>
      </c>
    </row>
    <row r="168" spans="1:12">
      <c r="A168" s="378" t="s">
        <v>97</v>
      </c>
      <c r="B168" s="379" t="s">
        <v>985</v>
      </c>
      <c r="C168" s="380" t="s">
        <v>1192</v>
      </c>
      <c r="D168" s="381">
        <v>1</v>
      </c>
      <c r="E168" s="380">
        <v>120</v>
      </c>
      <c r="H168" s="378" t="s">
        <v>67</v>
      </c>
      <c r="I168" s="379" t="s">
        <v>950</v>
      </c>
      <c r="J168" s="380" t="s">
        <v>1194</v>
      </c>
      <c r="K168" s="381">
        <v>1</v>
      </c>
      <c r="L168" s="380">
        <v>124</v>
      </c>
    </row>
    <row r="169" spans="1:12">
      <c r="A169" s="378" t="s">
        <v>97</v>
      </c>
      <c r="B169" s="379" t="s">
        <v>952</v>
      </c>
      <c r="C169" s="380" t="s">
        <v>1195</v>
      </c>
      <c r="D169" s="381">
        <v>1</v>
      </c>
      <c r="E169" s="380">
        <v>50</v>
      </c>
      <c r="H169" s="378" t="s">
        <v>67</v>
      </c>
      <c r="I169" s="379" t="s">
        <v>950</v>
      </c>
      <c r="J169" s="380" t="s">
        <v>1196</v>
      </c>
      <c r="K169" s="381">
        <v>1</v>
      </c>
      <c r="L169" s="380">
        <v>158</v>
      </c>
    </row>
    <row r="170" spans="1:12">
      <c r="A170" s="378" t="s">
        <v>97</v>
      </c>
      <c r="B170" s="379" t="s">
        <v>983</v>
      </c>
      <c r="C170" s="380" t="s">
        <v>1195</v>
      </c>
      <c r="D170" s="381">
        <v>1</v>
      </c>
      <c r="E170" s="380">
        <v>80</v>
      </c>
      <c r="H170" s="378" t="s">
        <v>67</v>
      </c>
      <c r="I170" s="379" t="s">
        <v>950</v>
      </c>
      <c r="J170" s="380" t="s">
        <v>1197</v>
      </c>
      <c r="K170" s="381">
        <v>1</v>
      </c>
      <c r="L170" s="380">
        <v>41</v>
      </c>
    </row>
    <row r="171" spans="1:12">
      <c r="A171" s="378" t="s">
        <v>97</v>
      </c>
      <c r="B171" s="379" t="s">
        <v>948</v>
      </c>
      <c r="C171" s="380" t="s">
        <v>1195</v>
      </c>
      <c r="D171" s="381"/>
      <c r="E171" s="380">
        <v>100</v>
      </c>
      <c r="H171" s="378" t="s">
        <v>67</v>
      </c>
      <c r="I171" s="379" t="s">
        <v>950</v>
      </c>
      <c r="J171" s="380" t="s">
        <v>1198</v>
      </c>
      <c r="K171" s="381">
        <v>1</v>
      </c>
      <c r="L171" s="380">
        <v>51</v>
      </c>
    </row>
    <row r="172" spans="1:12">
      <c r="A172" s="378" t="s">
        <v>97</v>
      </c>
      <c r="B172" s="379" t="s">
        <v>964</v>
      </c>
      <c r="C172" s="380" t="s">
        <v>1199</v>
      </c>
      <c r="D172" s="381">
        <v>1</v>
      </c>
      <c r="E172" s="380">
        <v>120</v>
      </c>
      <c r="H172" s="378" t="s">
        <v>67</v>
      </c>
      <c r="I172" s="379" t="s">
        <v>950</v>
      </c>
      <c r="J172" s="380" t="s">
        <v>1200</v>
      </c>
      <c r="K172" s="381">
        <v>1</v>
      </c>
      <c r="L172" s="380">
        <v>57</v>
      </c>
    </row>
    <row r="173" spans="1:12">
      <c r="A173" s="378" t="s">
        <v>97</v>
      </c>
      <c r="B173" s="379" t="s">
        <v>952</v>
      </c>
      <c r="C173" s="380" t="s">
        <v>1201</v>
      </c>
      <c r="D173" s="381">
        <v>1</v>
      </c>
      <c r="E173" s="380">
        <v>20</v>
      </c>
      <c r="H173" s="378" t="s">
        <v>67</v>
      </c>
      <c r="I173" s="379" t="s">
        <v>950</v>
      </c>
      <c r="J173" s="380" t="s">
        <v>1202</v>
      </c>
      <c r="K173" s="381">
        <v>1</v>
      </c>
      <c r="L173" s="380">
        <v>336</v>
      </c>
    </row>
    <row r="174" spans="1:12">
      <c r="A174" s="378" t="s">
        <v>97</v>
      </c>
      <c r="B174" s="379" t="s">
        <v>948</v>
      </c>
      <c r="C174" s="380" t="s">
        <v>1201</v>
      </c>
      <c r="D174" s="381"/>
      <c r="E174" s="380">
        <v>50</v>
      </c>
      <c r="H174" s="378" t="s">
        <v>67</v>
      </c>
      <c r="I174" s="379" t="s">
        <v>950</v>
      </c>
      <c r="J174" s="380" t="s">
        <v>1203</v>
      </c>
      <c r="K174" s="381">
        <v>1</v>
      </c>
      <c r="L174" s="380">
        <v>153</v>
      </c>
    </row>
    <row r="175" spans="1:12">
      <c r="A175" s="378" t="s">
        <v>97</v>
      </c>
      <c r="B175" s="379" t="s">
        <v>985</v>
      </c>
      <c r="C175" s="380" t="s">
        <v>1201</v>
      </c>
      <c r="D175" s="381">
        <v>1</v>
      </c>
      <c r="E175" s="380">
        <v>40</v>
      </c>
      <c r="H175" s="378" t="s">
        <v>67</v>
      </c>
      <c r="I175" s="379" t="s">
        <v>950</v>
      </c>
      <c r="J175" s="380" t="s">
        <v>1204</v>
      </c>
      <c r="K175" s="381">
        <v>1</v>
      </c>
      <c r="L175" s="380">
        <v>101</v>
      </c>
    </row>
    <row r="176" spans="1:12">
      <c r="A176" s="378" t="s">
        <v>97</v>
      </c>
      <c r="B176" s="379" t="s">
        <v>952</v>
      </c>
      <c r="C176" s="380" t="s">
        <v>1205</v>
      </c>
      <c r="D176" s="381">
        <v>1</v>
      </c>
      <c r="E176" s="380">
        <v>110</v>
      </c>
      <c r="H176" s="378" t="s">
        <v>67</v>
      </c>
      <c r="I176" s="379" t="s">
        <v>950</v>
      </c>
      <c r="J176" s="380" t="s">
        <v>1206</v>
      </c>
      <c r="K176" s="381">
        <v>1</v>
      </c>
      <c r="L176" s="380">
        <v>159</v>
      </c>
    </row>
    <row r="177" spans="1:12">
      <c r="A177" s="378" t="s">
        <v>97</v>
      </c>
      <c r="B177" s="379" t="s">
        <v>948</v>
      </c>
      <c r="C177" s="380" t="s">
        <v>1205</v>
      </c>
      <c r="D177" s="381"/>
      <c r="E177" s="380">
        <v>100</v>
      </c>
      <c r="H177" s="378" t="s">
        <v>67</v>
      </c>
      <c r="I177" s="379" t="s">
        <v>1053</v>
      </c>
      <c r="J177" s="380" t="s">
        <v>1207</v>
      </c>
      <c r="K177" s="381">
        <v>1</v>
      </c>
      <c r="L177" s="380">
        <v>120</v>
      </c>
    </row>
    <row r="178" spans="1:12">
      <c r="A178" s="378" t="s">
        <v>97</v>
      </c>
      <c r="B178" s="379" t="s">
        <v>952</v>
      </c>
      <c r="C178" s="380" t="s">
        <v>1208</v>
      </c>
      <c r="D178" s="381">
        <v>1</v>
      </c>
      <c r="E178" s="380">
        <v>20</v>
      </c>
      <c r="H178" s="378" t="s">
        <v>67</v>
      </c>
      <c r="I178" s="379" t="s">
        <v>950</v>
      </c>
      <c r="J178" s="380" t="s">
        <v>1207</v>
      </c>
      <c r="K178" s="381"/>
      <c r="L178" s="380">
        <v>157</v>
      </c>
    </row>
    <row r="179" spans="1:12">
      <c r="A179" s="378" t="s">
        <v>97</v>
      </c>
      <c r="B179" s="379" t="s">
        <v>983</v>
      </c>
      <c r="C179" s="380" t="s">
        <v>1208</v>
      </c>
      <c r="D179" s="381">
        <v>1</v>
      </c>
      <c r="E179" s="380">
        <v>40</v>
      </c>
      <c r="H179" s="378" t="s">
        <v>67</v>
      </c>
      <c r="I179" s="379" t="s">
        <v>950</v>
      </c>
      <c r="J179" s="380" t="s">
        <v>1209</v>
      </c>
      <c r="K179" s="381">
        <v>1</v>
      </c>
      <c r="L179" s="380">
        <v>128</v>
      </c>
    </row>
    <row r="180" spans="1:12">
      <c r="A180" s="378" t="s">
        <v>97</v>
      </c>
      <c r="B180" s="379" t="s">
        <v>948</v>
      </c>
      <c r="C180" s="380" t="s">
        <v>1208</v>
      </c>
      <c r="D180" s="381"/>
      <c r="E180" s="380">
        <v>50</v>
      </c>
      <c r="H180" s="378" t="s">
        <v>67</v>
      </c>
      <c r="I180" s="379" t="s">
        <v>950</v>
      </c>
      <c r="J180" s="380" t="s">
        <v>1210</v>
      </c>
      <c r="K180" s="381">
        <v>1</v>
      </c>
      <c r="L180" s="380">
        <v>232</v>
      </c>
    </row>
    <row r="181" spans="1:12">
      <c r="A181" s="378" t="s">
        <v>97</v>
      </c>
      <c r="B181" s="379" t="s">
        <v>952</v>
      </c>
      <c r="C181" s="380" t="s">
        <v>1211</v>
      </c>
      <c r="D181" s="381">
        <v>1</v>
      </c>
      <c r="E181" s="380">
        <v>140</v>
      </c>
      <c r="H181" s="378" t="s">
        <v>67</v>
      </c>
      <c r="I181" s="379" t="s">
        <v>950</v>
      </c>
      <c r="J181" s="380" t="s">
        <v>1212</v>
      </c>
      <c r="K181" s="381">
        <v>1</v>
      </c>
      <c r="L181" s="380">
        <v>131</v>
      </c>
    </row>
    <row r="182" spans="1:12">
      <c r="A182" s="378" t="s">
        <v>97</v>
      </c>
      <c r="B182" s="379" t="s">
        <v>948</v>
      </c>
      <c r="C182" s="380" t="s">
        <v>1211</v>
      </c>
      <c r="D182" s="381"/>
      <c r="E182" s="380">
        <v>100</v>
      </c>
      <c r="H182" s="378" t="s">
        <v>67</v>
      </c>
      <c r="I182" s="379" t="s">
        <v>950</v>
      </c>
      <c r="J182" s="380" t="s">
        <v>1213</v>
      </c>
      <c r="K182" s="381">
        <v>1</v>
      </c>
      <c r="L182" s="380">
        <v>147</v>
      </c>
    </row>
    <row r="183" spans="1:12">
      <c r="A183" s="378" t="s">
        <v>97</v>
      </c>
      <c r="B183" s="379" t="s">
        <v>964</v>
      </c>
      <c r="C183" s="380" t="s">
        <v>1211</v>
      </c>
      <c r="D183" s="381">
        <v>1</v>
      </c>
      <c r="E183" s="380">
        <v>110</v>
      </c>
      <c r="H183" s="378" t="s">
        <v>67</v>
      </c>
      <c r="I183" s="379" t="s">
        <v>950</v>
      </c>
      <c r="J183" s="380" t="s">
        <v>1214</v>
      </c>
      <c r="K183" s="381">
        <v>1</v>
      </c>
      <c r="L183" s="380">
        <v>172</v>
      </c>
    </row>
    <row r="184" spans="1:12">
      <c r="A184" s="378" t="s">
        <v>97</v>
      </c>
      <c r="B184" s="379" t="s">
        <v>1013</v>
      </c>
      <c r="C184" s="380" t="s">
        <v>1215</v>
      </c>
      <c r="D184" s="381">
        <v>1</v>
      </c>
      <c r="E184" s="380">
        <v>120</v>
      </c>
      <c r="H184" s="378" t="s">
        <v>67</v>
      </c>
      <c r="I184" s="379" t="s">
        <v>950</v>
      </c>
      <c r="J184" s="380" t="s">
        <v>1216</v>
      </c>
      <c r="K184" s="381">
        <v>1</v>
      </c>
      <c r="L184" s="380">
        <v>105</v>
      </c>
    </row>
    <row r="185" spans="1:12">
      <c r="A185" s="378" t="s">
        <v>97</v>
      </c>
      <c r="B185" s="379" t="s">
        <v>952</v>
      </c>
      <c r="C185" s="380" t="s">
        <v>1217</v>
      </c>
      <c r="D185" s="381">
        <v>1</v>
      </c>
      <c r="E185" s="380">
        <v>40</v>
      </c>
      <c r="H185" s="378" t="s">
        <v>67</v>
      </c>
      <c r="I185" s="379" t="s">
        <v>950</v>
      </c>
      <c r="J185" s="380" t="s">
        <v>1218</v>
      </c>
      <c r="K185" s="381">
        <v>1</v>
      </c>
      <c r="L185" s="380">
        <v>154</v>
      </c>
    </row>
    <row r="186" spans="1:12">
      <c r="A186" s="378" t="s">
        <v>97</v>
      </c>
      <c r="B186" s="379" t="s">
        <v>948</v>
      </c>
      <c r="C186" s="380" t="s">
        <v>1217</v>
      </c>
      <c r="D186" s="381"/>
      <c r="E186" s="380">
        <v>50</v>
      </c>
      <c r="H186" s="378" t="s">
        <v>67</v>
      </c>
      <c r="I186" s="379" t="s">
        <v>950</v>
      </c>
      <c r="J186" s="380" t="s">
        <v>1219</v>
      </c>
      <c r="K186" s="381">
        <v>1</v>
      </c>
      <c r="L186" s="380">
        <v>183</v>
      </c>
    </row>
    <row r="187" spans="1:12">
      <c r="A187" s="378" t="s">
        <v>97</v>
      </c>
      <c r="B187" s="379" t="s">
        <v>952</v>
      </c>
      <c r="C187" s="380" t="s">
        <v>1220</v>
      </c>
      <c r="D187" s="381">
        <v>1</v>
      </c>
      <c r="E187" s="380">
        <v>70</v>
      </c>
      <c r="H187" s="378" t="s">
        <v>67</v>
      </c>
      <c r="I187" s="379" t="s">
        <v>950</v>
      </c>
      <c r="J187" s="380" t="s">
        <v>1221</v>
      </c>
      <c r="K187" s="381">
        <v>1</v>
      </c>
      <c r="L187" s="380">
        <v>99</v>
      </c>
    </row>
    <row r="188" spans="1:12">
      <c r="A188" s="378" t="s">
        <v>97</v>
      </c>
      <c r="B188" s="379" t="s">
        <v>948</v>
      </c>
      <c r="C188" s="380" t="s">
        <v>1220</v>
      </c>
      <c r="D188" s="381"/>
      <c r="E188" s="380">
        <v>100</v>
      </c>
      <c r="H188" s="378" t="s">
        <v>67</v>
      </c>
      <c r="I188" s="379" t="s">
        <v>950</v>
      </c>
      <c r="J188" s="380" t="s">
        <v>1222</v>
      </c>
      <c r="K188" s="381">
        <v>1</v>
      </c>
      <c r="L188" s="380">
        <v>201</v>
      </c>
    </row>
    <row r="189" spans="1:12">
      <c r="A189" s="378" t="s">
        <v>97</v>
      </c>
      <c r="B189" s="379" t="s">
        <v>952</v>
      </c>
      <c r="C189" s="380" t="s">
        <v>1223</v>
      </c>
      <c r="D189" s="381">
        <v>1</v>
      </c>
      <c r="E189" s="380">
        <v>50</v>
      </c>
      <c r="H189" s="378" t="s">
        <v>67</v>
      </c>
      <c r="I189" s="379" t="s">
        <v>950</v>
      </c>
      <c r="J189" s="380" t="s">
        <v>1224</v>
      </c>
      <c r="K189" s="381">
        <v>1</v>
      </c>
      <c r="L189" s="380">
        <v>74</v>
      </c>
    </row>
    <row r="190" spans="1:12">
      <c r="A190" s="378" t="s">
        <v>97</v>
      </c>
      <c r="B190" s="379" t="s">
        <v>948</v>
      </c>
      <c r="C190" s="380" t="s">
        <v>1223</v>
      </c>
      <c r="D190" s="381"/>
      <c r="E190" s="380">
        <v>100</v>
      </c>
      <c r="H190" s="378" t="s">
        <v>67</v>
      </c>
      <c r="I190" s="379" t="s">
        <v>950</v>
      </c>
      <c r="J190" s="380" t="s">
        <v>1225</v>
      </c>
      <c r="K190" s="381">
        <v>1</v>
      </c>
      <c r="L190" s="380">
        <v>139</v>
      </c>
    </row>
    <row r="191" spans="1:12">
      <c r="A191" s="378" t="s">
        <v>97</v>
      </c>
      <c r="B191" s="379" t="s">
        <v>948</v>
      </c>
      <c r="C191" s="380" t="s">
        <v>1226</v>
      </c>
      <c r="D191" s="381">
        <v>1</v>
      </c>
      <c r="E191" s="380">
        <v>50</v>
      </c>
      <c r="H191" s="378" t="s">
        <v>67</v>
      </c>
      <c r="I191" s="379" t="s">
        <v>950</v>
      </c>
      <c r="J191" s="380" t="s">
        <v>1227</v>
      </c>
      <c r="K191" s="381">
        <v>1</v>
      </c>
      <c r="L191" s="380">
        <v>47</v>
      </c>
    </row>
    <row r="192" spans="1:12">
      <c r="A192" s="378" t="s">
        <v>97</v>
      </c>
      <c r="B192" s="379" t="s">
        <v>948</v>
      </c>
      <c r="C192" s="380" t="s">
        <v>1228</v>
      </c>
      <c r="D192" s="381">
        <v>1</v>
      </c>
      <c r="E192" s="380">
        <v>100</v>
      </c>
      <c r="H192" s="378" t="s">
        <v>67</v>
      </c>
      <c r="I192" s="379" t="s">
        <v>950</v>
      </c>
      <c r="J192" s="380" t="s">
        <v>1229</v>
      </c>
      <c r="K192" s="381">
        <v>1</v>
      </c>
      <c r="L192" s="380">
        <v>53</v>
      </c>
    </row>
    <row r="193" spans="1:12">
      <c r="A193" s="378" t="s">
        <v>97</v>
      </c>
      <c r="B193" s="379" t="s">
        <v>952</v>
      </c>
      <c r="C193" s="380" t="s">
        <v>1230</v>
      </c>
      <c r="D193" s="381">
        <v>1</v>
      </c>
      <c r="E193" s="380">
        <v>900</v>
      </c>
      <c r="H193" s="378" t="s">
        <v>67</v>
      </c>
      <c r="I193" s="379" t="s">
        <v>950</v>
      </c>
      <c r="J193" s="380" t="s">
        <v>1231</v>
      </c>
      <c r="K193" s="381">
        <v>1</v>
      </c>
      <c r="L193" s="380">
        <v>110</v>
      </c>
    </row>
    <row r="194" spans="1:12">
      <c r="A194" s="378" t="s">
        <v>97</v>
      </c>
      <c r="B194" s="379" t="s">
        <v>952</v>
      </c>
      <c r="C194" s="380" t="s">
        <v>1232</v>
      </c>
      <c r="D194" s="381">
        <v>1</v>
      </c>
      <c r="E194" s="380">
        <v>420</v>
      </c>
      <c r="H194" s="378" t="s">
        <v>67</v>
      </c>
      <c r="I194" s="379" t="s">
        <v>950</v>
      </c>
      <c r="J194" s="380" t="s">
        <v>1233</v>
      </c>
      <c r="K194" s="381">
        <v>1</v>
      </c>
      <c r="L194" s="380">
        <v>47</v>
      </c>
    </row>
    <row r="195" spans="1:12">
      <c r="A195" s="378" t="s">
        <v>97</v>
      </c>
      <c r="B195" s="379" t="s">
        <v>952</v>
      </c>
      <c r="C195" s="380" t="s">
        <v>1234</v>
      </c>
      <c r="D195" s="381">
        <v>1</v>
      </c>
      <c r="E195" s="380">
        <v>70</v>
      </c>
      <c r="H195" s="378" t="s">
        <v>66</v>
      </c>
      <c r="I195" s="379" t="s">
        <v>948</v>
      </c>
      <c r="J195" s="380" t="s">
        <v>1235</v>
      </c>
      <c r="K195" s="381">
        <v>1</v>
      </c>
      <c r="L195" s="380">
        <v>68</v>
      </c>
    </row>
    <row r="196" spans="1:12">
      <c r="A196" s="378" t="s">
        <v>97</v>
      </c>
      <c r="B196" s="379" t="s">
        <v>948</v>
      </c>
      <c r="C196" s="380" t="s">
        <v>1234</v>
      </c>
      <c r="D196" s="381"/>
      <c r="E196" s="380">
        <v>100</v>
      </c>
      <c r="H196" s="378" t="s">
        <v>66</v>
      </c>
      <c r="I196" s="379" t="s">
        <v>975</v>
      </c>
      <c r="J196" s="380" t="s">
        <v>1236</v>
      </c>
      <c r="K196" s="381">
        <v>1</v>
      </c>
      <c r="L196" s="380">
        <v>136</v>
      </c>
    </row>
    <row r="197" spans="1:12">
      <c r="A197" s="378" t="s">
        <v>97</v>
      </c>
      <c r="B197" s="379" t="s">
        <v>952</v>
      </c>
      <c r="C197" s="380" t="s">
        <v>1237</v>
      </c>
      <c r="D197" s="381">
        <v>1</v>
      </c>
      <c r="E197" s="380">
        <v>100</v>
      </c>
      <c r="H197" s="378" t="s">
        <v>66</v>
      </c>
      <c r="I197" s="379" t="s">
        <v>948</v>
      </c>
      <c r="J197" s="380" t="s">
        <v>1236</v>
      </c>
      <c r="K197" s="381"/>
      <c r="L197" s="380">
        <v>136</v>
      </c>
    </row>
    <row r="198" spans="1:12">
      <c r="A198" s="378" t="s">
        <v>97</v>
      </c>
      <c r="B198" s="379" t="s">
        <v>948</v>
      </c>
      <c r="C198" s="380" t="s">
        <v>1237</v>
      </c>
      <c r="D198" s="381"/>
      <c r="E198" s="380">
        <v>50</v>
      </c>
      <c r="H198" s="378" t="s">
        <v>66</v>
      </c>
      <c r="I198" s="379" t="s">
        <v>1008</v>
      </c>
      <c r="J198" s="380" t="s">
        <v>1238</v>
      </c>
      <c r="K198" s="381">
        <v>1</v>
      </c>
      <c r="L198" s="380">
        <v>130</v>
      </c>
    </row>
    <row r="199" spans="1:12">
      <c r="A199" s="378" t="s">
        <v>97</v>
      </c>
      <c r="B199" s="379" t="s">
        <v>952</v>
      </c>
      <c r="C199" s="380" t="s">
        <v>1239</v>
      </c>
      <c r="D199" s="381">
        <v>1</v>
      </c>
      <c r="E199" s="380">
        <v>40</v>
      </c>
      <c r="H199" s="378" t="s">
        <v>66</v>
      </c>
      <c r="I199" s="379" t="s">
        <v>948</v>
      </c>
      <c r="J199" s="380" t="s">
        <v>1238</v>
      </c>
      <c r="K199" s="381">
        <v>1</v>
      </c>
      <c r="L199" s="380">
        <v>80</v>
      </c>
    </row>
    <row r="200" spans="1:12">
      <c r="A200" s="378" t="s">
        <v>97</v>
      </c>
      <c r="B200" s="379" t="s">
        <v>983</v>
      </c>
      <c r="C200" s="380" t="s">
        <v>1239</v>
      </c>
      <c r="D200" s="381">
        <v>1</v>
      </c>
      <c r="E200" s="380">
        <v>40</v>
      </c>
      <c r="H200" s="378" t="s">
        <v>66</v>
      </c>
      <c r="I200" s="379" t="s">
        <v>975</v>
      </c>
      <c r="J200" s="380" t="s">
        <v>1240</v>
      </c>
      <c r="K200" s="381">
        <v>1</v>
      </c>
      <c r="L200" s="380">
        <v>78</v>
      </c>
    </row>
    <row r="201" spans="1:12">
      <c r="A201" s="378" t="s">
        <v>97</v>
      </c>
      <c r="B201" s="379" t="s">
        <v>948</v>
      </c>
      <c r="C201" s="380" t="s">
        <v>1239</v>
      </c>
      <c r="D201" s="381"/>
      <c r="E201" s="380">
        <v>100</v>
      </c>
      <c r="H201" s="378" t="s">
        <v>66</v>
      </c>
      <c r="I201" s="379" t="s">
        <v>948</v>
      </c>
      <c r="J201" s="380" t="s">
        <v>1241</v>
      </c>
      <c r="K201" s="381">
        <v>1</v>
      </c>
      <c r="L201" s="380">
        <v>31</v>
      </c>
    </row>
    <row r="202" spans="1:12">
      <c r="A202" s="378" t="s">
        <v>97</v>
      </c>
      <c r="B202" s="379" t="s">
        <v>983</v>
      </c>
      <c r="C202" s="380" t="s">
        <v>1242</v>
      </c>
      <c r="D202" s="381">
        <v>1</v>
      </c>
      <c r="E202" s="380">
        <v>100</v>
      </c>
      <c r="H202" s="378" t="s">
        <v>66</v>
      </c>
      <c r="I202" s="379" t="s">
        <v>975</v>
      </c>
      <c r="J202" s="380" t="s">
        <v>1243</v>
      </c>
      <c r="K202" s="381">
        <v>1</v>
      </c>
      <c r="L202" s="380">
        <v>45</v>
      </c>
    </row>
    <row r="203" spans="1:12">
      <c r="A203" s="378" t="s">
        <v>97</v>
      </c>
      <c r="B203" s="379" t="s">
        <v>948</v>
      </c>
      <c r="C203" s="380" t="s">
        <v>1242</v>
      </c>
      <c r="D203" s="381">
        <v>1</v>
      </c>
      <c r="E203" s="380">
        <v>100</v>
      </c>
      <c r="H203" s="378" t="s">
        <v>66</v>
      </c>
      <c r="I203" s="379" t="s">
        <v>948</v>
      </c>
      <c r="J203" s="380" t="s">
        <v>1243</v>
      </c>
      <c r="K203" s="381"/>
      <c r="L203" s="380">
        <v>45</v>
      </c>
    </row>
    <row r="204" spans="1:12">
      <c r="A204" s="378" t="s">
        <v>97</v>
      </c>
      <c r="B204" s="379" t="s">
        <v>948</v>
      </c>
      <c r="C204" s="380" t="s">
        <v>1244</v>
      </c>
      <c r="D204" s="381">
        <v>1</v>
      </c>
      <c r="E204" s="380">
        <v>100</v>
      </c>
      <c r="H204" s="378" t="s">
        <v>66</v>
      </c>
      <c r="I204" s="379" t="s">
        <v>975</v>
      </c>
      <c r="J204" s="380" t="s">
        <v>1245</v>
      </c>
      <c r="K204" s="381">
        <v>1</v>
      </c>
      <c r="L204" s="380">
        <v>86</v>
      </c>
    </row>
    <row r="205" spans="1:12">
      <c r="A205" s="378" t="s">
        <v>97</v>
      </c>
      <c r="B205" s="379" t="s">
        <v>1013</v>
      </c>
      <c r="C205" s="380" t="s">
        <v>1246</v>
      </c>
      <c r="D205" s="381">
        <v>1</v>
      </c>
      <c r="E205" s="380">
        <v>90</v>
      </c>
      <c r="H205" s="378" t="s">
        <v>66</v>
      </c>
      <c r="I205" s="379" t="s">
        <v>948</v>
      </c>
      <c r="J205" s="380" t="s">
        <v>1247</v>
      </c>
      <c r="K205" s="381">
        <v>1</v>
      </c>
      <c r="L205" s="380">
        <v>270</v>
      </c>
    </row>
    <row r="206" spans="1:12">
      <c r="A206" s="378" t="s">
        <v>97</v>
      </c>
      <c r="B206" s="379" t="s">
        <v>985</v>
      </c>
      <c r="C206" s="380" t="s">
        <v>1248</v>
      </c>
      <c r="D206" s="381">
        <v>1</v>
      </c>
      <c r="E206" s="380">
        <v>150</v>
      </c>
      <c r="H206" s="378" t="s">
        <v>66</v>
      </c>
      <c r="I206" s="379" t="s">
        <v>975</v>
      </c>
      <c r="J206" s="380" t="s">
        <v>1249</v>
      </c>
      <c r="K206" s="381">
        <v>1</v>
      </c>
      <c r="L206" s="380">
        <v>170</v>
      </c>
    </row>
    <row r="207" spans="1:12">
      <c r="A207" s="378" t="s">
        <v>97</v>
      </c>
      <c r="B207" s="379" t="s">
        <v>983</v>
      </c>
      <c r="C207" s="380" t="s">
        <v>1250</v>
      </c>
      <c r="D207" s="381">
        <v>1</v>
      </c>
      <c r="E207" s="380">
        <v>60</v>
      </c>
      <c r="H207" s="378" t="s">
        <v>66</v>
      </c>
      <c r="I207" s="379" t="s">
        <v>948</v>
      </c>
      <c r="J207" s="380" t="s">
        <v>1249</v>
      </c>
      <c r="K207" s="381"/>
      <c r="L207" s="380">
        <v>212</v>
      </c>
    </row>
    <row r="208" spans="1:12">
      <c r="A208" s="378" t="s">
        <v>97</v>
      </c>
      <c r="B208" s="379" t="s">
        <v>952</v>
      </c>
      <c r="C208" s="380" t="s">
        <v>1251</v>
      </c>
      <c r="D208" s="381">
        <v>1</v>
      </c>
      <c r="E208" s="380">
        <v>30</v>
      </c>
      <c r="H208" s="378" t="s">
        <v>66</v>
      </c>
      <c r="I208" s="379" t="s">
        <v>975</v>
      </c>
      <c r="J208" s="380" t="s">
        <v>1252</v>
      </c>
      <c r="K208" s="381">
        <v>1</v>
      </c>
      <c r="L208" s="380">
        <v>21</v>
      </c>
    </row>
    <row r="209" spans="1:12">
      <c r="A209" s="378" t="s">
        <v>97</v>
      </c>
      <c r="B209" s="379" t="s">
        <v>948</v>
      </c>
      <c r="C209" s="380" t="s">
        <v>1251</v>
      </c>
      <c r="D209" s="381"/>
      <c r="E209" s="380">
        <v>30</v>
      </c>
      <c r="H209" s="378" t="s">
        <v>66</v>
      </c>
      <c r="I209" s="379" t="s">
        <v>948</v>
      </c>
      <c r="J209" s="380" t="s">
        <v>1252</v>
      </c>
      <c r="K209" s="381"/>
      <c r="L209" s="380">
        <v>21</v>
      </c>
    </row>
    <row r="210" spans="1:12">
      <c r="A210" s="378" t="s">
        <v>97</v>
      </c>
      <c r="B210" s="379" t="s">
        <v>985</v>
      </c>
      <c r="C210" s="380" t="s">
        <v>1253</v>
      </c>
      <c r="D210" s="381">
        <v>1</v>
      </c>
      <c r="E210" s="380">
        <v>130</v>
      </c>
      <c r="H210" s="378" t="s">
        <v>66</v>
      </c>
      <c r="I210" s="379" t="s">
        <v>975</v>
      </c>
      <c r="J210" s="380" t="s">
        <v>1254</v>
      </c>
      <c r="K210" s="381">
        <v>1</v>
      </c>
      <c r="L210" s="380">
        <v>58</v>
      </c>
    </row>
    <row r="211" spans="1:12">
      <c r="A211" s="378" t="s">
        <v>97</v>
      </c>
      <c r="B211" s="379" t="s">
        <v>952</v>
      </c>
      <c r="C211" s="380" t="s">
        <v>1255</v>
      </c>
      <c r="D211" s="381">
        <v>1</v>
      </c>
      <c r="E211" s="380">
        <v>50</v>
      </c>
      <c r="H211" s="378" t="s">
        <v>66</v>
      </c>
      <c r="I211" s="379" t="s">
        <v>948</v>
      </c>
      <c r="J211" s="380" t="s">
        <v>1256</v>
      </c>
      <c r="K211" s="381">
        <v>1</v>
      </c>
      <c r="L211" s="380">
        <v>164</v>
      </c>
    </row>
    <row r="212" spans="1:12">
      <c r="A212" s="378" t="s">
        <v>97</v>
      </c>
      <c r="B212" s="379" t="s">
        <v>983</v>
      </c>
      <c r="C212" s="380" t="s">
        <v>1255</v>
      </c>
      <c r="D212" s="381">
        <v>1</v>
      </c>
      <c r="E212" s="380">
        <v>100</v>
      </c>
      <c r="H212" s="378" t="s">
        <v>66</v>
      </c>
      <c r="I212" s="379" t="s">
        <v>948</v>
      </c>
      <c r="J212" s="380" t="s">
        <v>1257</v>
      </c>
      <c r="K212" s="381">
        <v>1</v>
      </c>
      <c r="L212" s="380">
        <v>44</v>
      </c>
    </row>
    <row r="213" spans="1:12">
      <c r="A213" s="378" t="s">
        <v>97</v>
      </c>
      <c r="B213" s="379" t="s">
        <v>948</v>
      </c>
      <c r="C213" s="380" t="s">
        <v>1255</v>
      </c>
      <c r="D213" s="381"/>
      <c r="E213" s="380">
        <v>50</v>
      </c>
      <c r="H213" s="378" t="s">
        <v>66</v>
      </c>
      <c r="I213" s="379" t="s">
        <v>948</v>
      </c>
      <c r="J213" s="380" t="s">
        <v>1258</v>
      </c>
      <c r="K213" s="381">
        <v>1</v>
      </c>
      <c r="L213" s="380">
        <v>202</v>
      </c>
    </row>
    <row r="214" spans="1:12">
      <c r="A214" s="378" t="s">
        <v>97</v>
      </c>
      <c r="B214" s="379" t="s">
        <v>985</v>
      </c>
      <c r="C214" s="380" t="s">
        <v>1255</v>
      </c>
      <c r="D214" s="381"/>
      <c r="E214" s="380">
        <v>100</v>
      </c>
      <c r="H214" s="378" t="s">
        <v>66</v>
      </c>
      <c r="I214" s="379" t="s">
        <v>975</v>
      </c>
      <c r="J214" s="380" t="s">
        <v>1259</v>
      </c>
      <c r="K214" s="381">
        <v>1</v>
      </c>
      <c r="L214" s="380">
        <v>33</v>
      </c>
    </row>
    <row r="215" spans="1:12">
      <c r="A215" s="378" t="s">
        <v>97</v>
      </c>
      <c r="B215" s="379" t="s">
        <v>952</v>
      </c>
      <c r="C215" s="380" t="s">
        <v>1260</v>
      </c>
      <c r="D215" s="381">
        <v>1</v>
      </c>
      <c r="E215" s="380">
        <v>70</v>
      </c>
      <c r="H215" s="378" t="s">
        <v>66</v>
      </c>
      <c r="I215" s="379" t="s">
        <v>948</v>
      </c>
      <c r="J215" s="380" t="s">
        <v>1259</v>
      </c>
      <c r="K215" s="381"/>
      <c r="L215" s="380">
        <v>33</v>
      </c>
    </row>
    <row r="216" spans="1:12">
      <c r="A216" s="378" t="s">
        <v>97</v>
      </c>
      <c r="B216" s="379" t="s">
        <v>948</v>
      </c>
      <c r="C216" s="380" t="s">
        <v>1260</v>
      </c>
      <c r="D216" s="381"/>
      <c r="E216" s="380">
        <v>70</v>
      </c>
      <c r="H216" s="378" t="s">
        <v>66</v>
      </c>
      <c r="I216" s="379" t="s">
        <v>975</v>
      </c>
      <c r="J216" s="380" t="s">
        <v>1261</v>
      </c>
      <c r="K216" s="381">
        <v>1</v>
      </c>
      <c r="L216" s="380">
        <v>49</v>
      </c>
    </row>
    <row r="217" spans="1:12">
      <c r="A217" s="378" t="s">
        <v>97</v>
      </c>
      <c r="B217" s="379" t="s">
        <v>948</v>
      </c>
      <c r="C217" s="380" t="s">
        <v>1262</v>
      </c>
      <c r="D217" s="381">
        <v>1</v>
      </c>
      <c r="E217" s="380">
        <v>50</v>
      </c>
      <c r="H217" s="378" t="s">
        <v>66</v>
      </c>
      <c r="I217" s="379" t="s">
        <v>948</v>
      </c>
      <c r="J217" s="380" t="s">
        <v>1261</v>
      </c>
      <c r="K217" s="381"/>
      <c r="L217" s="380">
        <v>49</v>
      </c>
    </row>
    <row r="218" spans="1:12">
      <c r="A218" s="378" t="s">
        <v>97</v>
      </c>
      <c r="B218" s="379" t="s">
        <v>952</v>
      </c>
      <c r="C218" s="380" t="s">
        <v>1263</v>
      </c>
      <c r="D218" s="381">
        <v>1</v>
      </c>
      <c r="E218" s="380">
        <v>120</v>
      </c>
      <c r="H218" s="378" t="s">
        <v>66</v>
      </c>
      <c r="I218" s="379" t="s">
        <v>975</v>
      </c>
      <c r="J218" s="380" t="s">
        <v>1264</v>
      </c>
      <c r="K218" s="381">
        <v>1</v>
      </c>
      <c r="L218" s="380">
        <v>49</v>
      </c>
    </row>
    <row r="219" spans="1:12">
      <c r="A219" s="378" t="s">
        <v>97</v>
      </c>
      <c r="B219" s="379" t="s">
        <v>983</v>
      </c>
      <c r="C219" s="380" t="s">
        <v>1265</v>
      </c>
      <c r="D219" s="381">
        <v>1</v>
      </c>
      <c r="E219" s="380">
        <v>40</v>
      </c>
      <c r="H219" s="378" t="s">
        <v>66</v>
      </c>
      <c r="I219" s="379" t="s">
        <v>948</v>
      </c>
      <c r="J219" s="380" t="s">
        <v>1264</v>
      </c>
      <c r="K219" s="381"/>
      <c r="L219" s="380">
        <v>49</v>
      </c>
    </row>
    <row r="220" spans="1:12">
      <c r="A220" s="378" t="s">
        <v>97</v>
      </c>
      <c r="B220" s="379" t="s">
        <v>948</v>
      </c>
      <c r="C220" s="380" t="s">
        <v>1265</v>
      </c>
      <c r="D220" s="381">
        <v>1</v>
      </c>
      <c r="E220" s="380">
        <v>60</v>
      </c>
      <c r="H220" s="378" t="s">
        <v>66</v>
      </c>
      <c r="I220" s="379" t="s">
        <v>975</v>
      </c>
      <c r="J220" s="380" t="s">
        <v>1266</v>
      </c>
      <c r="K220" s="381">
        <v>1</v>
      </c>
      <c r="L220" s="380">
        <v>40</v>
      </c>
    </row>
    <row r="221" spans="1:12">
      <c r="A221" s="378" t="s">
        <v>97</v>
      </c>
      <c r="B221" s="379" t="s">
        <v>985</v>
      </c>
      <c r="C221" s="380" t="s">
        <v>1265</v>
      </c>
      <c r="D221" s="381"/>
      <c r="E221" s="380">
        <v>40</v>
      </c>
      <c r="H221" s="378" t="s">
        <v>66</v>
      </c>
      <c r="I221" s="379" t="s">
        <v>948</v>
      </c>
      <c r="J221" s="380" t="s">
        <v>1266</v>
      </c>
      <c r="K221" s="381"/>
      <c r="L221" s="380">
        <v>40</v>
      </c>
    </row>
    <row r="222" spans="1:12">
      <c r="A222" s="378" t="s">
        <v>97</v>
      </c>
      <c r="B222" s="379" t="s">
        <v>952</v>
      </c>
      <c r="C222" s="380" t="s">
        <v>1267</v>
      </c>
      <c r="D222" s="381">
        <v>1</v>
      </c>
      <c r="E222" s="380">
        <v>60</v>
      </c>
      <c r="H222" s="378" t="s">
        <v>66</v>
      </c>
      <c r="I222" s="379" t="s">
        <v>948</v>
      </c>
      <c r="J222" s="380" t="s">
        <v>1268</v>
      </c>
      <c r="K222" s="381">
        <v>1</v>
      </c>
      <c r="L222" s="380">
        <v>29</v>
      </c>
    </row>
    <row r="223" spans="1:12">
      <c r="A223" s="378" t="s">
        <v>97</v>
      </c>
      <c r="B223" s="379" t="s">
        <v>948</v>
      </c>
      <c r="C223" s="380" t="s">
        <v>1267</v>
      </c>
      <c r="D223" s="381"/>
      <c r="E223" s="380">
        <v>60</v>
      </c>
      <c r="H223" s="378" t="s">
        <v>66</v>
      </c>
      <c r="I223" s="379" t="s">
        <v>975</v>
      </c>
      <c r="J223" s="380" t="s">
        <v>1269</v>
      </c>
      <c r="K223" s="381">
        <v>1</v>
      </c>
      <c r="L223" s="380">
        <v>49</v>
      </c>
    </row>
    <row r="224" spans="1:12">
      <c r="A224" s="378" t="s">
        <v>97</v>
      </c>
      <c r="B224" s="379" t="s">
        <v>952</v>
      </c>
      <c r="C224" s="380" t="s">
        <v>1270</v>
      </c>
      <c r="D224" s="381">
        <v>1</v>
      </c>
      <c r="E224" s="380">
        <v>30</v>
      </c>
      <c r="H224" s="378" t="s">
        <v>66</v>
      </c>
      <c r="I224" s="379" t="s">
        <v>948</v>
      </c>
      <c r="J224" s="380" t="s">
        <v>1269</v>
      </c>
      <c r="K224" s="381"/>
      <c r="L224" s="380">
        <v>30</v>
      </c>
    </row>
    <row r="225" spans="1:14">
      <c r="A225" s="378" t="s">
        <v>97</v>
      </c>
      <c r="B225" s="379" t="s">
        <v>948</v>
      </c>
      <c r="C225" s="380" t="s">
        <v>1270</v>
      </c>
      <c r="D225" s="381"/>
      <c r="E225" s="380">
        <v>30</v>
      </c>
      <c r="H225" s="378" t="s">
        <v>66</v>
      </c>
      <c r="I225" s="379" t="s">
        <v>948</v>
      </c>
      <c r="J225" s="380" t="s">
        <v>1271</v>
      </c>
      <c r="K225" s="381">
        <v>1</v>
      </c>
      <c r="L225" s="380">
        <v>48</v>
      </c>
    </row>
    <row r="226" spans="1:14">
      <c r="A226" s="378" t="s">
        <v>97</v>
      </c>
      <c r="B226" s="379" t="s">
        <v>985</v>
      </c>
      <c r="C226" s="380" t="s">
        <v>1270</v>
      </c>
      <c r="D226" s="381">
        <v>1</v>
      </c>
      <c r="E226" s="380">
        <v>130</v>
      </c>
      <c r="H226" s="378" t="s">
        <v>66</v>
      </c>
      <c r="I226" s="379" t="s">
        <v>948</v>
      </c>
      <c r="J226" s="380" t="s">
        <v>1272</v>
      </c>
      <c r="K226" s="381">
        <v>1</v>
      </c>
      <c r="L226" s="380">
        <v>70</v>
      </c>
    </row>
    <row r="227" spans="1:14">
      <c r="A227" s="378" t="s">
        <v>97</v>
      </c>
      <c r="B227" s="379" t="s">
        <v>952</v>
      </c>
      <c r="C227" s="380" t="s">
        <v>1273</v>
      </c>
      <c r="D227" s="381">
        <v>1</v>
      </c>
      <c r="E227" s="380">
        <v>80</v>
      </c>
      <c r="H227" s="378" t="s">
        <v>67</v>
      </c>
      <c r="I227" s="379" t="s">
        <v>950</v>
      </c>
      <c r="J227" s="380" t="s">
        <v>1274</v>
      </c>
      <c r="K227" s="381">
        <v>1</v>
      </c>
      <c r="L227" s="380">
        <v>149</v>
      </c>
    </row>
    <row r="228" spans="1:14">
      <c r="A228" s="378" t="s">
        <v>97</v>
      </c>
      <c r="B228" s="379" t="s">
        <v>948</v>
      </c>
      <c r="C228" s="380" t="s">
        <v>1273</v>
      </c>
      <c r="D228" s="381"/>
      <c r="E228" s="380">
        <v>80</v>
      </c>
      <c r="H228" s="378" t="s">
        <v>67</v>
      </c>
      <c r="I228" s="379" t="s">
        <v>950</v>
      </c>
      <c r="J228" s="380" t="s">
        <v>1275</v>
      </c>
      <c r="K228" s="381">
        <v>1</v>
      </c>
      <c r="L228" s="380">
        <v>98</v>
      </c>
    </row>
    <row r="229" spans="1:14">
      <c r="A229" s="378" t="s">
        <v>97</v>
      </c>
      <c r="B229" s="379" t="s">
        <v>952</v>
      </c>
      <c r="C229" s="380" t="s">
        <v>1276</v>
      </c>
      <c r="D229" s="381">
        <v>1</v>
      </c>
      <c r="E229" s="380">
        <v>30</v>
      </c>
      <c r="H229" s="378" t="s">
        <v>67</v>
      </c>
      <c r="I229" s="379" t="s">
        <v>950</v>
      </c>
      <c r="J229" s="380" t="s">
        <v>1277</v>
      </c>
      <c r="K229" s="381">
        <v>1</v>
      </c>
      <c r="L229" s="380">
        <v>134</v>
      </c>
    </row>
    <row r="230" spans="1:14">
      <c r="A230" s="378" t="s">
        <v>97</v>
      </c>
      <c r="B230" s="379" t="s">
        <v>948</v>
      </c>
      <c r="C230" s="380" t="s">
        <v>1276</v>
      </c>
      <c r="D230" s="381"/>
      <c r="E230" s="380">
        <v>30</v>
      </c>
      <c r="H230" s="378" t="s">
        <v>67</v>
      </c>
      <c r="I230" s="379" t="s">
        <v>950</v>
      </c>
      <c r="J230" s="380" t="s">
        <v>1278</v>
      </c>
      <c r="K230" s="381">
        <v>1</v>
      </c>
      <c r="L230" s="380">
        <v>187</v>
      </c>
    </row>
    <row r="231" spans="1:14">
      <c r="A231" s="378" t="s">
        <v>97</v>
      </c>
      <c r="B231" s="379" t="s">
        <v>952</v>
      </c>
      <c r="C231" s="380" t="s">
        <v>1279</v>
      </c>
      <c r="D231" s="381">
        <v>1</v>
      </c>
      <c r="E231" s="380">
        <v>60</v>
      </c>
      <c r="H231" s="378" t="s">
        <v>67</v>
      </c>
      <c r="I231" s="379" t="s">
        <v>950</v>
      </c>
      <c r="J231" s="380" t="s">
        <v>1280</v>
      </c>
      <c r="K231" s="381">
        <v>1</v>
      </c>
      <c r="L231" s="380">
        <v>117</v>
      </c>
    </row>
    <row r="232" spans="1:14">
      <c r="A232" s="378" t="s">
        <v>97</v>
      </c>
      <c r="B232" s="379" t="s">
        <v>948</v>
      </c>
      <c r="C232" s="380" t="s">
        <v>1279</v>
      </c>
      <c r="D232" s="381"/>
      <c r="E232" s="380">
        <v>60</v>
      </c>
      <c r="H232" s="378" t="s">
        <v>67</v>
      </c>
      <c r="I232" s="379" t="s">
        <v>950</v>
      </c>
      <c r="J232" s="380" t="s">
        <v>1281</v>
      </c>
      <c r="K232" s="381">
        <v>1</v>
      </c>
      <c r="L232" s="380">
        <v>221</v>
      </c>
    </row>
    <row r="233" spans="1:14">
      <c r="A233" s="378" t="s">
        <v>97</v>
      </c>
      <c r="B233" s="379" t="s">
        <v>985</v>
      </c>
      <c r="C233" s="380" t="s">
        <v>1282</v>
      </c>
      <c r="D233" s="381">
        <v>1</v>
      </c>
      <c r="E233" s="380">
        <v>150</v>
      </c>
      <c r="H233" s="378" t="s">
        <v>67</v>
      </c>
      <c r="I233" s="379" t="s">
        <v>950</v>
      </c>
      <c r="J233" s="380" t="s">
        <v>1283</v>
      </c>
      <c r="K233" s="381">
        <v>1</v>
      </c>
      <c r="L233" s="380">
        <v>73</v>
      </c>
    </row>
    <row r="234" spans="1:14">
      <c r="A234" s="378" t="s">
        <v>97</v>
      </c>
      <c r="B234" s="379" t="s">
        <v>985</v>
      </c>
      <c r="C234" s="380" t="s">
        <v>1284</v>
      </c>
      <c r="D234" s="381">
        <v>1</v>
      </c>
      <c r="E234" s="380">
        <v>200</v>
      </c>
      <c r="H234" s="378" t="s">
        <v>67</v>
      </c>
      <c r="I234" s="379" t="s">
        <v>950</v>
      </c>
      <c r="J234" s="380" t="s">
        <v>1285</v>
      </c>
      <c r="K234" s="381">
        <v>1</v>
      </c>
      <c r="L234" s="380">
        <v>73</v>
      </c>
    </row>
    <row r="235" spans="1:14">
      <c r="A235" s="378" t="s">
        <v>97</v>
      </c>
      <c r="B235" s="379" t="s">
        <v>985</v>
      </c>
      <c r="C235" s="380" t="s">
        <v>1286</v>
      </c>
      <c r="D235" s="381">
        <v>1</v>
      </c>
      <c r="E235" s="380">
        <v>120</v>
      </c>
      <c r="H235" s="378" t="s">
        <v>67</v>
      </c>
      <c r="I235" s="379" t="s">
        <v>950</v>
      </c>
      <c r="J235" s="380" t="s">
        <v>1287</v>
      </c>
      <c r="K235" s="381">
        <v>1</v>
      </c>
      <c r="L235" s="380">
        <v>164</v>
      </c>
    </row>
    <row r="236" spans="1:14">
      <c r="A236" s="378" t="s">
        <v>97</v>
      </c>
      <c r="B236" s="379" t="s">
        <v>952</v>
      </c>
      <c r="C236" s="380" t="s">
        <v>1288</v>
      </c>
      <c r="D236" s="381">
        <v>1</v>
      </c>
      <c r="E236" s="380">
        <v>140</v>
      </c>
      <c r="H236" s="378" t="s">
        <v>67</v>
      </c>
      <c r="I236" s="379" t="s">
        <v>950</v>
      </c>
      <c r="J236" s="380" t="s">
        <v>1289</v>
      </c>
      <c r="K236" s="381">
        <v>1</v>
      </c>
      <c r="L236" s="380">
        <v>235</v>
      </c>
    </row>
    <row r="237" spans="1:14">
      <c r="A237" s="378" t="s">
        <v>97</v>
      </c>
      <c r="B237" s="379" t="s">
        <v>948</v>
      </c>
      <c r="C237" s="380" t="s">
        <v>1288</v>
      </c>
      <c r="D237" s="381"/>
      <c r="E237" s="380">
        <v>140</v>
      </c>
      <c r="H237" s="378" t="s">
        <v>67</v>
      </c>
      <c r="I237" s="379" t="s">
        <v>950</v>
      </c>
      <c r="J237" s="380" t="s">
        <v>1290</v>
      </c>
      <c r="K237" s="381">
        <v>1</v>
      </c>
      <c r="L237" s="380">
        <v>286</v>
      </c>
    </row>
    <row r="238" spans="1:14">
      <c r="A238" s="378" t="s">
        <v>97</v>
      </c>
      <c r="B238" s="379" t="s">
        <v>952</v>
      </c>
      <c r="C238" s="380" t="s">
        <v>1291</v>
      </c>
      <c r="D238" s="381">
        <v>1</v>
      </c>
      <c r="E238" s="380">
        <v>150</v>
      </c>
      <c r="H238" s="378" t="s">
        <v>67</v>
      </c>
      <c r="I238" s="379" t="s">
        <v>950</v>
      </c>
      <c r="J238" s="380" t="s">
        <v>1292</v>
      </c>
      <c r="K238" s="381">
        <v>1</v>
      </c>
      <c r="L238" s="380">
        <v>12</v>
      </c>
    </row>
    <row r="239" spans="1:14">
      <c r="A239" s="378" t="s">
        <v>97</v>
      </c>
      <c r="B239" s="379" t="s">
        <v>948</v>
      </c>
      <c r="C239" s="380" t="s">
        <v>1291</v>
      </c>
      <c r="D239" s="381"/>
      <c r="E239" s="380">
        <v>130</v>
      </c>
      <c r="H239" s="378" t="s">
        <v>66</v>
      </c>
      <c r="I239" s="379" t="s">
        <v>975</v>
      </c>
      <c r="J239" s="380" t="s">
        <v>1293</v>
      </c>
      <c r="K239" s="382">
        <v>1</v>
      </c>
      <c r="L239" s="383">
        <v>16</v>
      </c>
    </row>
    <row r="240" spans="1:14">
      <c r="A240" s="378" t="s">
        <v>69</v>
      </c>
      <c r="B240" s="379" t="s">
        <v>975</v>
      </c>
      <c r="C240" s="380" t="s">
        <v>1294</v>
      </c>
      <c r="D240" s="381">
        <v>1</v>
      </c>
      <c r="E240" s="380">
        <v>50</v>
      </c>
      <c r="K240" s="384">
        <f>COUNT(K2:K239)</f>
        <v>210</v>
      </c>
      <c r="L240" s="384">
        <f>COUNT(L2:L239)</f>
        <v>238</v>
      </c>
      <c r="M240" s="384">
        <f>+L240-K240</f>
        <v>28</v>
      </c>
      <c r="N240" s="385">
        <f>+K240/L240-1</f>
        <v>-0.11764705882352944</v>
      </c>
    </row>
    <row r="241" spans="1:10">
      <c r="A241" s="378" t="s">
        <v>69</v>
      </c>
      <c r="B241" s="379" t="s">
        <v>975</v>
      </c>
      <c r="C241" s="381" t="s">
        <v>1295</v>
      </c>
      <c r="D241" s="381">
        <v>1</v>
      </c>
      <c r="E241" s="380">
        <v>50</v>
      </c>
    </row>
    <row r="242" spans="1:10">
      <c r="A242" s="378" t="s">
        <v>69</v>
      </c>
      <c r="B242" s="379" t="s">
        <v>1296</v>
      </c>
      <c r="C242" s="380" t="s">
        <v>1295</v>
      </c>
      <c r="D242" s="381"/>
      <c r="E242" s="380">
        <v>50</v>
      </c>
      <c r="H242" t="s">
        <v>890</v>
      </c>
      <c r="I242" t="s">
        <v>891</v>
      </c>
      <c r="J242" t="s">
        <v>892</v>
      </c>
    </row>
    <row r="243" spans="1:10">
      <c r="A243" s="378" t="s">
        <v>69</v>
      </c>
      <c r="B243" s="379" t="s">
        <v>1296</v>
      </c>
      <c r="C243" s="380" t="s">
        <v>1297</v>
      </c>
      <c r="D243" s="381">
        <v>1</v>
      </c>
      <c r="E243" s="380">
        <v>40</v>
      </c>
      <c r="H243" t="s">
        <v>893</v>
      </c>
      <c r="I243">
        <v>1</v>
      </c>
      <c r="J243">
        <v>1</v>
      </c>
    </row>
    <row r="244" spans="1:10">
      <c r="A244" s="378" t="s">
        <v>97</v>
      </c>
      <c r="B244" s="379" t="s">
        <v>948</v>
      </c>
      <c r="C244" s="380" t="s">
        <v>1298</v>
      </c>
      <c r="D244" s="381">
        <v>1</v>
      </c>
      <c r="E244" s="380">
        <v>120</v>
      </c>
      <c r="H244" t="s">
        <v>894</v>
      </c>
      <c r="I244">
        <v>1</v>
      </c>
      <c r="J244">
        <v>1</v>
      </c>
    </row>
    <row r="245" spans="1:10">
      <c r="A245" s="378" t="s">
        <v>69</v>
      </c>
      <c r="B245" s="379" t="s">
        <v>975</v>
      </c>
      <c r="C245" s="380" t="s">
        <v>1299</v>
      </c>
      <c r="D245" s="381">
        <v>1</v>
      </c>
      <c r="E245" s="380">
        <v>200</v>
      </c>
      <c r="H245" t="s">
        <v>895</v>
      </c>
      <c r="I245">
        <v>1</v>
      </c>
      <c r="J245">
        <v>1</v>
      </c>
    </row>
    <row r="246" spans="1:10">
      <c r="A246" s="378" t="s">
        <v>69</v>
      </c>
      <c r="B246" s="379" t="s">
        <v>975</v>
      </c>
      <c r="C246" s="380" t="s">
        <v>1300</v>
      </c>
      <c r="D246" s="381">
        <v>1</v>
      </c>
      <c r="E246" s="380">
        <v>20</v>
      </c>
      <c r="H246" t="s">
        <v>896</v>
      </c>
      <c r="I246">
        <v>1</v>
      </c>
      <c r="J246">
        <v>1</v>
      </c>
    </row>
    <row r="247" spans="1:10">
      <c r="A247" s="378" t="s">
        <v>69</v>
      </c>
      <c r="B247" s="379" t="s">
        <v>1296</v>
      </c>
      <c r="C247" s="380" t="s">
        <v>1300</v>
      </c>
      <c r="D247" s="381"/>
      <c r="E247" s="380">
        <v>20</v>
      </c>
      <c r="H247" t="s">
        <v>897</v>
      </c>
      <c r="I247">
        <v>2</v>
      </c>
      <c r="J247">
        <v>1</v>
      </c>
    </row>
    <row r="248" spans="1:10">
      <c r="A248" s="378" t="s">
        <v>69</v>
      </c>
      <c r="B248" s="379" t="s">
        <v>975</v>
      </c>
      <c r="C248" s="380" t="s">
        <v>1301</v>
      </c>
      <c r="D248" s="381">
        <v>1</v>
      </c>
      <c r="E248" s="380">
        <v>20</v>
      </c>
      <c r="H248" t="s">
        <v>898</v>
      </c>
      <c r="I248">
        <v>2</v>
      </c>
      <c r="J248">
        <v>1</v>
      </c>
    </row>
    <row r="249" spans="1:10">
      <c r="A249" s="378" t="s">
        <v>69</v>
      </c>
      <c r="B249" s="379" t="s">
        <v>1302</v>
      </c>
      <c r="C249" s="380" t="s">
        <v>1303</v>
      </c>
      <c r="D249" s="381">
        <v>1</v>
      </c>
      <c r="E249" s="380">
        <v>100</v>
      </c>
      <c r="H249" t="s">
        <v>899</v>
      </c>
      <c r="I249">
        <v>2</v>
      </c>
      <c r="J249">
        <v>1</v>
      </c>
    </row>
    <row r="250" spans="1:10">
      <c r="A250" s="378" t="s">
        <v>69</v>
      </c>
      <c r="B250" s="379" t="s">
        <v>1004</v>
      </c>
      <c r="C250" s="380" t="s">
        <v>1303</v>
      </c>
      <c r="D250" s="381">
        <v>1</v>
      </c>
      <c r="E250" s="380">
        <v>100</v>
      </c>
      <c r="H250" t="s">
        <v>900</v>
      </c>
      <c r="I250">
        <v>2</v>
      </c>
      <c r="J250">
        <v>1</v>
      </c>
    </row>
    <row r="251" spans="1:10">
      <c r="A251" s="378" t="s">
        <v>69</v>
      </c>
      <c r="B251" s="379" t="s">
        <v>1302</v>
      </c>
      <c r="C251" s="380" t="s">
        <v>1304</v>
      </c>
      <c r="D251" s="381">
        <v>1</v>
      </c>
      <c r="E251" s="380">
        <v>100</v>
      </c>
      <c r="H251" t="s">
        <v>901</v>
      </c>
      <c r="I251">
        <v>2</v>
      </c>
      <c r="J251">
        <v>1</v>
      </c>
    </row>
    <row r="252" spans="1:10">
      <c r="A252" s="378" t="s">
        <v>69</v>
      </c>
      <c r="B252" s="379" t="s">
        <v>1296</v>
      </c>
      <c r="C252" s="380" t="s">
        <v>1304</v>
      </c>
      <c r="D252" s="381">
        <v>1</v>
      </c>
      <c r="E252" s="380">
        <v>40</v>
      </c>
      <c r="H252" t="s">
        <v>902</v>
      </c>
      <c r="I252">
        <v>2</v>
      </c>
      <c r="J252">
        <v>1</v>
      </c>
    </row>
    <row r="253" spans="1:10">
      <c r="A253" s="378" t="s">
        <v>69</v>
      </c>
      <c r="B253" s="379" t="s">
        <v>1004</v>
      </c>
      <c r="C253" s="380" t="s">
        <v>1304</v>
      </c>
      <c r="D253" s="381"/>
      <c r="E253" s="380">
        <v>100</v>
      </c>
      <c r="H253" t="s">
        <v>903</v>
      </c>
      <c r="I253">
        <v>2</v>
      </c>
      <c r="J253">
        <v>1</v>
      </c>
    </row>
    <row r="254" spans="1:10">
      <c r="A254" s="378" t="s">
        <v>69</v>
      </c>
      <c r="B254" s="379" t="s">
        <v>1302</v>
      </c>
      <c r="C254" s="380" t="s">
        <v>1305</v>
      </c>
      <c r="D254" s="381">
        <v>1</v>
      </c>
      <c r="E254" s="380">
        <v>100</v>
      </c>
      <c r="H254" t="s">
        <v>904</v>
      </c>
      <c r="I254">
        <v>2</v>
      </c>
      <c r="J254">
        <v>1</v>
      </c>
    </row>
    <row r="255" spans="1:10">
      <c r="A255" s="378" t="s">
        <v>69</v>
      </c>
      <c r="B255" s="379" t="s">
        <v>1004</v>
      </c>
      <c r="C255" s="380" t="s">
        <v>1305</v>
      </c>
      <c r="D255" s="381"/>
      <c r="E255" s="380">
        <v>100</v>
      </c>
      <c r="H255" t="s">
        <v>905</v>
      </c>
      <c r="I255">
        <v>3</v>
      </c>
      <c r="J255">
        <v>1</v>
      </c>
    </row>
    <row r="256" spans="1:10">
      <c r="A256" s="378" t="s">
        <v>69</v>
      </c>
      <c r="B256" s="379" t="s">
        <v>1296</v>
      </c>
      <c r="C256" s="380" t="s">
        <v>1306</v>
      </c>
      <c r="D256" s="381">
        <v>1</v>
      </c>
      <c r="E256" s="380">
        <v>50</v>
      </c>
      <c r="H256" t="s">
        <v>906</v>
      </c>
      <c r="I256">
        <v>2</v>
      </c>
      <c r="J256">
        <v>1</v>
      </c>
    </row>
    <row r="257" spans="1:10">
      <c r="A257" s="378" t="s">
        <v>69</v>
      </c>
      <c r="B257" s="379" t="s">
        <v>975</v>
      </c>
      <c r="C257" s="380" t="s">
        <v>1307</v>
      </c>
      <c r="D257" s="381">
        <v>1</v>
      </c>
      <c r="E257" s="380">
        <v>80</v>
      </c>
      <c r="H257" t="s">
        <v>907</v>
      </c>
      <c r="I257">
        <v>2</v>
      </c>
      <c r="J257">
        <v>1</v>
      </c>
    </row>
    <row r="258" spans="1:10">
      <c r="A258" s="378" t="s">
        <v>69</v>
      </c>
      <c r="B258" s="379" t="s">
        <v>1296</v>
      </c>
      <c r="C258" s="380" t="s">
        <v>1307</v>
      </c>
      <c r="D258" s="381"/>
      <c r="E258" s="380">
        <v>50</v>
      </c>
      <c r="H258" t="s">
        <v>908</v>
      </c>
      <c r="I258">
        <v>2</v>
      </c>
      <c r="J258">
        <v>1</v>
      </c>
    </row>
    <row r="259" spans="1:10">
      <c r="A259" s="378" t="s">
        <v>69</v>
      </c>
      <c r="B259" s="379" t="s">
        <v>1004</v>
      </c>
      <c r="C259" s="380" t="s">
        <v>1307</v>
      </c>
      <c r="D259" s="381">
        <v>1</v>
      </c>
      <c r="E259" s="380">
        <v>80</v>
      </c>
      <c r="H259" t="s">
        <v>909</v>
      </c>
      <c r="I259">
        <v>2</v>
      </c>
      <c r="J259">
        <v>1</v>
      </c>
    </row>
    <row r="260" spans="1:10">
      <c r="A260" s="378" t="s">
        <v>69</v>
      </c>
      <c r="B260" s="379" t="s">
        <v>1302</v>
      </c>
      <c r="C260" s="380" t="s">
        <v>1308</v>
      </c>
      <c r="D260" s="381">
        <v>1</v>
      </c>
      <c r="E260" s="380">
        <v>40</v>
      </c>
      <c r="H260" t="s">
        <v>910</v>
      </c>
      <c r="I260">
        <v>2</v>
      </c>
      <c r="J260">
        <v>1</v>
      </c>
    </row>
    <row r="261" spans="1:10">
      <c r="A261" s="378" t="s">
        <v>69</v>
      </c>
      <c r="B261" s="379" t="s">
        <v>1004</v>
      </c>
      <c r="C261" s="380" t="s">
        <v>1308</v>
      </c>
      <c r="D261" s="381"/>
      <c r="E261" s="380">
        <v>40</v>
      </c>
      <c r="H261" t="s">
        <v>911</v>
      </c>
      <c r="I261">
        <v>2</v>
      </c>
      <c r="J261">
        <v>1</v>
      </c>
    </row>
    <row r="262" spans="1:10">
      <c r="A262" s="378" t="s">
        <v>69</v>
      </c>
      <c r="B262" s="379" t="s">
        <v>975</v>
      </c>
      <c r="C262" s="380" t="s">
        <v>1309</v>
      </c>
      <c r="D262" s="381">
        <v>1</v>
      </c>
      <c r="E262" s="380">
        <v>30</v>
      </c>
      <c r="H262" t="s">
        <v>912</v>
      </c>
      <c r="I262">
        <v>3</v>
      </c>
      <c r="J262">
        <v>1</v>
      </c>
    </row>
    <row r="263" spans="1:10">
      <c r="A263" s="378" t="s">
        <v>69</v>
      </c>
      <c r="B263" s="379" t="s">
        <v>1296</v>
      </c>
      <c r="C263" s="380" t="s">
        <v>1309</v>
      </c>
      <c r="D263" s="381"/>
      <c r="E263" s="380">
        <v>40</v>
      </c>
      <c r="H263" t="s">
        <v>913</v>
      </c>
      <c r="I263">
        <v>2</v>
      </c>
      <c r="J263">
        <v>1</v>
      </c>
    </row>
    <row r="264" spans="1:10">
      <c r="A264" s="378" t="s">
        <v>69</v>
      </c>
      <c r="B264" s="379" t="s">
        <v>975</v>
      </c>
      <c r="C264" s="380" t="s">
        <v>1310</v>
      </c>
      <c r="D264" s="381">
        <v>1</v>
      </c>
      <c r="E264" s="380">
        <v>50</v>
      </c>
      <c r="H264" t="s">
        <v>914</v>
      </c>
      <c r="I264">
        <v>2</v>
      </c>
      <c r="J264">
        <v>1</v>
      </c>
    </row>
    <row r="265" spans="1:10">
      <c r="A265" s="378" t="s">
        <v>69</v>
      </c>
      <c r="B265" s="379" t="s">
        <v>1296</v>
      </c>
      <c r="C265" s="380" t="s">
        <v>1310</v>
      </c>
      <c r="D265" s="381"/>
      <c r="E265" s="380">
        <v>50</v>
      </c>
      <c r="H265" t="s">
        <v>915</v>
      </c>
      <c r="I265">
        <v>2</v>
      </c>
      <c r="J265">
        <v>1</v>
      </c>
    </row>
    <row r="266" spans="1:10">
      <c r="A266" s="378" t="s">
        <v>69</v>
      </c>
      <c r="B266" s="379" t="s">
        <v>975</v>
      </c>
      <c r="C266" s="380" t="s">
        <v>1311</v>
      </c>
      <c r="D266" s="381">
        <v>1</v>
      </c>
      <c r="E266" s="380">
        <v>50</v>
      </c>
      <c r="H266" t="s">
        <v>916</v>
      </c>
      <c r="I266">
        <v>2</v>
      </c>
      <c r="J266">
        <v>1</v>
      </c>
    </row>
    <row r="267" spans="1:10">
      <c r="A267" s="378" t="s">
        <v>69</v>
      </c>
      <c r="B267" s="379" t="s">
        <v>975</v>
      </c>
      <c r="C267" s="380" t="s">
        <v>1312</v>
      </c>
      <c r="D267" s="381">
        <v>1</v>
      </c>
      <c r="E267" s="380">
        <v>60</v>
      </c>
      <c r="H267" t="s">
        <v>917</v>
      </c>
      <c r="I267">
        <v>1</v>
      </c>
      <c r="J267">
        <v>1</v>
      </c>
    </row>
    <row r="268" spans="1:10">
      <c r="A268" s="378" t="s">
        <v>69</v>
      </c>
      <c r="B268" s="379" t="s">
        <v>1296</v>
      </c>
      <c r="C268" s="380" t="s">
        <v>1312</v>
      </c>
      <c r="D268" s="381"/>
      <c r="E268" s="380">
        <v>50</v>
      </c>
      <c r="H268" t="s">
        <v>918</v>
      </c>
      <c r="I268">
        <v>2</v>
      </c>
      <c r="J268">
        <v>1</v>
      </c>
    </row>
    <row r="269" spans="1:10">
      <c r="A269" s="378" t="s">
        <v>69</v>
      </c>
      <c r="B269" s="379" t="s">
        <v>975</v>
      </c>
      <c r="C269" s="380" t="s">
        <v>1313</v>
      </c>
      <c r="D269" s="381">
        <v>1</v>
      </c>
      <c r="E269" s="380">
        <v>60</v>
      </c>
      <c r="H269" t="s">
        <v>919</v>
      </c>
      <c r="I269">
        <v>2</v>
      </c>
      <c r="J269">
        <v>1</v>
      </c>
    </row>
    <row r="270" spans="1:10">
      <c r="A270" s="378" t="s">
        <v>69</v>
      </c>
      <c r="B270" s="379" t="s">
        <v>975</v>
      </c>
      <c r="C270" s="380" t="s">
        <v>1314</v>
      </c>
      <c r="D270" s="381">
        <v>1</v>
      </c>
      <c r="E270" s="380">
        <v>50</v>
      </c>
      <c r="H270" t="s">
        <v>920</v>
      </c>
      <c r="I270">
        <v>1</v>
      </c>
      <c r="J270">
        <v>1</v>
      </c>
    </row>
    <row r="271" spans="1:10">
      <c r="A271" s="378" t="s">
        <v>69</v>
      </c>
      <c r="B271" s="379" t="s">
        <v>1296</v>
      </c>
      <c r="C271" s="380" t="s">
        <v>1314</v>
      </c>
      <c r="D271" s="381"/>
      <c r="E271" s="380">
        <v>30</v>
      </c>
      <c r="H271" t="s">
        <v>921</v>
      </c>
      <c r="I271">
        <v>1</v>
      </c>
      <c r="J271">
        <v>1</v>
      </c>
    </row>
    <row r="272" spans="1:10">
      <c r="A272" s="378" t="s">
        <v>69</v>
      </c>
      <c r="B272" s="379" t="s">
        <v>975</v>
      </c>
      <c r="C272" s="380" t="s">
        <v>1315</v>
      </c>
      <c r="D272" s="381">
        <v>1</v>
      </c>
      <c r="E272" s="380">
        <v>60</v>
      </c>
      <c r="H272" t="s">
        <v>922</v>
      </c>
      <c r="I272">
        <v>1</v>
      </c>
      <c r="J272">
        <v>1</v>
      </c>
    </row>
    <row r="273" spans="1:10">
      <c r="A273" s="378" t="s">
        <v>69</v>
      </c>
      <c r="B273" s="379" t="s">
        <v>975</v>
      </c>
      <c r="C273" s="380" t="s">
        <v>1316</v>
      </c>
      <c r="D273" s="381">
        <v>1</v>
      </c>
      <c r="E273" s="380">
        <v>40</v>
      </c>
      <c r="H273" t="s">
        <v>923</v>
      </c>
      <c r="I273">
        <v>1</v>
      </c>
      <c r="J273">
        <v>1</v>
      </c>
    </row>
    <row r="274" spans="1:10">
      <c r="A274" s="378" t="s">
        <v>69</v>
      </c>
      <c r="B274" s="379" t="s">
        <v>1296</v>
      </c>
      <c r="C274" s="380" t="s">
        <v>1316</v>
      </c>
      <c r="D274" s="381"/>
      <c r="E274" s="380">
        <v>40</v>
      </c>
      <c r="H274" t="s">
        <v>924</v>
      </c>
      <c r="I274">
        <v>1</v>
      </c>
      <c r="J274">
        <v>1</v>
      </c>
    </row>
    <row r="275" spans="1:10">
      <c r="A275" s="378" t="s">
        <v>69</v>
      </c>
      <c r="B275" s="379" t="s">
        <v>975</v>
      </c>
      <c r="C275" s="380" t="s">
        <v>1317</v>
      </c>
      <c r="D275" s="381">
        <v>1</v>
      </c>
      <c r="E275" s="380">
        <v>50</v>
      </c>
      <c r="H275" t="s">
        <v>925</v>
      </c>
      <c r="I275">
        <v>1</v>
      </c>
      <c r="J275">
        <v>1</v>
      </c>
    </row>
    <row r="276" spans="1:10">
      <c r="A276" s="378" t="s">
        <v>69</v>
      </c>
      <c r="B276" s="379" t="s">
        <v>1302</v>
      </c>
      <c r="C276" s="380" t="s">
        <v>1317</v>
      </c>
      <c r="D276" s="381">
        <v>1</v>
      </c>
      <c r="E276" s="380">
        <v>40</v>
      </c>
      <c r="H276" t="s">
        <v>926</v>
      </c>
      <c r="I276">
        <v>1</v>
      </c>
      <c r="J276">
        <v>1</v>
      </c>
    </row>
    <row r="277" spans="1:10">
      <c r="A277" s="378" t="s">
        <v>69</v>
      </c>
      <c r="B277" s="379" t="s">
        <v>1296</v>
      </c>
      <c r="C277" s="380" t="s">
        <v>1317</v>
      </c>
      <c r="D277" s="381"/>
      <c r="E277" s="380">
        <v>50</v>
      </c>
      <c r="H277" t="s">
        <v>927</v>
      </c>
      <c r="I277">
        <v>1</v>
      </c>
      <c r="J277">
        <v>1</v>
      </c>
    </row>
    <row r="278" spans="1:10">
      <c r="A278" s="378" t="s">
        <v>69</v>
      </c>
      <c r="B278" s="379" t="s">
        <v>1004</v>
      </c>
      <c r="C278" s="380" t="s">
        <v>1317</v>
      </c>
      <c r="D278" s="381"/>
      <c r="E278" s="380">
        <v>170</v>
      </c>
      <c r="H278" t="s">
        <v>928</v>
      </c>
      <c r="I278">
        <v>1</v>
      </c>
      <c r="J278">
        <v>1</v>
      </c>
    </row>
    <row r="279" spans="1:10">
      <c r="A279" s="378" t="s">
        <v>69</v>
      </c>
      <c r="B279" s="379" t="s">
        <v>975</v>
      </c>
      <c r="C279" s="380" t="s">
        <v>1318</v>
      </c>
      <c r="D279" s="381">
        <v>1</v>
      </c>
      <c r="E279" s="380">
        <v>50</v>
      </c>
      <c r="H279" t="s">
        <v>929</v>
      </c>
      <c r="I279">
        <v>1</v>
      </c>
      <c r="J279">
        <v>1</v>
      </c>
    </row>
    <row r="280" spans="1:10">
      <c r="A280" s="378" t="s">
        <v>69</v>
      </c>
      <c r="B280" s="379" t="s">
        <v>1004</v>
      </c>
      <c r="C280" s="380" t="s">
        <v>1318</v>
      </c>
      <c r="D280" s="381">
        <v>1</v>
      </c>
      <c r="E280" s="380">
        <v>140</v>
      </c>
      <c r="H280" t="s">
        <v>930</v>
      </c>
      <c r="I280">
        <v>1</v>
      </c>
      <c r="J280">
        <v>1</v>
      </c>
    </row>
    <row r="281" spans="1:10">
      <c r="A281" s="378" t="s">
        <v>69</v>
      </c>
      <c r="B281" s="379" t="s">
        <v>975</v>
      </c>
      <c r="C281" s="380" t="s">
        <v>1319</v>
      </c>
      <c r="D281" s="381">
        <v>1</v>
      </c>
      <c r="E281" s="380">
        <v>80</v>
      </c>
      <c r="H281" t="s">
        <v>931</v>
      </c>
      <c r="I281">
        <v>1</v>
      </c>
      <c r="J281">
        <v>1</v>
      </c>
    </row>
    <row r="282" spans="1:10">
      <c r="A282" s="378" t="s">
        <v>69</v>
      </c>
      <c r="B282" s="379" t="s">
        <v>1004</v>
      </c>
      <c r="C282" s="380" t="s">
        <v>1319</v>
      </c>
      <c r="D282" s="381">
        <v>1</v>
      </c>
      <c r="E282" s="380">
        <v>140</v>
      </c>
      <c r="H282" t="s">
        <v>932</v>
      </c>
      <c r="I282">
        <v>1</v>
      </c>
      <c r="J282">
        <v>1</v>
      </c>
    </row>
    <row r="283" spans="1:10">
      <c r="A283" s="378" t="s">
        <v>69</v>
      </c>
      <c r="B283" s="379" t="s">
        <v>975</v>
      </c>
      <c r="C283" s="380" t="s">
        <v>1320</v>
      </c>
      <c r="D283" s="381">
        <v>1</v>
      </c>
      <c r="E283" s="380">
        <v>60</v>
      </c>
      <c r="H283" t="s">
        <v>933</v>
      </c>
      <c r="I283">
        <v>1</v>
      </c>
      <c r="J283">
        <v>1</v>
      </c>
    </row>
    <row r="284" spans="1:10">
      <c r="A284" s="378" t="s">
        <v>69</v>
      </c>
      <c r="B284" s="379" t="s">
        <v>975</v>
      </c>
      <c r="C284" s="380" t="s">
        <v>1321</v>
      </c>
      <c r="D284" s="381">
        <v>1</v>
      </c>
      <c r="E284" s="380">
        <v>80</v>
      </c>
      <c r="H284" t="s">
        <v>934</v>
      </c>
      <c r="I284">
        <v>1</v>
      </c>
      <c r="J284">
        <v>1</v>
      </c>
    </row>
    <row r="285" spans="1:10">
      <c r="A285" s="378" t="s">
        <v>69</v>
      </c>
      <c r="B285" s="379" t="s">
        <v>975</v>
      </c>
      <c r="C285" s="380" t="s">
        <v>1322</v>
      </c>
      <c r="D285" s="381">
        <v>1</v>
      </c>
      <c r="E285" s="380">
        <v>70</v>
      </c>
      <c r="H285" t="s">
        <v>935</v>
      </c>
      <c r="I285">
        <v>1</v>
      </c>
      <c r="J285">
        <v>1</v>
      </c>
    </row>
    <row r="286" spans="1:10">
      <c r="A286" s="378" t="s">
        <v>97</v>
      </c>
      <c r="B286" s="379" t="s">
        <v>952</v>
      </c>
      <c r="C286" s="380" t="s">
        <v>1323</v>
      </c>
      <c r="D286" s="381">
        <v>1</v>
      </c>
      <c r="E286" s="380">
        <v>80</v>
      </c>
      <c r="H286" t="s">
        <v>936</v>
      </c>
      <c r="I286">
        <v>1</v>
      </c>
      <c r="J286">
        <v>1</v>
      </c>
    </row>
    <row r="287" spans="1:10">
      <c r="A287" s="378" t="s">
        <v>97</v>
      </c>
      <c r="B287" s="379" t="s">
        <v>948</v>
      </c>
      <c r="C287" s="380" t="s">
        <v>1323</v>
      </c>
      <c r="D287" s="381">
        <v>1</v>
      </c>
      <c r="E287" s="380">
        <v>80</v>
      </c>
      <c r="H287" t="s">
        <v>937</v>
      </c>
      <c r="I287">
        <v>1</v>
      </c>
      <c r="J287">
        <v>1</v>
      </c>
    </row>
    <row r="288" spans="1:10">
      <c r="A288" s="378" t="s">
        <v>97</v>
      </c>
      <c r="B288" s="379" t="s">
        <v>948</v>
      </c>
      <c r="C288" s="380" t="s">
        <v>1324</v>
      </c>
      <c r="D288" s="381">
        <v>1</v>
      </c>
      <c r="E288" s="380">
        <v>128</v>
      </c>
      <c r="H288" t="s">
        <v>938</v>
      </c>
      <c r="I288">
        <v>1</v>
      </c>
      <c r="J288">
        <v>1</v>
      </c>
    </row>
    <row r="289" spans="1:10">
      <c r="A289" s="378" t="s">
        <v>97</v>
      </c>
      <c r="B289" s="379" t="s">
        <v>948</v>
      </c>
      <c r="C289" s="380" t="s">
        <v>1325</v>
      </c>
      <c r="D289" s="381">
        <v>1</v>
      </c>
      <c r="E289" s="380">
        <v>68</v>
      </c>
      <c r="H289" t="s">
        <v>939</v>
      </c>
      <c r="I289">
        <v>1</v>
      </c>
      <c r="J289">
        <v>1</v>
      </c>
    </row>
    <row r="290" spans="1:10">
      <c r="A290" s="378" t="s">
        <v>97</v>
      </c>
      <c r="B290" s="379" t="s">
        <v>1013</v>
      </c>
      <c r="C290" s="380" t="s">
        <v>1326</v>
      </c>
      <c r="D290" s="381">
        <v>1</v>
      </c>
      <c r="E290" s="380">
        <v>42</v>
      </c>
      <c r="H290" t="s">
        <v>940</v>
      </c>
      <c r="I290">
        <v>1</v>
      </c>
      <c r="J290">
        <v>1</v>
      </c>
    </row>
    <row r="291" spans="1:10">
      <c r="A291" s="378" t="s">
        <v>97</v>
      </c>
      <c r="B291" s="379" t="s">
        <v>948</v>
      </c>
      <c r="C291" s="380" t="s">
        <v>1327</v>
      </c>
      <c r="D291" s="381">
        <v>1</v>
      </c>
      <c r="E291" s="380">
        <v>122</v>
      </c>
      <c r="H291" t="s">
        <v>941</v>
      </c>
      <c r="I291">
        <v>1</v>
      </c>
      <c r="J291">
        <v>1</v>
      </c>
    </row>
    <row r="292" spans="1:10">
      <c r="A292" s="378" t="s">
        <v>97</v>
      </c>
      <c r="B292" s="379" t="s">
        <v>1013</v>
      </c>
      <c r="C292" s="380" t="s">
        <v>1327</v>
      </c>
      <c r="D292" s="381">
        <v>1</v>
      </c>
      <c r="E292" s="380">
        <v>122</v>
      </c>
      <c r="H292" t="s">
        <v>96</v>
      </c>
      <c r="I292">
        <v>73</v>
      </c>
      <c r="J292">
        <v>49</v>
      </c>
    </row>
    <row r="293" spans="1:10">
      <c r="A293" s="378" t="s">
        <v>97</v>
      </c>
      <c r="B293" s="379" t="s">
        <v>948</v>
      </c>
      <c r="C293" s="380" t="s">
        <v>1328</v>
      </c>
      <c r="D293" s="381">
        <v>1</v>
      </c>
      <c r="E293" s="380">
        <v>16</v>
      </c>
      <c r="H293" t="s">
        <v>942</v>
      </c>
      <c r="J293" s="113">
        <v>-0.32876712328767121</v>
      </c>
    </row>
    <row r="294" spans="1:10">
      <c r="A294" s="378" t="s">
        <v>97</v>
      </c>
      <c r="B294" s="379" t="s">
        <v>948</v>
      </c>
      <c r="C294" s="380" t="s">
        <v>1329</v>
      </c>
      <c r="D294" s="381">
        <v>1</v>
      </c>
      <c r="E294" s="380">
        <v>50</v>
      </c>
    </row>
    <row r="295" spans="1:10">
      <c r="A295" s="378" t="s">
        <v>97</v>
      </c>
      <c r="B295" s="379" t="s">
        <v>952</v>
      </c>
      <c r="C295" s="380" t="s">
        <v>1330</v>
      </c>
      <c r="D295" s="381">
        <v>1</v>
      </c>
      <c r="E295" s="380">
        <v>60</v>
      </c>
    </row>
    <row r="296" spans="1:10">
      <c r="A296" s="378" t="s">
        <v>97</v>
      </c>
      <c r="B296" s="379" t="s">
        <v>948</v>
      </c>
      <c r="C296" s="380" t="s">
        <v>1330</v>
      </c>
      <c r="D296" s="381"/>
      <c r="E296" s="380">
        <v>50</v>
      </c>
    </row>
    <row r="297" spans="1:10">
      <c r="A297" s="378" t="s">
        <v>97</v>
      </c>
      <c r="B297" s="379" t="s">
        <v>948</v>
      </c>
      <c r="C297" s="380" t="s">
        <v>1331</v>
      </c>
      <c r="D297" s="381">
        <v>1</v>
      </c>
      <c r="E297" s="380">
        <v>50</v>
      </c>
    </row>
    <row r="298" spans="1:10">
      <c r="A298" s="378" t="s">
        <v>97</v>
      </c>
      <c r="B298" s="379" t="s">
        <v>983</v>
      </c>
      <c r="C298" s="380" t="s">
        <v>1332</v>
      </c>
      <c r="D298" s="381">
        <v>1</v>
      </c>
      <c r="E298" s="380">
        <v>150</v>
      </c>
    </row>
    <row r="299" spans="1:10">
      <c r="A299" s="378" t="s">
        <v>97</v>
      </c>
      <c r="B299" s="379" t="s">
        <v>985</v>
      </c>
      <c r="C299" s="380" t="s">
        <v>1332</v>
      </c>
      <c r="D299" s="382">
        <v>1</v>
      </c>
      <c r="E299" s="383">
        <v>150</v>
      </c>
    </row>
    <row r="300" spans="1:10">
      <c r="D300" s="384">
        <f>COUNT(D2:D299)</f>
        <v>207</v>
      </c>
      <c r="E300" s="384">
        <f>COUNT(E2:E299)</f>
        <v>298</v>
      </c>
      <c r="F300" s="384">
        <f>+E300-D300</f>
        <v>91</v>
      </c>
      <c r="G300" s="385">
        <f>+D300/E300-1</f>
        <v>-0.30536912751677847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EF86-D4FA-4EBF-B657-CB89CED0622F}">
  <dimension ref="D2:S51"/>
  <sheetViews>
    <sheetView showGridLines="0" zoomScale="80" zoomScaleNormal="80" workbookViewId="0">
      <selection activeCell="S19" sqref="S19"/>
    </sheetView>
  </sheetViews>
  <sheetFormatPr baseColWidth="10" defaultColWidth="11.42578125" defaultRowHeight="15"/>
  <cols>
    <col min="1" max="3" width="2.28515625" customWidth="1"/>
    <col min="4" max="4" width="51.42578125" customWidth="1"/>
    <col min="5" max="5" width="5.85546875" hidden="1" customWidth="1"/>
    <col min="6" max="7" width="6" hidden="1" customWidth="1"/>
    <col min="8" max="8" width="6.85546875" hidden="1" customWidth="1"/>
    <col min="9" max="9" width="11.42578125" customWidth="1"/>
    <col min="13" max="13" width="0" style="343" hidden="1" customWidth="1"/>
    <col min="14" max="14" width="5" customWidth="1"/>
    <col min="15" max="15" width="32.85546875" customWidth="1"/>
    <col min="16" max="16" width="15.140625" customWidth="1"/>
    <col min="17" max="17" width="3.85546875" customWidth="1"/>
    <col min="18" max="18" width="30.28515625" customWidth="1"/>
    <col min="19" max="19" width="18.28515625" customWidth="1"/>
  </cols>
  <sheetData>
    <row r="2" spans="4:19">
      <c r="D2" s="347" t="s">
        <v>1</v>
      </c>
      <c r="E2" s="347" t="s">
        <v>68</v>
      </c>
      <c r="F2" s="347" t="s">
        <v>253</v>
      </c>
      <c r="G2" s="347" t="s">
        <v>235</v>
      </c>
      <c r="H2" s="347" t="s">
        <v>302</v>
      </c>
      <c r="I2" s="347" t="s">
        <v>68</v>
      </c>
      <c r="J2" s="347" t="s">
        <v>253</v>
      </c>
      <c r="K2" s="347" t="s">
        <v>235</v>
      </c>
      <c r="L2" s="347" t="s">
        <v>302</v>
      </c>
      <c r="O2" s="414" t="s">
        <v>68</v>
      </c>
      <c r="P2" s="414"/>
      <c r="R2" s="414" t="str">
        <f>+J2</f>
        <v>Mgue</v>
      </c>
      <c r="S2" s="414"/>
    </row>
    <row r="3" spans="4:19">
      <c r="D3" s="4" t="s">
        <v>166</v>
      </c>
      <c r="E3" s="2">
        <f>SUMIFS('PUNTOS DE INYECCIÓN'!$E$4:$E$131,'PUNTOS DE INYECCIÓN'!$A$4:$A$131,'Consumos importantes'!E$2,'PUNTOS DE INYECCIÓN'!$C$4:$C$131,$D3)</f>
        <v>17000</v>
      </c>
      <c r="F3" s="2">
        <f>SUMIFS('PUNTOS DE INYECCIÓN'!$E$4:$E$131,'PUNTOS DE INYECCIÓN'!$A$4:$A$131,'Consumos importantes'!F$2,'PUNTOS DE INYECCIÓN'!$C$4:$C$131,$D3)</f>
        <v>2185</v>
      </c>
      <c r="G3" s="2">
        <f>SUMIFS('PUNTOS DE INYECCIÓN'!$E$4:$E$131,'PUNTOS DE INYECCIÓN'!$A$4:$A$131,'Consumos importantes'!G$2,'PUNTOS DE INYECCIÓN'!$C$4:$C$131,$D3)</f>
        <v>8000</v>
      </c>
      <c r="H3" s="2">
        <f>SUMIFS('PUNTOS DE INYECCIÓN'!$E$4:$E$131,'PUNTOS DE INYECCIÓN'!$A$4:$A$131,'Consumos importantes'!H$2,'PUNTOS DE INYECCIÓN'!$C$4:$C$131,$D3)</f>
        <v>5187</v>
      </c>
      <c r="I3" s="341">
        <f t="shared" ref="I3:I50" si="0">+E3/E$51</f>
        <v>0.15276504735716467</v>
      </c>
      <c r="J3" s="341">
        <f t="shared" ref="J3:J50" si="1">+F3/F$51</f>
        <v>1.8924658466212295E-2</v>
      </c>
      <c r="K3" s="341">
        <f t="shared" ref="K3:K50" si="2">+G3/G$51</f>
        <v>0.13076168682576006</v>
      </c>
      <c r="L3" s="341">
        <f t="shared" ref="L3:L50" si="3">+H3/H$51</f>
        <v>7.5244795822151309E-2</v>
      </c>
      <c r="M3" s="344" t="str">
        <f>+D3</f>
        <v>Biocida</v>
      </c>
      <c r="N3">
        <v>1</v>
      </c>
      <c r="O3" s="2" t="str">
        <f>+VLOOKUP(P3,I:M,5,0)</f>
        <v xml:space="preserve">Sal </v>
      </c>
      <c r="P3" s="342">
        <f t="shared" ref="P3:P8" si="4">LARGE(I3:I50,N3)</f>
        <v>0.25610610880465845</v>
      </c>
      <c r="R3" s="2" t="str">
        <f>+VLOOKUP(S3,J$2:M$1048576,4,0)</f>
        <v>DESEMULSIONANTE</v>
      </c>
      <c r="S3" s="342">
        <f>LARGE($J$3:$J$50,N3)</f>
        <v>0.23192892158115214</v>
      </c>
    </row>
    <row r="4" spans="4:19">
      <c r="D4" s="4" t="s">
        <v>173</v>
      </c>
      <c r="E4" s="2">
        <f>SUMIFS('PUNTOS DE INYECCIÓN'!$E$4:$E$131,'PUNTOS DE INYECCIÓN'!$A$4:$A$131,'Consumos importantes'!E$2,'PUNTOS DE INYECCIÓN'!$C$4:$C$131,$D4)</f>
        <v>1540</v>
      </c>
      <c r="F4" s="2">
        <f>SUMIFS('PUNTOS DE INYECCIÓN'!$E$4:$E$131,'PUNTOS DE INYECCIÓN'!$A$4:$A$131,'Consumos importantes'!F$2,'PUNTOS DE INYECCIÓN'!$C$4:$C$131,$D4)</f>
        <v>1845.5</v>
      </c>
      <c r="G4" s="2">
        <f>SUMIFS('PUNTOS DE INYECCIÓN'!$E$4:$E$131,'PUNTOS DE INYECCIÓN'!$A$4:$A$131,'Consumos importantes'!G$2,'PUNTOS DE INYECCIÓN'!$C$4:$C$131,$D4)</f>
        <v>1310</v>
      </c>
      <c r="H4" s="2">
        <f>SUMIFS('PUNTOS DE INYECCIÓN'!$E$4:$E$131,'PUNTOS DE INYECCIÓN'!$A$4:$A$131,'Consumos importantes'!H$2,'PUNTOS DE INYECCIÓN'!$C$4:$C$131,$D4)</f>
        <v>0</v>
      </c>
      <c r="I4" s="341">
        <f t="shared" si="0"/>
        <v>1.3838716054707859E-2</v>
      </c>
      <c r="J4" s="341">
        <f t="shared" si="1"/>
        <v>1.5984190937938118E-2</v>
      </c>
      <c r="K4" s="341">
        <f t="shared" si="2"/>
        <v>2.1412226217718208E-2</v>
      </c>
      <c r="L4" s="341">
        <f t="shared" si="3"/>
        <v>0</v>
      </c>
      <c r="M4" s="344" t="str">
        <f t="shared" ref="M4:M50" si="5">+D4</f>
        <v>CLARIFICANTE</v>
      </c>
      <c r="N4">
        <v>2</v>
      </c>
      <c r="O4" s="2" t="str">
        <f t="shared" ref="O4:O8" si="6">+VLOOKUP(P4,I:M,5,0)</f>
        <v>Deshidratación y Calidad de entrega</v>
      </c>
      <c r="P4" s="342">
        <f t="shared" si="4"/>
        <v>0.15317841160295464</v>
      </c>
      <c r="R4" s="2" t="str">
        <f t="shared" ref="R4:R8" si="7">+VLOOKUP(S4,J$2:M$1048576,4,0)</f>
        <v>BACTERICIDA</v>
      </c>
      <c r="S4" s="342">
        <f t="shared" ref="S4:S8" si="8">LARGE($J$3:$J$50,N4)</f>
        <v>0.13134752316062062</v>
      </c>
    </row>
    <row r="5" spans="4:19">
      <c r="D5" s="4" t="s">
        <v>175</v>
      </c>
      <c r="E5" s="2">
        <f>SUMIFS('PUNTOS DE INYECCIÓN'!$E$4:$E$131,'PUNTOS DE INYECCIÓN'!$A$4:$A$131,'Consumos importantes'!E$2,'PUNTOS DE INYECCIÓN'!$C$4:$C$131,$D5)</f>
        <v>110</v>
      </c>
      <c r="F5" s="2">
        <f>SUMIFS('PUNTOS DE INYECCIÓN'!$E$4:$E$131,'PUNTOS DE INYECCIÓN'!$A$4:$A$131,'Consumos importantes'!F$2,'PUNTOS DE INYECCIÓN'!$C$4:$C$131,$D5)</f>
        <v>0</v>
      </c>
      <c r="G5" s="2">
        <f>SUMIFS('PUNTOS DE INYECCIÓN'!$E$4:$E$131,'PUNTOS DE INYECCIÓN'!$A$4:$A$131,'Consumos importantes'!G$2,'PUNTOS DE INYECCIÓN'!$C$4:$C$131,$D5)</f>
        <v>80</v>
      </c>
      <c r="H5" s="2">
        <f>SUMIFS('PUNTOS DE INYECCIÓN'!$E$4:$E$131,'PUNTOS DE INYECCIÓN'!$A$4:$A$131,'Consumos importantes'!H$2,'PUNTOS DE INYECCIÓN'!$C$4:$C$131,$D5)</f>
        <v>60</v>
      </c>
      <c r="I5" s="341">
        <f t="shared" si="0"/>
        <v>9.8847971819341859E-4</v>
      </c>
      <c r="J5" s="341">
        <f t="shared" si="1"/>
        <v>0</v>
      </c>
      <c r="K5" s="341">
        <f t="shared" si="2"/>
        <v>1.3076168682576005E-3</v>
      </c>
      <c r="L5" s="341">
        <f t="shared" si="3"/>
        <v>8.7038514542685133E-4</v>
      </c>
      <c r="M5" s="344" t="str">
        <f t="shared" si="5"/>
        <v xml:space="preserve">Desemulsionante  </v>
      </c>
      <c r="N5">
        <v>3</v>
      </c>
      <c r="O5" s="2" t="str">
        <f t="shared" si="6"/>
        <v>INHIBIDOR DE CORROSIÓN</v>
      </c>
      <c r="P5" s="342">
        <f t="shared" si="4"/>
        <v>0.13611365719523372</v>
      </c>
      <c r="R5" s="2" t="str">
        <f t="shared" si="7"/>
        <v>INHIBIDOR DE INCRUSTACIONES</v>
      </c>
      <c r="S5" s="342">
        <f t="shared" si="8"/>
        <v>0.10235304093278039</v>
      </c>
    </row>
    <row r="6" spans="4:19">
      <c r="D6" s="4" t="s">
        <v>178</v>
      </c>
      <c r="E6" s="2">
        <f>SUMIFS('PUNTOS DE INYECCIÓN'!$E$4:$E$131,'PUNTOS DE INYECCIÓN'!$A$4:$A$131,'Consumos importantes'!E$2,'PUNTOS DE INYECCIÓN'!$C$4:$C$131,$D6)</f>
        <v>3080</v>
      </c>
      <c r="F6" s="2">
        <f>SUMIFS('PUNTOS DE INYECCIÓN'!$E$4:$E$131,'PUNTOS DE INYECCIÓN'!$A$4:$A$131,'Consumos importantes'!F$2,'PUNTOS DE INYECCIÓN'!$C$4:$C$131,$D6)</f>
        <v>120</v>
      </c>
      <c r="G6" s="2">
        <f>SUMIFS('PUNTOS DE INYECCIÓN'!$E$4:$E$131,'PUNTOS DE INYECCIÓN'!$A$4:$A$131,'Consumos importantes'!G$2,'PUNTOS DE INYECCIÓN'!$C$4:$C$131,$D6)</f>
        <v>3080</v>
      </c>
      <c r="H6" s="2">
        <f>SUMIFS('PUNTOS DE INYECCIÓN'!$E$4:$E$131,'PUNTOS DE INYECCIÓN'!$A$4:$A$131,'Consumos importantes'!H$2,'PUNTOS DE INYECCIÓN'!$C$4:$C$131,$D6)</f>
        <v>1880</v>
      </c>
      <c r="I6" s="341">
        <f t="shared" si="0"/>
        <v>2.7677432109415718E-2</v>
      </c>
      <c r="J6" s="341">
        <f t="shared" si="1"/>
        <v>1.0393405107301946E-3</v>
      </c>
      <c r="K6" s="341">
        <f t="shared" si="2"/>
        <v>5.0343249427917618E-2</v>
      </c>
      <c r="L6" s="341">
        <f t="shared" si="3"/>
        <v>2.7272067890041343E-2</v>
      </c>
      <c r="M6" s="344" t="str">
        <f t="shared" si="5"/>
        <v>Desemulsionante inverso</v>
      </c>
      <c r="N6">
        <v>4</v>
      </c>
      <c r="O6" s="2" t="str">
        <f t="shared" si="6"/>
        <v>Mejorador de flujo y de Parafinas</v>
      </c>
      <c r="P6" s="342">
        <f t="shared" si="4"/>
        <v>6.312790927553423E-2</v>
      </c>
      <c r="R6" s="2" t="str">
        <f t="shared" si="7"/>
        <v>DISOLVENTE DE PARAFINAS Y ASFALTENOS</v>
      </c>
      <c r="S6" s="342">
        <f t="shared" si="8"/>
        <v>0.10192535231261492</v>
      </c>
    </row>
    <row r="7" spans="4:19">
      <c r="D7" s="4" t="s">
        <v>180</v>
      </c>
      <c r="E7" s="2">
        <f>SUMIFS('PUNTOS DE INYECCIÓN'!$E$4:$E$131,'PUNTOS DE INYECCIÓN'!$A$4:$A$131,'Consumos importantes'!E$2,'PUNTOS DE INYECCIÓN'!$C$4:$C$131,$D7)</f>
        <v>17046</v>
      </c>
      <c r="F7" s="2">
        <f>SUMIFS('PUNTOS DE INYECCIÓN'!$E$4:$E$131,'PUNTOS DE INYECCIÓN'!$A$4:$A$131,'Consumos importantes'!F$2,'PUNTOS DE INYECCIÓN'!$C$4:$C$131,$D7)</f>
        <v>4977</v>
      </c>
      <c r="G7" s="2">
        <f>SUMIFS('PUNTOS DE INYECCIÓN'!$E$4:$E$131,'PUNTOS DE INYECCIÓN'!$A$4:$A$131,'Consumos importantes'!G$2,'PUNTOS DE INYECCIÓN'!$C$4:$C$131,$D7)</f>
        <v>2318</v>
      </c>
      <c r="H7" s="2">
        <f>SUMIFS('PUNTOS DE INYECCIÓN'!$E$4:$E$131,'PUNTOS DE INYECCIÓN'!$A$4:$A$131,'Consumos importantes'!H$2,'PUNTOS DE INYECCIÓN'!$C$4:$C$131,$D7)</f>
        <v>10472</v>
      </c>
      <c r="I7" s="341">
        <f t="shared" si="0"/>
        <v>0.15317841160295464</v>
      </c>
      <c r="J7" s="341">
        <f t="shared" si="1"/>
        <v>4.3106647682534818E-2</v>
      </c>
      <c r="K7" s="341">
        <f t="shared" si="2"/>
        <v>3.7888198757763975E-2</v>
      </c>
      <c r="L7" s="341">
        <f t="shared" si="3"/>
        <v>0.15191122071516647</v>
      </c>
      <c r="M7" s="344" t="str">
        <f t="shared" si="5"/>
        <v>Deshidratación y Calidad de entrega</v>
      </c>
      <c r="N7">
        <v>5</v>
      </c>
      <c r="O7" s="2" t="str">
        <f t="shared" si="6"/>
        <v>INHIBIDOR DE INCRUSTACIONES</v>
      </c>
      <c r="P7" s="342">
        <f t="shared" si="4"/>
        <v>5.9865926205495947E-2</v>
      </c>
      <c r="R7" s="2" t="str">
        <f t="shared" si="7"/>
        <v>INHIBIDOR DE CORROSIÓN</v>
      </c>
      <c r="S7" s="342">
        <f t="shared" si="8"/>
        <v>8.4569924794186749E-2</v>
      </c>
    </row>
    <row r="8" spans="4:19">
      <c r="D8" s="4" t="s">
        <v>185</v>
      </c>
      <c r="E8" s="2">
        <f>SUMIFS('PUNTOS DE INYECCIÓN'!$E$4:$E$131,'PUNTOS DE INYECCIÓN'!$A$4:$A$131,'Consumos importantes'!E$2,'PUNTOS DE INYECCIÓN'!$C$4:$C$131,$D8)</f>
        <v>0</v>
      </c>
      <c r="F8" s="2">
        <f>SUMIFS('PUNTOS DE INYECCIÓN'!$E$4:$E$131,'PUNTOS DE INYECCIÓN'!$A$4:$A$131,'Consumos importantes'!F$2,'PUNTOS DE INYECCIÓN'!$C$4:$C$131,$D8)</f>
        <v>0</v>
      </c>
      <c r="G8" s="2">
        <f>SUMIFS('PUNTOS DE INYECCIÓN'!$E$4:$E$131,'PUNTOS DE INYECCIÓN'!$A$4:$A$131,'Consumos importantes'!G$2,'PUNTOS DE INYECCIÓN'!$C$4:$C$131,$D8)</f>
        <v>0</v>
      </c>
      <c r="H8" s="2">
        <f>SUMIFS('PUNTOS DE INYECCIÓN'!$E$4:$E$131,'PUNTOS DE INYECCIÓN'!$A$4:$A$131,'Consumos importantes'!H$2,'PUNTOS DE INYECCIÓN'!$C$4:$C$131,$D8)</f>
        <v>0</v>
      </c>
      <c r="I8" s="341">
        <f t="shared" si="0"/>
        <v>0</v>
      </c>
      <c r="J8" s="341">
        <f t="shared" si="1"/>
        <v>0</v>
      </c>
      <c r="K8" s="341">
        <f t="shared" si="2"/>
        <v>0</v>
      </c>
      <c r="L8" s="341">
        <f t="shared" si="3"/>
        <v>0</v>
      </c>
      <c r="M8" s="344" t="str">
        <f t="shared" si="5"/>
        <v>Deshidratador de gas</v>
      </c>
      <c r="N8">
        <v>6</v>
      </c>
      <c r="O8" s="2" t="str">
        <f t="shared" si="6"/>
        <v>Dispersante de parafinas y/o asfaltenos</v>
      </c>
      <c r="P8" s="342">
        <f t="shared" si="4"/>
        <v>4.0096331841627579E-2</v>
      </c>
      <c r="R8" s="2" t="str">
        <f t="shared" si="7"/>
        <v>SECUESTRANTE DE SULFHÍDRICO</v>
      </c>
      <c r="S8" s="342">
        <f t="shared" si="8"/>
        <v>4.3596869956762568E-2</v>
      </c>
    </row>
    <row r="9" spans="4:19">
      <c r="D9" s="4" t="s">
        <v>187</v>
      </c>
      <c r="E9" s="2">
        <f>SUMIFS('PUNTOS DE INYECCIÓN'!$E$4:$E$131,'PUNTOS DE INYECCIÓN'!$A$4:$A$131,'Consumos importantes'!E$2,'PUNTOS DE INYECCIÓN'!$C$4:$C$131,$D9)</f>
        <v>0</v>
      </c>
      <c r="F9" s="2">
        <f>SUMIFS('PUNTOS DE INYECCIÓN'!$E$4:$E$131,'PUNTOS DE INYECCIÓN'!$A$4:$A$131,'Consumos importantes'!F$2,'PUNTOS DE INYECCIÓN'!$C$4:$C$131,$D9)</f>
        <v>1200</v>
      </c>
      <c r="G9" s="2">
        <f>SUMIFS('PUNTOS DE INYECCIÓN'!$E$4:$E$131,'PUNTOS DE INYECCIÓN'!$A$4:$A$131,'Consumos importantes'!G$2,'PUNTOS DE INYECCIÓN'!$C$4:$C$131,$D9)</f>
        <v>800</v>
      </c>
      <c r="H9" s="2">
        <f>SUMIFS('PUNTOS DE INYECCIÓN'!$E$4:$E$131,'PUNTOS DE INYECCIÓN'!$A$4:$A$131,'Consumos importantes'!H$2,'PUNTOS DE INYECCIÓN'!$C$4:$C$131,$D9)</f>
        <v>330</v>
      </c>
      <c r="I9" s="341">
        <f t="shared" si="0"/>
        <v>0</v>
      </c>
      <c r="J9" s="341">
        <f t="shared" si="1"/>
        <v>1.0393405107301946E-2</v>
      </c>
      <c r="K9" s="341">
        <f t="shared" si="2"/>
        <v>1.3076168682576005E-2</v>
      </c>
      <c r="L9" s="341">
        <f t="shared" si="3"/>
        <v>4.7871182998476822E-3</v>
      </c>
      <c r="M9" s="344" t="str">
        <f t="shared" si="5"/>
        <v>DESINCRUSTANTE</v>
      </c>
      <c r="O9" s="345" t="s">
        <v>306</v>
      </c>
      <c r="P9" s="346">
        <f>+SUM(P3:P8)</f>
        <v>0.7084883449255045</v>
      </c>
      <c r="R9" s="345" t="s">
        <v>306</v>
      </c>
      <c r="S9" s="346">
        <f>+SUM(S3:S8)</f>
        <v>0.69572163273811749</v>
      </c>
    </row>
    <row r="10" spans="4:19">
      <c r="D10" s="4" t="s">
        <v>190</v>
      </c>
      <c r="E10" s="2">
        <f>SUMIFS('PUNTOS DE INYECCIÓN'!$E$4:$E$131,'PUNTOS DE INYECCIÓN'!$A$4:$A$131,'Consumos importantes'!E$2,'PUNTOS DE INYECCIÓN'!$C$4:$C$131,$D10)</f>
        <v>710</v>
      </c>
      <c r="F10" s="2">
        <f>SUMIFS('PUNTOS DE INYECCIÓN'!$E$4:$E$131,'PUNTOS DE INYECCIÓN'!$A$4:$A$131,'Consumos importantes'!F$2,'PUNTOS DE INYECCIÓN'!$C$4:$C$131,$D10)</f>
        <v>0</v>
      </c>
      <c r="G10" s="2">
        <f>SUMIFS('PUNTOS DE INYECCIÓN'!$E$4:$E$131,'PUNTOS DE INYECCIÓN'!$A$4:$A$131,'Consumos importantes'!G$2,'PUNTOS DE INYECCIÓN'!$C$4:$C$131,$D10)</f>
        <v>0</v>
      </c>
      <c r="H10" s="2">
        <f>SUMIFS('PUNTOS DE INYECCIÓN'!$E$4:$E$131,'PUNTOS DE INYECCIÓN'!$A$4:$A$131,'Consumos importantes'!H$2,'PUNTOS DE INYECCIÓN'!$C$4:$C$131,$D10)</f>
        <v>0</v>
      </c>
      <c r="I10" s="341">
        <f t="shared" si="0"/>
        <v>6.3801872719757013E-3</v>
      </c>
      <c r="J10" s="341">
        <f t="shared" si="1"/>
        <v>0</v>
      </c>
      <c r="K10" s="341">
        <f t="shared" si="2"/>
        <v>0</v>
      </c>
      <c r="L10" s="341">
        <f t="shared" si="3"/>
        <v>0</v>
      </c>
      <c r="M10" s="344" t="str">
        <f t="shared" si="5"/>
        <v>Detergente</v>
      </c>
    </row>
    <row r="11" spans="4:19">
      <c r="D11" s="4" t="s">
        <v>193</v>
      </c>
      <c r="E11" s="2">
        <f>SUMIFS('PUNTOS DE INYECCIÓN'!$E$4:$E$131,'PUNTOS DE INYECCIÓN'!$A$4:$A$131,'Consumos importantes'!E$2,'PUNTOS DE INYECCIÓN'!$C$4:$C$131,$D11)</f>
        <v>450</v>
      </c>
      <c r="F11" s="2">
        <f>SUMIFS('PUNTOS DE INYECCIÓN'!$E$4:$E$131,'PUNTOS DE INYECCIÓN'!$A$4:$A$131,'Consumos importantes'!F$2,'PUNTOS DE INYECCIÓN'!$C$4:$C$131,$D11)</f>
        <v>0</v>
      </c>
      <c r="G11" s="2">
        <f>SUMIFS('PUNTOS DE INYECCIÓN'!$E$4:$E$131,'PUNTOS DE INYECCIÓN'!$A$4:$A$131,'Consumos importantes'!G$2,'PUNTOS DE INYECCIÓN'!$C$4:$C$131,$D11)</f>
        <v>315</v>
      </c>
      <c r="H11" s="2">
        <f>SUMIFS('PUNTOS DE INYECCIÓN'!$E$4:$E$131,'PUNTOS DE INYECCIÓN'!$A$4:$A$131,'Consumos importantes'!H$2,'PUNTOS DE INYECCIÓN'!$C$4:$C$131,$D11)</f>
        <v>0</v>
      </c>
      <c r="I11" s="341">
        <f t="shared" si="0"/>
        <v>4.0437806653367122E-3</v>
      </c>
      <c r="J11" s="341">
        <f t="shared" si="1"/>
        <v>0</v>
      </c>
      <c r="K11" s="341">
        <f t="shared" si="2"/>
        <v>5.148741418764302E-3</v>
      </c>
      <c r="L11" s="341">
        <f t="shared" si="3"/>
        <v>0</v>
      </c>
      <c r="M11" s="344" t="str">
        <f t="shared" si="5"/>
        <v>Dispersante</v>
      </c>
    </row>
    <row r="12" spans="4:19">
      <c r="D12" s="4" t="s">
        <v>195</v>
      </c>
      <c r="E12" s="2">
        <f>SUMIFS('PUNTOS DE INYECCIÓN'!$E$4:$E$131,'PUNTOS DE INYECCIÓN'!$A$4:$A$131,'Consumos importantes'!E$2,'PUNTOS DE INYECCIÓN'!$C$4:$C$131,$D12)</f>
        <v>4462</v>
      </c>
      <c r="F12" s="2">
        <f>SUMIFS('PUNTOS DE INYECCIÓN'!$E$4:$E$131,'PUNTOS DE INYECCIÓN'!$A$4:$A$131,'Consumos importantes'!F$2,'PUNTOS DE INYECCIÓN'!$C$4:$C$131,$D12)</f>
        <v>1176</v>
      </c>
      <c r="G12" s="2">
        <f>SUMIFS('PUNTOS DE INYECCIÓN'!$E$4:$E$131,'PUNTOS DE INYECCIÓN'!$A$4:$A$131,'Consumos importantes'!G$2,'PUNTOS DE INYECCIÓN'!$C$4:$C$131,$D12)</f>
        <v>912</v>
      </c>
      <c r="H12" s="2">
        <f>SUMIFS('PUNTOS DE INYECCIÓN'!$E$4:$E$131,'PUNTOS DE INYECCIÓN'!$A$4:$A$131,'Consumos importantes'!H$2,'PUNTOS DE INYECCIÓN'!$C$4:$C$131,$D12)</f>
        <v>656</v>
      </c>
      <c r="I12" s="341">
        <f t="shared" si="0"/>
        <v>4.0096331841627579E-2</v>
      </c>
      <c r="J12" s="341">
        <f t="shared" si="1"/>
        <v>1.0185537005155907E-2</v>
      </c>
      <c r="K12" s="341">
        <f t="shared" si="2"/>
        <v>1.4906832298136646E-2</v>
      </c>
      <c r="L12" s="341">
        <f t="shared" si="3"/>
        <v>9.5162109233335752E-3</v>
      </c>
      <c r="M12" s="344" t="str">
        <f t="shared" si="5"/>
        <v>Dispersante de parafinas y/o asfaltenos</v>
      </c>
      <c r="O12" s="414" t="str">
        <f>+K2</f>
        <v>La Vent</v>
      </c>
      <c r="P12" s="414"/>
      <c r="R12" s="414" t="str">
        <f>+L2</f>
        <v>Viz</v>
      </c>
      <c r="S12" s="414"/>
    </row>
    <row r="13" spans="4:19">
      <c r="D13" s="4" t="s">
        <v>198</v>
      </c>
      <c r="E13" s="2">
        <f>SUMIFS('PUNTOS DE INYECCIÓN'!$E$4:$E$131,'PUNTOS DE INYECCIÓN'!$A$4:$A$131,'Consumos importantes'!E$2,'PUNTOS DE INYECCIÓN'!$C$4:$C$131,$D13)</f>
        <v>0</v>
      </c>
      <c r="F13" s="2">
        <f>SUMIFS('PUNTOS DE INYECCIÓN'!$E$4:$E$131,'PUNTOS DE INYECCIÓN'!$A$4:$A$131,'Consumos importantes'!F$2,'PUNTOS DE INYECCIÓN'!$C$4:$C$131,$D13)</f>
        <v>0</v>
      </c>
      <c r="G13" s="2">
        <f>SUMIFS('PUNTOS DE INYECCIÓN'!$E$4:$E$131,'PUNTOS DE INYECCIÓN'!$A$4:$A$131,'Consumos importantes'!G$2,'PUNTOS DE INYECCIÓN'!$C$4:$C$131,$D13)</f>
        <v>0</v>
      </c>
      <c r="H13" s="2">
        <f>SUMIFS('PUNTOS DE INYECCIÓN'!$E$4:$E$131,'PUNTOS DE INYECCIÓN'!$A$4:$A$131,'Consumos importantes'!H$2,'PUNTOS DE INYECCIÓN'!$C$4:$C$131,$D13)</f>
        <v>0</v>
      </c>
      <c r="I13" s="341">
        <f t="shared" si="0"/>
        <v>0</v>
      </c>
      <c r="J13" s="341">
        <f t="shared" si="1"/>
        <v>0</v>
      </c>
      <c r="K13" s="341">
        <f t="shared" si="2"/>
        <v>0</v>
      </c>
      <c r="L13" s="341">
        <f t="shared" si="3"/>
        <v>0</v>
      </c>
      <c r="M13" s="344" t="str">
        <f t="shared" si="5"/>
        <v>Humectante de Solido</v>
      </c>
      <c r="N13">
        <v>1</v>
      </c>
      <c r="O13" s="2" t="str">
        <f>+VLOOKUP(P13,K$2:M$1048576,3,0)</f>
        <v>INHIBIDOR DE CORROSIÓN</v>
      </c>
      <c r="P13" s="342">
        <f>LARGE($K$3:$K$50,N13)</f>
        <v>0.2976135992154299</v>
      </c>
      <c r="Q13">
        <v>1</v>
      </c>
      <c r="R13" s="2" t="str">
        <f>+VLOOKUP(S13,L$3:M$1048576,2,0)</f>
        <v>INHIBIDOR DE CORROSIÓN</v>
      </c>
      <c r="S13" s="342">
        <f>LARGE($L$3:$L$50,Q13)</f>
        <v>0.48120693406832521</v>
      </c>
    </row>
    <row r="14" spans="4:19">
      <c r="D14" s="4" t="s">
        <v>200</v>
      </c>
      <c r="E14" s="2">
        <f>SUMIFS('PUNTOS DE INYECCIÓN'!$E$4:$E$131,'PUNTOS DE INYECCIÓN'!$A$4:$A$131,'Consumos importantes'!E$2,'PUNTOS DE INYECCIÓN'!$C$4:$C$131,$D14)</f>
        <v>139</v>
      </c>
      <c r="F14" s="2">
        <f>SUMIFS('PUNTOS DE INYECCIÓN'!$E$4:$E$131,'PUNTOS DE INYECCIÓN'!$A$4:$A$131,'Consumos importantes'!F$2,'PUNTOS DE INYECCIÓN'!$C$4:$C$131,$D14)</f>
        <v>0</v>
      </c>
      <c r="G14" s="2">
        <f>SUMIFS('PUNTOS DE INYECCIÓN'!$E$4:$E$131,'PUNTOS DE INYECCIÓN'!$A$4:$A$131,'Consumos importantes'!G$2,'PUNTOS DE INYECCIÓN'!$C$4:$C$131,$D14)</f>
        <v>2584</v>
      </c>
      <c r="H14" s="2">
        <f>SUMIFS('PUNTOS DE INYECCIÓN'!$E$4:$E$131,'PUNTOS DE INYECCIÓN'!$A$4:$A$131,'Consumos importantes'!H$2,'PUNTOS DE INYECCIÓN'!$C$4:$C$131,$D14)</f>
        <v>1282</v>
      </c>
      <c r="I14" s="341">
        <f t="shared" si="0"/>
        <v>1.2490789166262289E-3</v>
      </c>
      <c r="J14" s="341">
        <f t="shared" si="1"/>
        <v>0</v>
      </c>
      <c r="K14" s="341">
        <f t="shared" si="2"/>
        <v>4.2236024844720499E-2</v>
      </c>
      <c r="L14" s="341">
        <f t="shared" si="3"/>
        <v>1.8597229273953724E-2</v>
      </c>
      <c r="M14" s="344" t="str">
        <f t="shared" si="5"/>
        <v>Inh. De Incrustaciones</v>
      </c>
      <c r="N14">
        <v>2</v>
      </c>
      <c r="O14" s="2" t="str">
        <f t="shared" ref="O14:O18" si="9">+VLOOKUP(P14,K$2:M$1048576,3,0)</f>
        <v>Biocida</v>
      </c>
      <c r="P14" s="342">
        <f t="shared" ref="P14:P18" si="10">LARGE($K$3:$K$50,N14)</f>
        <v>0.13076168682576006</v>
      </c>
      <c r="Q14">
        <v>2</v>
      </c>
      <c r="R14" s="2" t="str">
        <f t="shared" ref="R14:R18" si="11">+VLOOKUP(S14,L$3:M$1048576,2,0)</f>
        <v>INHIBIDOR DE INCRUSTACIONES</v>
      </c>
      <c r="S14" s="342">
        <f t="shared" ref="S14:S18" si="12">LARGE($L$3:$L$50,Q14)</f>
        <v>0.16647566548197579</v>
      </c>
    </row>
    <row r="15" spans="4:19">
      <c r="D15" s="4" t="s">
        <v>202</v>
      </c>
      <c r="E15" s="2">
        <f>SUMIFS('PUNTOS DE INYECCIÓN'!$E$4:$E$131,'PUNTOS DE INYECCIÓN'!$A$4:$A$131,'Consumos importantes'!E$2,'PUNTOS DE INYECCIÓN'!$C$4:$C$131,$D15)</f>
        <v>15147</v>
      </c>
      <c r="F15" s="2">
        <f>SUMIFS('PUNTOS DE INYECCIÓN'!$E$4:$E$131,'PUNTOS DE INYECCIÓN'!$A$4:$A$131,'Consumos importantes'!F$2,'PUNTOS DE INYECCIÓN'!$C$4:$C$131,$D15)</f>
        <v>9764.26</v>
      </c>
      <c r="G15" s="2">
        <f>SUMIFS('PUNTOS DE INYECCIÓN'!$E$4:$E$131,'PUNTOS DE INYECCIÓN'!$A$4:$A$131,'Consumos importantes'!G$2,'PUNTOS DE INYECCIÓN'!$C$4:$C$131,$D15)</f>
        <v>18208</v>
      </c>
      <c r="H15" s="2">
        <f>SUMIFS('PUNTOS DE INYECCIÓN'!$E$4:$E$131,'PUNTOS DE INYECCIÓN'!$A$4:$A$131,'Consumos importantes'!H$2,'PUNTOS DE INYECCIÓN'!$C$4:$C$131,$D15)</f>
        <v>33172</v>
      </c>
      <c r="I15" s="341">
        <f t="shared" si="0"/>
        <v>0.13611365719523372</v>
      </c>
      <c r="J15" s="341">
        <f t="shared" si="1"/>
        <v>8.4569924794186749E-2</v>
      </c>
      <c r="K15" s="341">
        <f t="shared" si="2"/>
        <v>0.2976135992154299</v>
      </c>
      <c r="L15" s="341">
        <f t="shared" si="3"/>
        <v>0.48120693406832521</v>
      </c>
      <c r="M15" s="344" t="str">
        <f t="shared" si="5"/>
        <v>INHIBIDOR DE CORROSIÓN</v>
      </c>
      <c r="N15">
        <v>3</v>
      </c>
      <c r="O15" s="2" t="str">
        <f t="shared" si="9"/>
        <v>Humectante/Secante</v>
      </c>
      <c r="P15" s="342">
        <f t="shared" si="10"/>
        <v>0.12698594311866623</v>
      </c>
      <c r="Q15">
        <v>3</v>
      </c>
      <c r="R15" s="2" t="str">
        <f t="shared" si="11"/>
        <v>Deshidratación y Calidad de entrega</v>
      </c>
      <c r="S15" s="342">
        <f t="shared" si="12"/>
        <v>0.15191122071516647</v>
      </c>
    </row>
    <row r="16" spans="4:19">
      <c r="D16" s="4" t="s">
        <v>205</v>
      </c>
      <c r="E16" s="2">
        <f>SUMIFS('PUNTOS DE INYECCIÓN'!$E$4:$E$131,'PUNTOS DE INYECCIÓN'!$A$4:$A$131,'Consumos importantes'!E$2,'PUNTOS DE INYECCIÓN'!$C$4:$C$131,$D16)</f>
        <v>6662</v>
      </c>
      <c r="F16" s="2">
        <f>SUMIFS('PUNTOS DE INYECCIÓN'!$E$4:$E$131,'PUNTOS DE INYECCIÓN'!$A$4:$A$131,'Consumos importantes'!F$2,'PUNTOS DE INYECCIÓN'!$C$4:$C$131,$D16)</f>
        <v>11817.460000000001</v>
      </c>
      <c r="G16" s="2">
        <f>SUMIFS('PUNTOS DE INYECCIÓN'!$E$4:$E$131,'PUNTOS DE INYECCIÓN'!$A$4:$A$131,'Consumos importantes'!G$2,'PUNTOS DE INYECCIÓN'!$C$4:$C$131,$D16)</f>
        <v>5350</v>
      </c>
      <c r="H16" s="2">
        <f>SUMIFS('PUNTOS DE INYECCIÓN'!$E$4:$E$131,'PUNTOS DE INYECCIÓN'!$A$4:$A$131,'Consumos importantes'!H$2,'PUNTOS DE INYECCIÓN'!$C$4:$C$131,$D16)</f>
        <v>11476</v>
      </c>
      <c r="I16" s="341">
        <f t="shared" si="0"/>
        <v>5.9865926205495947E-2</v>
      </c>
      <c r="J16" s="341">
        <f t="shared" si="1"/>
        <v>0.10235304093278039</v>
      </c>
      <c r="K16" s="341">
        <f t="shared" si="2"/>
        <v>8.7446878064727035E-2</v>
      </c>
      <c r="L16" s="341">
        <f t="shared" si="3"/>
        <v>0.16647566548197579</v>
      </c>
      <c r="M16" s="344" t="str">
        <f t="shared" si="5"/>
        <v>INHIBIDOR DE INCRUSTACIONES</v>
      </c>
      <c r="N16">
        <v>4</v>
      </c>
      <c r="O16" s="2" t="str">
        <f t="shared" si="9"/>
        <v>INHIBIDOR DE INCRUSTACIONES</v>
      </c>
      <c r="P16" s="342">
        <f t="shared" si="10"/>
        <v>8.7446878064727035E-2</v>
      </c>
      <c r="Q16">
        <v>4</v>
      </c>
      <c r="R16" s="2" t="str">
        <f t="shared" si="11"/>
        <v>Biocida</v>
      </c>
      <c r="S16" s="342">
        <f t="shared" si="12"/>
        <v>7.5244795822151309E-2</v>
      </c>
    </row>
    <row r="17" spans="4:19">
      <c r="D17" s="4" t="s">
        <v>209</v>
      </c>
      <c r="E17" s="2">
        <f>SUMIFS('PUNTOS DE INYECCIÓN'!$E$4:$E$131,'PUNTOS DE INYECCIÓN'!$A$4:$A$131,'Consumos importantes'!E$2,'PUNTOS DE INYECCIÓN'!$C$4:$C$131,$D17)</f>
        <v>0</v>
      </c>
      <c r="F17" s="2">
        <f>SUMIFS('PUNTOS DE INYECCIÓN'!$E$4:$E$131,'PUNTOS DE INYECCIÓN'!$A$4:$A$131,'Consumos importantes'!F$2,'PUNTOS DE INYECCIÓN'!$C$4:$C$131,$D17)</f>
        <v>0</v>
      </c>
      <c r="G17" s="2">
        <f>SUMIFS('PUNTOS DE INYECCIÓN'!$E$4:$E$131,'PUNTOS DE INYECCIÓN'!$A$4:$A$131,'Consumos importantes'!G$2,'PUNTOS DE INYECCIÓN'!$C$4:$C$131,$D17)</f>
        <v>0</v>
      </c>
      <c r="H17" s="2">
        <f>SUMIFS('PUNTOS DE INYECCIÓN'!$E$4:$E$131,'PUNTOS DE INYECCIÓN'!$A$4:$A$131,'Consumos importantes'!H$2,'PUNTOS DE INYECCIÓN'!$C$4:$C$131,$D17)</f>
        <v>0</v>
      </c>
      <c r="I17" s="341">
        <f t="shared" si="0"/>
        <v>0</v>
      </c>
      <c r="J17" s="341">
        <f t="shared" si="1"/>
        <v>0</v>
      </c>
      <c r="K17" s="341">
        <f t="shared" si="2"/>
        <v>0</v>
      </c>
      <c r="L17" s="341">
        <f t="shared" si="3"/>
        <v>0</v>
      </c>
      <c r="M17" s="344" t="str">
        <f t="shared" si="5"/>
        <v>Limpieza de Punzados</v>
      </c>
      <c r="N17">
        <v>5</v>
      </c>
      <c r="O17" s="2" t="str">
        <f t="shared" si="9"/>
        <v>Secuestrante de oxígeno</v>
      </c>
      <c r="P17" s="342">
        <f t="shared" si="10"/>
        <v>7.780320366132723E-2</v>
      </c>
      <c r="Q17">
        <v>5</v>
      </c>
      <c r="R17" s="2" t="str">
        <f t="shared" si="11"/>
        <v>Secuestrante de oxígeno</v>
      </c>
      <c r="S17" s="342">
        <f t="shared" si="12"/>
        <v>5.3238558061942408E-2</v>
      </c>
    </row>
    <row r="18" spans="4:19">
      <c r="D18" s="4" t="s">
        <v>210</v>
      </c>
      <c r="E18" s="2">
        <f>SUMIFS('PUNTOS DE INYECCIÓN'!$E$4:$E$131,'PUNTOS DE INYECCIÓN'!$A$4:$A$131,'Consumos importantes'!E$2,'PUNTOS DE INYECCIÓN'!$C$4:$C$131,$D18)</f>
        <v>539</v>
      </c>
      <c r="F18" s="2">
        <f>SUMIFS('PUNTOS DE INYECCIÓN'!$E$4:$E$131,'PUNTOS DE INYECCIÓN'!$A$4:$A$131,'Consumos importantes'!F$2,'PUNTOS DE INYECCIÓN'!$C$4:$C$131,$D18)</f>
        <v>0</v>
      </c>
      <c r="G18" s="2">
        <f>SUMIFS('PUNTOS DE INYECCIÓN'!$E$4:$E$131,'PUNTOS DE INYECCIÓN'!$A$4:$A$131,'Consumos importantes'!G$2,'PUNTOS DE INYECCIÓN'!$C$4:$C$131,$D18)</f>
        <v>0</v>
      </c>
      <c r="H18" s="2">
        <f>SUMIFS('PUNTOS DE INYECCIÓN'!$E$4:$E$131,'PUNTOS DE INYECCIÓN'!$A$4:$A$131,'Consumos importantes'!H$2,'PUNTOS DE INYECCIÓN'!$C$4:$C$131,$D18)</f>
        <v>0</v>
      </c>
      <c r="I18" s="341">
        <f t="shared" si="0"/>
        <v>4.8435506191477507E-3</v>
      </c>
      <c r="J18" s="341">
        <f t="shared" si="1"/>
        <v>0</v>
      </c>
      <c r="K18" s="341">
        <f t="shared" si="2"/>
        <v>0</v>
      </c>
      <c r="L18" s="341">
        <f t="shared" si="3"/>
        <v>0</v>
      </c>
      <c r="M18" s="344" t="str">
        <f t="shared" si="5"/>
        <v>Mejorador de Fluidez</v>
      </c>
      <c r="N18">
        <v>6</v>
      </c>
      <c r="O18" s="2" t="str">
        <f t="shared" si="9"/>
        <v>Desemulsionante inverso</v>
      </c>
      <c r="P18" s="342">
        <f t="shared" si="10"/>
        <v>5.0343249427917618E-2</v>
      </c>
      <c r="Q18">
        <v>6</v>
      </c>
      <c r="R18" s="2" t="str">
        <f t="shared" si="11"/>
        <v>Desemulsionante inverso</v>
      </c>
      <c r="S18" s="342">
        <f t="shared" si="12"/>
        <v>2.7272067890041343E-2</v>
      </c>
    </row>
    <row r="19" spans="4:19">
      <c r="D19" s="4" t="s">
        <v>213</v>
      </c>
      <c r="E19" s="2">
        <f>SUMIFS('PUNTOS DE INYECCIÓN'!$E$4:$E$131,'PUNTOS DE INYECCIÓN'!$A$4:$A$131,'Consumos importantes'!E$2,'PUNTOS DE INYECCIÓN'!$C$4:$C$131,$D19)</f>
        <v>7025</v>
      </c>
      <c r="F19" s="2">
        <f>SUMIFS('PUNTOS DE INYECCIÓN'!$E$4:$E$131,'PUNTOS DE INYECCIÓN'!$A$4:$A$131,'Consumos importantes'!F$2,'PUNTOS DE INYECCIÓN'!$C$4:$C$131,$D19)</f>
        <v>0</v>
      </c>
      <c r="G19" s="2">
        <f>SUMIFS('PUNTOS DE INYECCIÓN'!$E$4:$E$131,'PUNTOS DE INYECCIÓN'!$A$4:$A$131,'Consumos importantes'!G$2,'PUNTOS DE INYECCIÓN'!$C$4:$C$131,$D19)</f>
        <v>0</v>
      </c>
      <c r="H19" s="2">
        <f>SUMIFS('PUNTOS DE INYECCIÓN'!$E$4:$E$131,'PUNTOS DE INYECCIÓN'!$A$4:$A$131,'Consumos importantes'!H$2,'PUNTOS DE INYECCIÓN'!$C$4:$C$131,$D19)</f>
        <v>0</v>
      </c>
      <c r="I19" s="341">
        <f t="shared" si="0"/>
        <v>6.312790927553423E-2</v>
      </c>
      <c r="J19" s="341">
        <f t="shared" si="1"/>
        <v>0</v>
      </c>
      <c r="K19" s="341">
        <f t="shared" si="2"/>
        <v>0</v>
      </c>
      <c r="L19" s="341">
        <f t="shared" si="3"/>
        <v>0</v>
      </c>
      <c r="M19" s="344" t="str">
        <f t="shared" si="5"/>
        <v>Mejorador de flujo y de Parafinas</v>
      </c>
      <c r="O19" s="345" t="s">
        <v>306</v>
      </c>
      <c r="P19" s="346">
        <f>+SUM(P13:P18)</f>
        <v>0.77095456031382803</v>
      </c>
      <c r="R19" s="345" t="s">
        <v>306</v>
      </c>
      <c r="S19" s="346">
        <f>+SUM(S13:S18)</f>
        <v>0.95534924203960259</v>
      </c>
    </row>
    <row r="20" spans="4:19">
      <c r="D20" s="4" t="s">
        <v>215</v>
      </c>
      <c r="E20" s="2">
        <f>SUMIFS('PUNTOS DE INYECCIÓN'!$E$4:$E$131,'PUNTOS DE INYECCIÓN'!$A$4:$A$131,'Consumos importantes'!E$2,'PUNTOS DE INYECCIÓN'!$C$4:$C$131,$D20)</f>
        <v>0</v>
      </c>
      <c r="F20" s="2">
        <f>SUMIFS('PUNTOS DE INYECCIÓN'!$E$4:$E$131,'PUNTOS DE INYECCIÓN'!$A$4:$A$131,'Consumos importantes'!F$2,'PUNTOS DE INYECCIÓN'!$C$4:$C$131,$D20)</f>
        <v>0</v>
      </c>
      <c r="G20" s="2">
        <f>SUMIFS('PUNTOS DE INYECCIÓN'!$E$4:$E$131,'PUNTOS DE INYECCIÓN'!$A$4:$A$131,'Consumos importantes'!G$2,'PUNTOS DE INYECCIÓN'!$C$4:$C$131,$D20)</f>
        <v>0</v>
      </c>
      <c r="H20" s="2">
        <f>SUMIFS('PUNTOS DE INYECCIÓN'!$E$4:$E$131,'PUNTOS DE INYECCIÓN'!$A$4:$A$131,'Consumos importantes'!H$2,'PUNTOS DE INYECCIÓN'!$C$4:$C$131,$D20)</f>
        <v>0</v>
      </c>
      <c r="I20" s="341">
        <f t="shared" si="0"/>
        <v>0</v>
      </c>
      <c r="J20" s="341">
        <f t="shared" si="1"/>
        <v>0</v>
      </c>
      <c r="K20" s="341">
        <f t="shared" si="2"/>
        <v>0</v>
      </c>
      <c r="L20" s="341">
        <f t="shared" si="3"/>
        <v>0</v>
      </c>
      <c r="M20" s="344" t="str">
        <f t="shared" si="5"/>
        <v>OXIDANTE</v>
      </c>
    </row>
    <row r="21" spans="4:19">
      <c r="D21" s="4" t="s">
        <v>217</v>
      </c>
      <c r="E21" s="2">
        <f>SUMIFS('PUNTOS DE INYECCIÓN'!$E$4:$E$131,'PUNTOS DE INYECCIÓN'!$A$4:$A$131,'Consumos importantes'!E$2,'PUNTOS DE INYECCIÓN'!$C$4:$C$131,$D21)</f>
        <v>4782</v>
      </c>
      <c r="F21" s="2">
        <f>SUMIFS('PUNTOS DE INYECCIÓN'!$E$4:$E$131,'PUNTOS DE INYECCIÓN'!$A$4:$A$131,'Consumos importantes'!F$2,'PUNTOS DE INYECCIÓN'!$C$4:$C$131,$D21)</f>
        <v>0</v>
      </c>
      <c r="G21" s="2">
        <f>SUMIFS('PUNTOS DE INYECCIÓN'!$E$4:$E$131,'PUNTOS DE INYECCIÓN'!$A$4:$A$131,'Consumos importantes'!G$2,'PUNTOS DE INYECCIÓN'!$C$4:$C$131,$D21)</f>
        <v>0</v>
      </c>
      <c r="H21" s="2">
        <f>SUMIFS('PUNTOS DE INYECCIÓN'!$E$4:$E$131,'PUNTOS DE INYECCIÓN'!$A$4:$A$131,'Consumos importantes'!H$2,'PUNTOS DE INYECCIÓN'!$C$4:$C$131,$D21)</f>
        <v>0</v>
      </c>
      <c r="I21" s="341">
        <f t="shared" si="0"/>
        <v>4.2971909203644791E-2</v>
      </c>
      <c r="J21" s="341">
        <f t="shared" si="1"/>
        <v>0</v>
      </c>
      <c r="K21" s="341">
        <f t="shared" si="2"/>
        <v>0</v>
      </c>
      <c r="L21" s="341">
        <f t="shared" si="3"/>
        <v>0</v>
      </c>
      <c r="M21" s="344" t="str">
        <f t="shared" si="5"/>
        <v>Reductor de Viscocidad</v>
      </c>
    </row>
    <row r="22" spans="4:19">
      <c r="D22" s="4" t="s">
        <v>219</v>
      </c>
      <c r="E22" s="2">
        <f>SUMIFS('PUNTOS DE INYECCIÓN'!$E$4:$E$131,'PUNTOS DE INYECCIÓN'!$A$4:$A$131,'Consumos importantes'!E$2,'PUNTOS DE INYECCIÓN'!$C$4:$C$131,$D22)</f>
        <v>1130</v>
      </c>
      <c r="F22" s="2">
        <f>SUMIFS('PUNTOS DE INYECCIÓN'!$E$4:$E$131,'PUNTOS DE INYECCIÓN'!$A$4:$A$131,'Consumos importantes'!F$2,'PUNTOS DE INYECCIÓN'!$C$4:$C$131,$D22)</f>
        <v>0</v>
      </c>
      <c r="G22" s="2">
        <f>SUMIFS('PUNTOS DE INYECCIÓN'!$E$4:$E$131,'PUNTOS DE INYECCIÓN'!$A$4:$A$131,'Consumos importantes'!G$2,'PUNTOS DE INYECCIÓN'!$C$4:$C$131,$D22)</f>
        <v>970</v>
      </c>
      <c r="H22" s="2">
        <f>SUMIFS('PUNTOS DE INYECCIÓN'!$E$4:$E$131,'PUNTOS DE INYECCIÓN'!$A$4:$A$131,'Consumos importantes'!H$2,'PUNTOS DE INYECCIÓN'!$C$4:$C$131,$D22)</f>
        <v>250</v>
      </c>
      <c r="I22" s="341">
        <f t="shared" si="0"/>
        <v>1.0154382559623299E-2</v>
      </c>
      <c r="J22" s="341">
        <f t="shared" si="1"/>
        <v>0</v>
      </c>
      <c r="K22" s="341">
        <f t="shared" si="2"/>
        <v>1.5854854527623405E-2</v>
      </c>
      <c r="L22" s="341">
        <f t="shared" si="3"/>
        <v>3.6266047726118806E-3</v>
      </c>
      <c r="M22" s="344" t="str">
        <f t="shared" si="5"/>
        <v>Regulador de pH</v>
      </c>
    </row>
    <row r="23" spans="4:19">
      <c r="D23" s="4" t="s">
        <v>221</v>
      </c>
      <c r="E23" s="2">
        <f>SUMIFS('PUNTOS DE INYECCIÓN'!$E$4:$E$131,'PUNTOS DE INYECCIÓN'!$A$4:$A$131,'Consumos importantes'!E$2,'PUNTOS DE INYECCIÓN'!$C$4:$C$131,$D23)</f>
        <v>28500</v>
      </c>
      <c r="F23" s="2">
        <f>SUMIFS('PUNTOS DE INYECCIÓN'!$E$4:$E$131,'PUNTOS DE INYECCIÓN'!$A$4:$A$131,'Consumos importantes'!F$2,'PUNTOS DE INYECCIÓN'!$C$4:$C$131,$D23)</f>
        <v>0</v>
      </c>
      <c r="G23" s="2">
        <f>SUMIFS('PUNTOS DE INYECCIÓN'!$E$4:$E$131,'PUNTOS DE INYECCIÓN'!$A$4:$A$131,'Consumos importantes'!G$2,'PUNTOS DE INYECCIÓN'!$C$4:$C$131,$D23)</f>
        <v>0</v>
      </c>
      <c r="H23" s="2">
        <f>SUMIFS('PUNTOS DE INYECCIÓN'!$E$4:$E$131,'PUNTOS DE INYECCIÓN'!$A$4:$A$131,'Consumos importantes'!H$2,'PUNTOS DE INYECCIÓN'!$C$4:$C$131,$D23)</f>
        <v>0</v>
      </c>
      <c r="I23" s="341">
        <f t="shared" si="0"/>
        <v>0.25610610880465845</v>
      </c>
      <c r="J23" s="341">
        <f t="shared" si="1"/>
        <v>0</v>
      </c>
      <c r="K23" s="341">
        <f t="shared" si="2"/>
        <v>0</v>
      </c>
      <c r="L23" s="341">
        <f t="shared" si="3"/>
        <v>0</v>
      </c>
      <c r="M23" s="344" t="str">
        <f t="shared" si="5"/>
        <v xml:space="preserve">Sal </v>
      </c>
    </row>
    <row r="24" spans="4:19">
      <c r="D24" s="4" t="s">
        <v>224</v>
      </c>
      <c r="E24" s="2">
        <f>SUMIFS('PUNTOS DE INYECCIÓN'!$E$4:$E$131,'PUNTOS DE INYECCIÓN'!$A$4:$A$131,'Consumos importantes'!E$2,'PUNTOS DE INYECCIÓN'!$C$4:$C$131,$D24)</f>
        <v>2170</v>
      </c>
      <c r="F24" s="2">
        <f>SUMIFS('PUNTOS DE INYECCIÓN'!$E$4:$E$131,'PUNTOS DE INYECCIÓN'!$A$4:$A$131,'Consumos importantes'!F$2,'PUNTOS DE INYECCIÓN'!$C$4:$C$131,$D24)</f>
        <v>0</v>
      </c>
      <c r="G24" s="2">
        <f>SUMIFS('PUNTOS DE INYECCIÓN'!$E$4:$E$131,'PUNTOS DE INYECCIÓN'!$A$4:$A$131,'Consumos importantes'!G$2,'PUNTOS DE INYECCIÓN'!$C$4:$C$131,$D24)</f>
        <v>4760</v>
      </c>
      <c r="H24" s="2">
        <f>SUMIFS('PUNTOS DE INYECCIÓN'!$E$4:$E$131,'PUNTOS DE INYECCIÓN'!$A$4:$A$131,'Consumos importantes'!H$2,'PUNTOS DE INYECCIÓN'!$C$4:$C$131,$D24)</f>
        <v>3670</v>
      </c>
      <c r="I24" s="341">
        <f t="shared" si="0"/>
        <v>1.9500008986179256E-2</v>
      </c>
      <c r="J24" s="341">
        <f t="shared" si="1"/>
        <v>0</v>
      </c>
      <c r="K24" s="341">
        <f t="shared" si="2"/>
        <v>7.780320366132723E-2</v>
      </c>
      <c r="L24" s="341">
        <f t="shared" si="3"/>
        <v>5.3238558061942408E-2</v>
      </c>
      <c r="M24" s="344" t="str">
        <f t="shared" si="5"/>
        <v>Secuestrante de oxígeno</v>
      </c>
    </row>
    <row r="25" spans="4:19">
      <c r="D25" s="4" t="s">
        <v>227</v>
      </c>
      <c r="E25" s="2">
        <f>SUMIFS('PUNTOS DE INYECCIÓN'!$E$4:$E$131,'PUNTOS DE INYECCIÓN'!$A$4:$A$131,'Consumos importantes'!E$2,'PUNTOS DE INYECCIÓN'!$C$4:$C$131,$D25)</f>
        <v>790</v>
      </c>
      <c r="F25" s="2">
        <f>SUMIFS('PUNTOS DE INYECCIÓN'!$E$4:$E$131,'PUNTOS DE INYECCIÓN'!$A$4:$A$131,'Consumos importantes'!F$2,'PUNTOS DE INYECCIÓN'!$C$4:$C$131,$D25)</f>
        <v>5033.6000000000004</v>
      </c>
      <c r="G25" s="2">
        <f>SUMIFS('PUNTOS DE INYECCIÓN'!$E$4:$E$131,'PUNTOS DE INYECCIÓN'!$A$4:$A$131,'Consumos importantes'!G$2,'PUNTOS DE INYECCIÓN'!$C$4:$C$131,$D25)</f>
        <v>680</v>
      </c>
      <c r="H25" s="2">
        <f>SUMIFS('PUNTOS DE INYECCIÓN'!$E$4:$E$131,'PUNTOS DE INYECCIÓN'!$A$4:$A$131,'Consumos importantes'!H$2,'PUNTOS DE INYECCIÓN'!$C$4:$C$131,$D25)</f>
        <v>500</v>
      </c>
      <c r="I25" s="341">
        <f t="shared" si="0"/>
        <v>7.0990816124800061E-3</v>
      </c>
      <c r="J25" s="341">
        <f t="shared" si="1"/>
        <v>4.3596869956762568E-2</v>
      </c>
      <c r="K25" s="341">
        <f t="shared" si="2"/>
        <v>1.1114743380189604E-2</v>
      </c>
      <c r="L25" s="341">
        <f t="shared" si="3"/>
        <v>7.2532095452237611E-3</v>
      </c>
      <c r="M25" s="344" t="str">
        <f t="shared" si="5"/>
        <v>SECUESTRANTE DE SULFHÍDRICO</v>
      </c>
    </row>
    <row r="26" spans="4:19">
      <c r="D26" s="4" t="s">
        <v>231</v>
      </c>
      <c r="E26" s="2">
        <f>SUMIFS('PUNTOS DE INYECCIÓN'!$E$4:$E$131,'PUNTOS DE INYECCIÓN'!$A$4:$A$131,'Consumos importantes'!E$2,'PUNTOS DE INYECCIÓN'!$C$4:$C$131,$D26)</f>
        <v>0</v>
      </c>
      <c r="F26" s="2">
        <f>SUMIFS('PUNTOS DE INYECCIÓN'!$E$4:$E$131,'PUNTOS DE INYECCIÓN'!$A$4:$A$131,'Consumos importantes'!F$2,'PUNTOS DE INYECCIÓN'!$C$4:$C$131,$D26)</f>
        <v>3923.2599999999998</v>
      </c>
      <c r="G26" s="2">
        <f>SUMIFS('PUNTOS DE INYECCIÓN'!$E$4:$E$131,'PUNTOS DE INYECCIÓN'!$A$4:$A$131,'Consumos importantes'!G$2,'PUNTOS DE INYECCIÓN'!$C$4:$C$131,$D26)</f>
        <v>0</v>
      </c>
      <c r="H26" s="2">
        <f>SUMIFS('PUNTOS DE INYECCIÓN'!$E$4:$E$131,'PUNTOS DE INYECCIÓN'!$A$4:$A$131,'Consumos importantes'!H$2,'PUNTOS DE INYECCIÓN'!$C$4:$C$131,$D26)</f>
        <v>0</v>
      </c>
      <c r="I26" s="341">
        <f t="shared" si="0"/>
        <v>0</v>
      </c>
      <c r="J26" s="341">
        <f t="shared" si="1"/>
        <v>3.3980025434394524E-2</v>
      </c>
      <c r="K26" s="341">
        <f t="shared" si="2"/>
        <v>0</v>
      </c>
      <c r="L26" s="341">
        <f t="shared" si="3"/>
        <v>0</v>
      </c>
      <c r="M26" s="344" t="str">
        <f t="shared" si="5"/>
        <v>ANTIESPUMANTE</v>
      </c>
    </row>
    <row r="27" spans="4:19">
      <c r="D27" s="4" t="s">
        <v>239</v>
      </c>
      <c r="E27" s="2">
        <f>SUMIFS('PUNTOS DE INYECCIÓN'!$E$4:$E$131,'PUNTOS DE INYECCIÓN'!$A$4:$A$131,'Consumos importantes'!E$2,'PUNTOS DE INYECCIÓN'!$C$4:$C$131,$D27)</f>
        <v>0</v>
      </c>
      <c r="F27" s="2">
        <f>SUMIFS('PUNTOS DE INYECCIÓN'!$E$4:$E$131,'PUNTOS DE INYECCIÓN'!$A$4:$A$131,'Consumos importantes'!F$2,'PUNTOS DE INYECCIÓN'!$C$4:$C$131,$D27)</f>
        <v>26778.01</v>
      </c>
      <c r="G27" s="2">
        <f>SUMIFS('PUNTOS DE INYECCIÓN'!$E$4:$E$131,'PUNTOS DE INYECCIÓN'!$A$4:$A$131,'Consumos importantes'!G$2,'PUNTOS DE INYECCIÓN'!$C$4:$C$131,$D27)</f>
        <v>1226</v>
      </c>
      <c r="H27" s="2">
        <f>SUMIFS('PUNTOS DE INYECCIÓN'!$E$4:$E$131,'PUNTOS DE INYECCIÓN'!$A$4:$A$131,'Consumos importantes'!H$2,'PUNTOS DE INYECCIÓN'!$C$4:$C$131,$D27)</f>
        <v>0</v>
      </c>
      <c r="I27" s="341">
        <f t="shared" si="0"/>
        <v>0</v>
      </c>
      <c r="J27" s="341">
        <f t="shared" si="1"/>
        <v>0.23192892158115214</v>
      </c>
      <c r="K27" s="341">
        <f t="shared" si="2"/>
        <v>2.0039228506047727E-2</v>
      </c>
      <c r="L27" s="341">
        <f t="shared" si="3"/>
        <v>0</v>
      </c>
      <c r="M27" s="344" t="str">
        <f t="shared" si="5"/>
        <v>DESEMULSIONANTE</v>
      </c>
    </row>
    <row r="28" spans="4:19">
      <c r="D28" s="4" t="s">
        <v>244</v>
      </c>
      <c r="E28" s="2">
        <f>SUMIFS('PUNTOS DE INYECCIÓN'!$E$4:$E$131,'PUNTOS DE INYECCIÓN'!$A$4:$A$131,'Consumos importantes'!E$2,'PUNTOS DE INYECCIÓN'!$C$4:$C$131,$D28)</f>
        <v>0</v>
      </c>
      <c r="F28" s="2">
        <f>SUMIFS('PUNTOS DE INYECCIÓN'!$E$4:$E$131,'PUNTOS DE INYECCIÓN'!$A$4:$A$131,'Consumos importantes'!F$2,'PUNTOS DE INYECCIÓN'!$C$4:$C$131,$D28)</f>
        <v>0</v>
      </c>
      <c r="G28" s="2">
        <f>SUMIFS('PUNTOS DE INYECCIÓN'!$E$4:$E$131,'PUNTOS DE INYECCIÓN'!$A$4:$A$131,'Consumos importantes'!G$2,'PUNTOS DE INYECCIÓN'!$C$4:$C$131,$D28)</f>
        <v>2018</v>
      </c>
      <c r="H28" s="2">
        <f>SUMIFS('PUNTOS DE INYECCIÓN'!$E$4:$E$131,'PUNTOS DE INYECCIÓN'!$A$4:$A$131,'Consumos importantes'!H$2,'PUNTOS DE INYECCIÓN'!$C$4:$C$131,$D28)</f>
        <v>0</v>
      </c>
      <c r="I28" s="341">
        <f t="shared" si="0"/>
        <v>0</v>
      </c>
      <c r="J28" s="341">
        <f t="shared" si="1"/>
        <v>0</v>
      </c>
      <c r="K28" s="341">
        <f t="shared" si="2"/>
        <v>3.2984635501797976E-2</v>
      </c>
      <c r="L28" s="341">
        <f t="shared" si="3"/>
        <v>0</v>
      </c>
      <c r="M28" s="344" t="str">
        <f t="shared" si="5"/>
        <v>Dispersnate de Parafina/Asfaltenos</v>
      </c>
    </row>
    <row r="29" spans="4:19">
      <c r="D29" s="4" t="s">
        <v>247</v>
      </c>
      <c r="E29" s="2">
        <f>SUMIFS('PUNTOS DE INYECCIÓN'!$E$4:$E$131,'PUNTOS DE INYECCIÓN'!$A$4:$A$131,'Consumos importantes'!E$2,'PUNTOS DE INYECCIÓN'!$C$4:$C$131,$D29)</f>
        <v>0</v>
      </c>
      <c r="F29" s="2">
        <f>SUMIFS('PUNTOS DE INYECCIÓN'!$E$4:$E$131,'PUNTOS DE INYECCIÓN'!$A$4:$A$131,'Consumos importantes'!F$2,'PUNTOS DE INYECCIÓN'!$C$4:$C$131,$D29)</f>
        <v>0</v>
      </c>
      <c r="G29" s="2">
        <f>SUMIFS('PUNTOS DE INYECCIÓN'!$E$4:$E$131,'PUNTOS DE INYECCIÓN'!$A$4:$A$131,'Consumos importantes'!G$2,'PUNTOS DE INYECCIÓN'!$C$4:$C$131,$D29)</f>
        <v>7769</v>
      </c>
      <c r="H29" s="2">
        <f>SUMIFS('PUNTOS DE INYECCIÓN'!$E$4:$E$131,'PUNTOS DE INYECCIÓN'!$A$4:$A$131,'Consumos importantes'!H$2,'PUNTOS DE INYECCIÓN'!$C$4:$C$131,$D29)</f>
        <v>0</v>
      </c>
      <c r="I29" s="341">
        <f t="shared" si="0"/>
        <v>0</v>
      </c>
      <c r="J29" s="341">
        <f t="shared" si="1"/>
        <v>0</v>
      </c>
      <c r="K29" s="341">
        <f t="shared" si="2"/>
        <v>0.12698594311866623</v>
      </c>
      <c r="L29" s="341">
        <f t="shared" si="3"/>
        <v>0</v>
      </c>
      <c r="M29" s="344" t="str">
        <f t="shared" si="5"/>
        <v>Humectante/Secante</v>
      </c>
    </row>
    <row r="30" spans="4:19">
      <c r="D30" s="4" t="s">
        <v>248</v>
      </c>
      <c r="E30" s="2">
        <f>SUMIFS('PUNTOS DE INYECCIÓN'!$E$4:$E$131,'PUNTOS DE INYECCIÓN'!$A$4:$A$131,'Consumos importantes'!E$2,'PUNTOS DE INYECCIÓN'!$C$4:$C$131,$D30)</f>
        <v>0</v>
      </c>
      <c r="F30" s="2">
        <f>SUMIFS('PUNTOS DE INYECCIÓN'!$E$4:$E$131,'PUNTOS DE INYECCIÓN'!$A$4:$A$131,'Consumos importantes'!F$2,'PUNTOS DE INYECCIÓN'!$C$4:$C$131,$D30)</f>
        <v>0</v>
      </c>
      <c r="G30" s="2">
        <f>SUMIFS('PUNTOS DE INYECCIÓN'!$E$4:$E$131,'PUNTOS DE INYECCIÓN'!$A$4:$A$131,'Consumos importantes'!G$2,'PUNTOS DE INYECCIÓN'!$C$4:$C$131,$D30)</f>
        <v>0</v>
      </c>
      <c r="H30" s="2">
        <f>SUMIFS('PUNTOS DE INYECCIÓN'!$E$4:$E$131,'PUNTOS DE INYECCIÓN'!$A$4:$A$131,'Consumos importantes'!H$2,'PUNTOS DE INYECCIÓN'!$C$4:$C$131,$D30)</f>
        <v>0</v>
      </c>
      <c r="I30" s="341">
        <f t="shared" si="0"/>
        <v>0</v>
      </c>
      <c r="J30" s="341">
        <f t="shared" si="1"/>
        <v>0</v>
      </c>
      <c r="K30" s="341">
        <f t="shared" si="2"/>
        <v>0</v>
      </c>
      <c r="L30" s="341">
        <f t="shared" si="3"/>
        <v>0</v>
      </c>
      <c r="M30" s="344" t="str">
        <f t="shared" si="5"/>
        <v>INHIBIDOR DE HIDRATOS</v>
      </c>
    </row>
    <row r="31" spans="4:19">
      <c r="D31" s="4" t="s">
        <v>251</v>
      </c>
      <c r="E31" s="2">
        <f>SUMIFS('PUNTOS DE INYECCIÓN'!$E$4:$E$131,'PUNTOS DE INYECCIÓN'!$A$4:$A$131,'Consumos importantes'!E$2,'PUNTOS DE INYECCIÓN'!$C$4:$C$131,$D31)</f>
        <v>0</v>
      </c>
      <c r="F31" s="2">
        <f>SUMIFS('PUNTOS DE INYECCIÓN'!$E$4:$E$131,'PUNTOS DE INYECCIÓN'!$A$4:$A$131,'Consumos importantes'!F$2,'PUNTOS DE INYECCIÓN'!$C$4:$C$131,$D31)</f>
        <v>0</v>
      </c>
      <c r="G31" s="2">
        <f>SUMIFS('PUNTOS DE INYECCIÓN'!$E$4:$E$131,'PUNTOS DE INYECCIÓN'!$A$4:$A$131,'Consumos importantes'!G$2,'PUNTOS DE INYECCIÓN'!$C$4:$C$131,$D31)</f>
        <v>800</v>
      </c>
      <c r="H31" s="2">
        <f>SUMIFS('PUNTOS DE INYECCIÓN'!$E$4:$E$131,'PUNTOS DE INYECCIÓN'!$A$4:$A$131,'Consumos importantes'!H$2,'PUNTOS DE INYECCIÓN'!$C$4:$C$131,$D31)</f>
        <v>0</v>
      </c>
      <c r="I31" s="341">
        <f t="shared" si="0"/>
        <v>0</v>
      </c>
      <c r="J31" s="341">
        <f t="shared" si="1"/>
        <v>0</v>
      </c>
      <c r="K31" s="341">
        <f t="shared" si="2"/>
        <v>1.3076168682576005E-2</v>
      </c>
      <c r="L31" s="341">
        <f t="shared" si="3"/>
        <v>0</v>
      </c>
      <c r="M31" s="344" t="str">
        <f t="shared" si="5"/>
        <v xml:space="preserve">Oxidante de solidos </v>
      </c>
    </row>
    <row r="32" spans="4:19">
      <c r="D32" s="4" t="s">
        <v>256</v>
      </c>
      <c r="E32" s="2">
        <f>SUMIFS('PUNTOS DE INYECCIÓN'!$E$4:$E$131,'PUNTOS DE INYECCIÓN'!$A$4:$A$131,'Consumos importantes'!E$2,'PUNTOS DE INYECCIÓN'!$C$4:$C$131,$D32)</f>
        <v>0</v>
      </c>
      <c r="F32" s="2">
        <f>SUMIFS('PUNTOS DE INYECCIÓN'!$E$4:$E$131,'PUNTOS DE INYECCIÓN'!$A$4:$A$131,'Consumos importantes'!F$2,'PUNTOS DE INYECCIÓN'!$C$4:$C$131,$D32)</f>
        <v>15165.1</v>
      </c>
      <c r="G32" s="2">
        <f>SUMIFS('PUNTOS DE INYECCIÓN'!$E$4:$E$131,'PUNTOS DE INYECCIÓN'!$A$4:$A$131,'Consumos importantes'!G$2,'PUNTOS DE INYECCIÓN'!$C$4:$C$131,$D32)</f>
        <v>0</v>
      </c>
      <c r="H32" s="2">
        <f>SUMIFS('PUNTOS DE INYECCIÓN'!$E$4:$E$131,'PUNTOS DE INYECCIÓN'!$A$4:$A$131,'Consumos importantes'!H$2,'PUNTOS DE INYECCIÓN'!$C$4:$C$131,$D32)</f>
        <v>0</v>
      </c>
      <c r="I32" s="341">
        <f t="shared" si="0"/>
        <v>0</v>
      </c>
      <c r="J32" s="341">
        <f t="shared" si="1"/>
        <v>0.13134752316062062</v>
      </c>
      <c r="K32" s="341">
        <f t="shared" si="2"/>
        <v>0</v>
      </c>
      <c r="L32" s="341">
        <f t="shared" si="3"/>
        <v>0</v>
      </c>
      <c r="M32" s="344" t="str">
        <f t="shared" si="5"/>
        <v>BACTERICIDA</v>
      </c>
    </row>
    <row r="33" spans="4:13">
      <c r="D33" s="4" t="s">
        <v>264</v>
      </c>
      <c r="E33" s="2">
        <f>SUMIFS('PUNTOS DE INYECCIÓN'!$E$4:$E$131,'PUNTOS DE INYECCIÓN'!$A$4:$A$131,'Consumos importantes'!E$2,'PUNTOS DE INYECCIÓN'!$C$4:$C$131,$D33)</f>
        <v>0</v>
      </c>
      <c r="F33" s="2">
        <f>SUMIFS('PUNTOS DE INYECCIÓN'!$E$4:$E$131,'PUNTOS DE INYECCIÓN'!$A$4:$A$131,'Consumos importantes'!F$2,'PUNTOS DE INYECCIÓN'!$C$4:$C$131,$D33)</f>
        <v>11768.080000000002</v>
      </c>
      <c r="G33" s="2">
        <f>SUMIFS('PUNTOS DE INYECCIÓN'!$E$4:$E$131,'PUNTOS DE INYECCIÓN'!$A$4:$A$131,'Consumos importantes'!G$2,'PUNTOS DE INYECCIÓN'!$C$4:$C$131,$D33)</f>
        <v>0</v>
      </c>
      <c r="H33" s="2">
        <f>SUMIFS('PUNTOS DE INYECCIÓN'!$E$4:$E$131,'PUNTOS DE INYECCIÓN'!$A$4:$A$131,'Consumos importantes'!H$2,'PUNTOS DE INYECCIÓN'!$C$4:$C$131,$D33)</f>
        <v>0</v>
      </c>
      <c r="I33" s="341">
        <f t="shared" si="0"/>
        <v>0</v>
      </c>
      <c r="J33" s="341">
        <f t="shared" si="1"/>
        <v>0.10192535231261492</v>
      </c>
      <c r="K33" s="341">
        <f t="shared" si="2"/>
        <v>0</v>
      </c>
      <c r="L33" s="341">
        <f t="shared" si="3"/>
        <v>0</v>
      </c>
      <c r="M33" s="344" t="str">
        <f t="shared" si="5"/>
        <v>DISOLVENTE DE PARAFINAS Y ASFALTENOS</v>
      </c>
    </row>
    <row r="34" spans="4:13">
      <c r="D34" s="4" t="s">
        <v>267</v>
      </c>
      <c r="E34" s="2">
        <f>SUMIFS('PUNTOS DE INYECCIÓN'!$E$4:$E$131,'PUNTOS DE INYECCIÓN'!$A$4:$A$131,'Consumos importantes'!E$2,'PUNTOS DE INYECCIÓN'!$C$4:$C$131,$D34)</f>
        <v>0</v>
      </c>
      <c r="F34" s="2">
        <f>SUMIFS('PUNTOS DE INYECCIÓN'!$E$4:$E$131,'PUNTOS DE INYECCIÓN'!$A$4:$A$131,'Consumos importantes'!F$2,'PUNTOS DE INYECCIÓN'!$C$4:$C$131,$D34)</f>
        <v>647</v>
      </c>
      <c r="G34" s="2">
        <f>SUMIFS('PUNTOS DE INYECCIÓN'!$E$4:$E$131,'PUNTOS DE INYECCIÓN'!$A$4:$A$131,'Consumos importantes'!G$2,'PUNTOS DE INYECCIÓN'!$C$4:$C$131,$D34)</f>
        <v>0</v>
      </c>
      <c r="H34" s="2">
        <f>SUMIFS('PUNTOS DE INYECCIÓN'!$E$4:$E$131,'PUNTOS DE INYECCIÓN'!$A$4:$A$131,'Consumos importantes'!H$2,'PUNTOS DE INYECCIÓN'!$C$4:$C$131,$D34)</f>
        <v>0</v>
      </c>
      <c r="I34" s="341">
        <f t="shared" si="0"/>
        <v>0</v>
      </c>
      <c r="J34" s="341">
        <f t="shared" si="1"/>
        <v>5.6037775870202994E-3</v>
      </c>
      <c r="K34" s="341">
        <f t="shared" si="2"/>
        <v>0</v>
      </c>
      <c r="L34" s="341">
        <f t="shared" si="3"/>
        <v>0</v>
      </c>
      <c r="M34" s="344" t="str">
        <f t="shared" si="5"/>
        <v>Dispersante de Asfaltenos</v>
      </c>
    </row>
    <row r="35" spans="4:13">
      <c r="D35" s="4" t="s">
        <v>268</v>
      </c>
      <c r="E35" s="2">
        <f>SUMIFS('PUNTOS DE INYECCIÓN'!$E$4:$E$131,'PUNTOS DE INYECCIÓN'!$A$4:$A$131,'Consumos importantes'!E$2,'PUNTOS DE INYECCIÓN'!$C$4:$C$131,$D35)</f>
        <v>0</v>
      </c>
      <c r="F35" s="2">
        <f>SUMIFS('PUNTOS DE INYECCIÓN'!$E$4:$E$131,'PUNTOS DE INYECCIÓN'!$A$4:$A$131,'Consumos importantes'!F$2,'PUNTOS DE INYECCIÓN'!$C$4:$C$131,$D35)</f>
        <v>0</v>
      </c>
      <c r="G35" s="2">
        <f>SUMIFS('PUNTOS DE INYECCIÓN'!$E$4:$E$131,'PUNTOS DE INYECCIÓN'!$A$4:$A$131,'Consumos importantes'!G$2,'PUNTOS DE INYECCIÓN'!$C$4:$C$131,$D35)</f>
        <v>0</v>
      </c>
      <c r="H35" s="2">
        <f>SUMIFS('PUNTOS DE INYECCIÓN'!$E$4:$E$131,'PUNTOS DE INYECCIÓN'!$A$4:$A$131,'Consumos importantes'!H$2,'PUNTOS DE INYECCIÓN'!$C$4:$C$131,$D35)</f>
        <v>0</v>
      </c>
      <c r="I35" s="341">
        <f t="shared" si="0"/>
        <v>0</v>
      </c>
      <c r="J35" s="341">
        <f t="shared" si="1"/>
        <v>0</v>
      </c>
      <c r="K35" s="341">
        <f t="shared" si="2"/>
        <v>0</v>
      </c>
      <c r="L35" s="341">
        <f t="shared" si="3"/>
        <v>0</v>
      </c>
      <c r="M35" s="344" t="str">
        <f t="shared" si="5"/>
        <v>DISPERSANTE DE PARAFINAS Y ASFALTENOS</v>
      </c>
    </row>
    <row r="36" spans="4:13">
      <c r="D36" s="4" t="s">
        <v>270</v>
      </c>
      <c r="E36" s="2">
        <f>SUMIFS('PUNTOS DE INYECCIÓN'!$E$4:$E$131,'PUNTOS DE INYECCIÓN'!$A$4:$A$131,'Consumos importantes'!E$2,'PUNTOS DE INYECCIÓN'!$C$4:$C$131,$D36)</f>
        <v>0</v>
      </c>
      <c r="F36" s="2">
        <f>SUMIFS('PUNTOS DE INYECCIÓN'!$E$4:$E$131,'PUNTOS DE INYECCIÓN'!$A$4:$A$131,'Consumos importantes'!F$2,'PUNTOS DE INYECCIÓN'!$C$4:$C$131,$D36)</f>
        <v>15.159999999999997</v>
      </c>
      <c r="G36" s="2">
        <f>SUMIFS('PUNTOS DE INYECCIÓN'!$E$4:$E$131,'PUNTOS DE INYECCIÓN'!$A$4:$A$131,'Consumos importantes'!G$2,'PUNTOS DE INYECCIÓN'!$C$4:$C$131,$D36)</f>
        <v>0</v>
      </c>
      <c r="H36" s="2">
        <f>SUMIFS('PUNTOS DE INYECCIÓN'!$E$4:$E$131,'PUNTOS DE INYECCIÓN'!$A$4:$A$131,'Consumos importantes'!H$2,'PUNTOS DE INYECCIÓN'!$C$4:$C$131,$D36)</f>
        <v>0</v>
      </c>
      <c r="I36" s="341">
        <f t="shared" si="0"/>
        <v>0</v>
      </c>
      <c r="J36" s="341">
        <f t="shared" si="1"/>
        <v>1.3130335118891455E-4</v>
      </c>
      <c r="K36" s="341">
        <f t="shared" si="2"/>
        <v>0</v>
      </c>
      <c r="L36" s="341">
        <f t="shared" si="3"/>
        <v>0</v>
      </c>
      <c r="M36" s="344" t="str">
        <f t="shared" si="5"/>
        <v>Dispersante de sólidos orgánicos e inorgánicos</v>
      </c>
    </row>
    <row r="37" spans="4:13">
      <c r="D37" s="4" t="s">
        <v>272</v>
      </c>
      <c r="E37" s="2">
        <f>SUMIFS('PUNTOS DE INYECCIÓN'!$E$4:$E$131,'PUNTOS DE INYECCIÓN'!$A$4:$A$131,'Consumos importantes'!E$2,'PUNTOS DE INYECCIÓN'!$C$4:$C$131,$D37)</f>
        <v>0</v>
      </c>
      <c r="F37" s="2">
        <f>SUMIFS('PUNTOS DE INYECCIÓN'!$E$4:$E$131,'PUNTOS DE INYECCIÓN'!$A$4:$A$131,'Consumos importantes'!F$2,'PUNTOS DE INYECCIÓN'!$C$4:$C$131,$D37)</f>
        <v>0</v>
      </c>
      <c r="G37" s="2">
        <f>SUMIFS('PUNTOS DE INYECCIÓN'!$E$4:$E$131,'PUNTOS DE INYECCIÓN'!$A$4:$A$131,'Consumos importantes'!G$2,'PUNTOS DE INYECCIÓN'!$C$4:$C$131,$D37)</f>
        <v>0</v>
      </c>
      <c r="H37" s="2">
        <f>SUMIFS('PUNTOS DE INYECCIÓN'!$E$4:$E$131,'PUNTOS DE INYECCIÓN'!$A$4:$A$131,'Consumos importantes'!H$2,'PUNTOS DE INYECCIÓN'!$C$4:$C$131,$D37)</f>
        <v>0</v>
      </c>
      <c r="I37" s="341">
        <f t="shared" si="0"/>
        <v>0</v>
      </c>
      <c r="J37" s="341">
        <f t="shared" si="1"/>
        <v>0</v>
      </c>
      <c r="K37" s="341">
        <f t="shared" si="2"/>
        <v>0</v>
      </c>
      <c r="L37" s="341">
        <f t="shared" si="3"/>
        <v>0</v>
      </c>
      <c r="M37" s="344" t="str">
        <f t="shared" si="5"/>
        <v>Estabilizador de Arcillas</v>
      </c>
    </row>
    <row r="38" spans="4:13">
      <c r="D38" s="4" t="s">
        <v>274</v>
      </c>
      <c r="E38" s="2">
        <f>SUMIFS('PUNTOS DE INYECCIÓN'!$E$4:$E$131,'PUNTOS DE INYECCIÓN'!$A$4:$A$131,'Consumos importantes'!E$2,'PUNTOS DE INYECCIÓN'!$C$4:$C$131,$D38)</f>
        <v>0</v>
      </c>
      <c r="F38" s="2">
        <f>SUMIFS('PUNTOS DE INYECCIÓN'!$E$4:$E$131,'PUNTOS DE INYECCIÓN'!$A$4:$A$131,'Consumos importantes'!F$2,'PUNTOS DE INYECCIÓN'!$C$4:$C$131,$D38)</f>
        <v>3533.7999999999997</v>
      </c>
      <c r="G38" s="2">
        <f>SUMIFS('PUNTOS DE INYECCIÓN'!$E$4:$E$131,'PUNTOS DE INYECCIÓN'!$A$4:$A$131,'Consumos importantes'!G$2,'PUNTOS DE INYECCIÓN'!$C$4:$C$131,$D38)</f>
        <v>0</v>
      </c>
      <c r="H38" s="2">
        <f>SUMIFS('PUNTOS DE INYECCIÓN'!$E$4:$E$131,'PUNTOS DE INYECCIÓN'!$A$4:$A$131,'Consumos importantes'!H$2,'PUNTOS DE INYECCIÓN'!$C$4:$C$131,$D38)</f>
        <v>0</v>
      </c>
      <c r="I38" s="341">
        <f t="shared" si="0"/>
        <v>0</v>
      </c>
      <c r="J38" s="341">
        <f t="shared" si="1"/>
        <v>3.0606845806819678E-2</v>
      </c>
      <c r="K38" s="341">
        <f t="shared" si="2"/>
        <v>0</v>
      </c>
      <c r="L38" s="341">
        <f t="shared" si="3"/>
        <v>0</v>
      </c>
      <c r="M38" s="344" t="str">
        <f t="shared" si="5"/>
        <v>FLOCULANTE</v>
      </c>
    </row>
    <row r="39" spans="4:13">
      <c r="D39" s="4" t="s">
        <v>277</v>
      </c>
      <c r="E39" s="2">
        <f>SUMIFS('PUNTOS DE INYECCIÓN'!$E$4:$E$131,'PUNTOS DE INYECCIÓN'!$A$4:$A$131,'Consumos importantes'!E$2,'PUNTOS DE INYECCIÓN'!$C$4:$C$131,$D39)</f>
        <v>0</v>
      </c>
      <c r="F39" s="2">
        <f>SUMIFS('PUNTOS DE INYECCIÓN'!$E$4:$E$131,'PUNTOS DE INYECCIÓN'!$A$4:$A$131,'Consumos importantes'!F$2,'PUNTOS DE INYECCIÓN'!$C$4:$C$131,$D39)</f>
        <v>4082.5600000000004</v>
      </c>
      <c r="G39" s="2">
        <f>SUMIFS('PUNTOS DE INYECCIÓN'!$E$4:$E$131,'PUNTOS DE INYECCIÓN'!$A$4:$A$131,'Consumos importantes'!G$2,'PUNTOS DE INYECCIÓN'!$C$4:$C$131,$D39)</f>
        <v>0</v>
      </c>
      <c r="H39" s="2">
        <f>SUMIFS('PUNTOS DE INYECCIÓN'!$E$4:$E$131,'PUNTOS DE INYECCIÓN'!$A$4:$A$131,'Consumos importantes'!H$2,'PUNTOS DE INYECCIÓN'!$C$4:$C$131,$D39)</f>
        <v>0</v>
      </c>
      <c r="I39" s="341">
        <f t="shared" si="0"/>
        <v>0</v>
      </c>
      <c r="J39" s="341">
        <f t="shared" si="1"/>
        <v>3.5359749962388866E-2</v>
      </c>
      <c r="K39" s="341">
        <f t="shared" si="2"/>
        <v>0</v>
      </c>
      <c r="L39" s="341">
        <f t="shared" si="3"/>
        <v>0</v>
      </c>
      <c r="M39" s="344" t="str">
        <f t="shared" si="5"/>
        <v>HUMECTANTE DE SOLIDOS</v>
      </c>
    </row>
    <row r="40" spans="4:13">
      <c r="D40" s="4" t="s">
        <v>280</v>
      </c>
      <c r="E40" s="2">
        <f>SUMIFS('PUNTOS DE INYECCIÓN'!$E$4:$E$131,'PUNTOS DE INYECCIÓN'!$A$4:$A$131,'Consumos importantes'!E$2,'PUNTOS DE INYECCIÓN'!$C$4:$C$131,$D40)</f>
        <v>0</v>
      </c>
      <c r="F40" s="2">
        <f>SUMIFS('PUNTOS DE INYECCIÓN'!$E$4:$E$131,'PUNTOS DE INYECCIÓN'!$A$4:$A$131,'Consumos importantes'!F$2,'PUNTOS DE INYECCIÓN'!$C$4:$C$131,$D40)</f>
        <v>1831</v>
      </c>
      <c r="G40" s="2">
        <f>SUMIFS('PUNTOS DE INYECCIÓN'!$E$4:$E$131,'PUNTOS DE INYECCIÓN'!$A$4:$A$131,'Consumos importantes'!G$2,'PUNTOS DE INYECCIÓN'!$C$4:$C$131,$D40)</f>
        <v>0</v>
      </c>
      <c r="H40" s="2">
        <f>SUMIFS('PUNTOS DE INYECCIÓN'!$E$4:$E$131,'PUNTOS DE INYECCIÓN'!$A$4:$A$131,'Consumos importantes'!H$2,'PUNTOS DE INYECCIÓN'!$C$4:$C$131,$D40)</f>
        <v>0</v>
      </c>
      <c r="I40" s="341">
        <f t="shared" si="0"/>
        <v>0</v>
      </c>
      <c r="J40" s="341">
        <f t="shared" si="1"/>
        <v>1.585860395955822E-2</v>
      </c>
      <c r="K40" s="341">
        <f t="shared" si="2"/>
        <v>0</v>
      </c>
      <c r="L40" s="341">
        <f t="shared" si="3"/>
        <v>0</v>
      </c>
      <c r="M40" s="344" t="str">
        <f t="shared" si="5"/>
        <v>Inh Incrustaciones</v>
      </c>
    </row>
    <row r="41" spans="4:13">
      <c r="D41" s="4" t="s">
        <v>285</v>
      </c>
      <c r="E41" s="2">
        <f>SUMIFS('PUNTOS DE INYECCIÓN'!$E$4:$E$131,'PUNTOS DE INYECCIÓN'!$A$4:$A$131,'Consumos importantes'!E$2,'PUNTOS DE INYECCIÓN'!$C$4:$C$131,$D41)</f>
        <v>0</v>
      </c>
      <c r="F41" s="2">
        <f>SUMIFS('PUNTOS DE INYECCIÓN'!$E$4:$E$131,'PUNTOS DE INYECCIÓN'!$A$4:$A$131,'Consumos importantes'!F$2,'PUNTOS DE INYECCIÓN'!$C$4:$C$131,$D41)</f>
        <v>0</v>
      </c>
      <c r="G41" s="2">
        <f>SUMIFS('PUNTOS DE INYECCIÓN'!$E$4:$E$131,'PUNTOS DE INYECCIÓN'!$A$4:$A$131,'Consumos importantes'!G$2,'PUNTOS DE INYECCIÓN'!$C$4:$C$131,$D41)</f>
        <v>0</v>
      </c>
      <c r="H41" s="2">
        <f>SUMIFS('PUNTOS DE INYECCIÓN'!$E$4:$E$131,'PUNTOS DE INYECCIÓN'!$A$4:$A$131,'Consumos importantes'!H$2,'PUNTOS DE INYECCIÓN'!$C$4:$C$131,$D41)</f>
        <v>0</v>
      </c>
      <c r="I41" s="341">
        <f t="shared" si="0"/>
        <v>0</v>
      </c>
      <c r="J41" s="341">
        <f t="shared" si="1"/>
        <v>0</v>
      </c>
      <c r="K41" s="341">
        <f t="shared" si="2"/>
        <v>0</v>
      </c>
      <c r="L41" s="341">
        <f t="shared" si="3"/>
        <v>0</v>
      </c>
      <c r="M41" s="344" t="str">
        <f t="shared" si="5"/>
        <v>INHIBIDOR DE PARAFINAS</v>
      </c>
    </row>
    <row r="42" spans="4:13">
      <c r="D42" s="4" t="s">
        <v>286</v>
      </c>
      <c r="E42" s="2">
        <f>SUMIFS('PUNTOS DE INYECCIÓN'!$E$4:$E$131,'PUNTOS DE INYECCIÓN'!$A$4:$A$131,'Consumos importantes'!E$2,'PUNTOS DE INYECCIÓN'!$C$4:$C$131,$D42)</f>
        <v>0</v>
      </c>
      <c r="F42" s="2">
        <f>SUMIFS('PUNTOS DE INYECCIÓN'!$E$4:$E$131,'PUNTOS DE INYECCIÓN'!$A$4:$A$131,'Consumos importantes'!F$2,'PUNTOS DE INYECCIÓN'!$C$4:$C$131,$D42)</f>
        <v>1824.08</v>
      </c>
      <c r="G42" s="2">
        <f>SUMIFS('PUNTOS DE INYECCIÓN'!$E$4:$E$131,'PUNTOS DE INYECCIÓN'!$A$4:$A$131,'Consumos importantes'!G$2,'PUNTOS DE INYECCIÓN'!$C$4:$C$131,$D42)</f>
        <v>0</v>
      </c>
      <c r="H42" s="2">
        <f>SUMIFS('PUNTOS DE INYECCIÓN'!$E$4:$E$131,'PUNTOS DE INYECCIÓN'!$A$4:$A$131,'Consumos importantes'!H$2,'PUNTOS DE INYECCIÓN'!$C$4:$C$131,$D42)</f>
        <v>0</v>
      </c>
      <c r="I42" s="341">
        <f t="shared" si="0"/>
        <v>0</v>
      </c>
      <c r="J42" s="341">
        <f t="shared" si="1"/>
        <v>1.5798668656772777E-2</v>
      </c>
      <c r="K42" s="341">
        <f t="shared" si="2"/>
        <v>0</v>
      </c>
      <c r="L42" s="341">
        <f t="shared" si="3"/>
        <v>0</v>
      </c>
      <c r="M42" s="344" t="str">
        <f t="shared" si="5"/>
        <v>INHIBIDOR DE PARAFINAS Y ASFALTENOS</v>
      </c>
    </row>
    <row r="43" spans="4:13">
      <c r="D43" s="4" t="s">
        <v>288</v>
      </c>
      <c r="E43" s="2">
        <f>SUMIFS('PUNTOS DE INYECCIÓN'!$E$4:$E$131,'PUNTOS DE INYECCIÓN'!$A$4:$A$131,'Consumos importantes'!E$2,'PUNTOS DE INYECCIÓN'!$C$4:$C$131,$D43)</f>
        <v>0</v>
      </c>
      <c r="F43" s="2">
        <f>SUMIFS('PUNTOS DE INYECCIÓN'!$E$4:$E$131,'PUNTOS DE INYECCIÓN'!$A$4:$A$131,'Consumos importantes'!F$2,'PUNTOS DE INYECCIÓN'!$C$4:$C$131,$D43)</f>
        <v>0</v>
      </c>
      <c r="G43" s="2">
        <f>SUMIFS('PUNTOS DE INYECCIÓN'!$E$4:$E$131,'PUNTOS DE INYECCIÓN'!$A$4:$A$131,'Consumos importantes'!G$2,'PUNTOS DE INYECCIÓN'!$C$4:$C$131,$D43)</f>
        <v>0</v>
      </c>
      <c r="H43" s="2">
        <f>SUMIFS('PUNTOS DE INYECCIÓN'!$E$4:$E$131,'PUNTOS DE INYECCIÓN'!$A$4:$A$131,'Consumos importantes'!H$2,'PUNTOS DE INYECCIÓN'!$C$4:$C$131,$D43)</f>
        <v>0</v>
      </c>
      <c r="I43" s="341">
        <f t="shared" si="0"/>
        <v>0</v>
      </c>
      <c r="J43" s="341">
        <f t="shared" si="1"/>
        <v>0</v>
      </c>
      <c r="K43" s="341">
        <f t="shared" si="2"/>
        <v>0</v>
      </c>
      <c r="L43" s="341">
        <f t="shared" si="3"/>
        <v>0</v>
      </c>
      <c r="M43" s="344" t="str">
        <f t="shared" si="5"/>
        <v>Odorizante</v>
      </c>
    </row>
    <row r="44" spans="4:13">
      <c r="D44" s="4" t="s">
        <v>289</v>
      </c>
      <c r="E44" s="2">
        <f>SUMIFS('PUNTOS DE INYECCIÓN'!$E$4:$E$131,'PUNTOS DE INYECCIÓN'!$A$4:$A$131,'Consumos importantes'!E$2,'PUNTOS DE INYECCIÓN'!$C$4:$C$131,$D44)</f>
        <v>0</v>
      </c>
      <c r="F44" s="2">
        <f>SUMIFS('PUNTOS DE INYECCIÓN'!$E$4:$E$131,'PUNTOS DE INYECCIÓN'!$A$4:$A$131,'Consumos importantes'!F$2,'PUNTOS DE INYECCIÓN'!$C$4:$C$131,$D44)</f>
        <v>3379.06</v>
      </c>
      <c r="G44" s="2">
        <f>SUMIFS('PUNTOS DE INYECCIÓN'!$E$4:$E$131,'PUNTOS DE INYECCIÓN'!$A$4:$A$131,'Consumos importantes'!G$2,'PUNTOS DE INYECCIÓN'!$C$4:$C$131,$D44)</f>
        <v>0</v>
      </c>
      <c r="H44" s="2">
        <f>SUMIFS('PUNTOS DE INYECCIÓN'!$E$4:$E$131,'PUNTOS DE INYECCIÓN'!$A$4:$A$131,'Consumos importantes'!H$2,'PUNTOS DE INYECCIÓN'!$C$4:$C$131,$D44)</f>
        <v>0</v>
      </c>
      <c r="I44" s="341">
        <f t="shared" si="0"/>
        <v>0</v>
      </c>
      <c r="J44" s="341">
        <f t="shared" si="1"/>
        <v>2.9266616218233094E-2</v>
      </c>
      <c r="K44" s="341">
        <f t="shared" si="2"/>
        <v>0</v>
      </c>
      <c r="L44" s="341">
        <f t="shared" si="3"/>
        <v>0</v>
      </c>
      <c r="M44" s="344" t="str">
        <f t="shared" si="5"/>
        <v>REDUCTOR DE FRICCIÓN</v>
      </c>
    </row>
    <row r="45" spans="4:13">
      <c r="D45" s="4" t="s">
        <v>291</v>
      </c>
      <c r="E45" s="2">
        <f>SUMIFS('PUNTOS DE INYECCIÓN'!$E$4:$E$131,'PUNTOS DE INYECCIÓN'!$A$4:$A$131,'Consumos importantes'!E$2,'PUNTOS DE INYECCIÓN'!$C$4:$C$131,$D45)</f>
        <v>0</v>
      </c>
      <c r="F45" s="2">
        <f>SUMIFS('PUNTOS DE INYECCIÓN'!$E$4:$E$131,'PUNTOS DE INYECCIÓN'!$A$4:$A$131,'Consumos importantes'!F$2,'PUNTOS DE INYECCIÓN'!$C$4:$C$131,$D45)</f>
        <v>514</v>
      </c>
      <c r="G45" s="2">
        <f>SUMIFS('PUNTOS DE INYECCIÓN'!$E$4:$E$131,'PUNTOS DE INYECCIÓN'!$A$4:$A$131,'Consumos importantes'!G$2,'PUNTOS DE INYECCIÓN'!$C$4:$C$131,$D45)</f>
        <v>0</v>
      </c>
      <c r="H45" s="2">
        <f>SUMIFS('PUNTOS DE INYECCIÓN'!$E$4:$E$131,'PUNTOS DE INYECCIÓN'!$A$4:$A$131,'Consumos importantes'!H$2,'PUNTOS DE INYECCIÓN'!$C$4:$C$131,$D45)</f>
        <v>0</v>
      </c>
      <c r="I45" s="341">
        <f t="shared" si="0"/>
        <v>0</v>
      </c>
      <c r="J45" s="341">
        <f t="shared" si="1"/>
        <v>4.4518418542943338E-3</v>
      </c>
      <c r="K45" s="341">
        <f t="shared" si="2"/>
        <v>0</v>
      </c>
      <c r="L45" s="341">
        <f t="shared" si="3"/>
        <v>0</v>
      </c>
      <c r="M45" s="344" t="str">
        <f t="shared" si="5"/>
        <v>REDUCTOR DE VISCOSIDAD</v>
      </c>
    </row>
    <row r="46" spans="4:13">
      <c r="D46" s="4" t="s">
        <v>293</v>
      </c>
      <c r="E46" s="2">
        <f>SUMIFS('PUNTOS DE INYECCIÓN'!$E$4:$E$131,'PUNTOS DE INYECCIÓN'!$A$4:$A$131,'Consumos importantes'!E$2,'PUNTOS DE INYECCIÓN'!$C$4:$C$131,$D46)</f>
        <v>0</v>
      </c>
      <c r="F46" s="2">
        <f>SUMIFS('PUNTOS DE INYECCIÓN'!$E$4:$E$131,'PUNTOS DE INYECCIÓN'!$A$4:$A$131,'Consumos importantes'!F$2,'PUNTOS DE INYECCIÓN'!$C$4:$C$131,$D46)</f>
        <v>0</v>
      </c>
      <c r="G46" s="2">
        <f>SUMIFS('PUNTOS DE INYECCIÓN'!$E$4:$E$131,'PUNTOS DE INYECCIÓN'!$A$4:$A$131,'Consumos importantes'!G$2,'PUNTOS DE INYECCIÓN'!$C$4:$C$131,$D46)</f>
        <v>0</v>
      </c>
      <c r="H46" s="2">
        <f>SUMIFS('PUNTOS DE INYECCIÓN'!$E$4:$E$131,'PUNTOS DE INYECCIÓN'!$A$4:$A$131,'Consumos importantes'!H$2,'PUNTOS DE INYECCIÓN'!$C$4:$C$131,$D46)</f>
        <v>0</v>
      </c>
      <c r="I46" s="341">
        <f t="shared" si="0"/>
        <v>0</v>
      </c>
      <c r="J46" s="341">
        <f t="shared" si="1"/>
        <v>0</v>
      </c>
      <c r="K46" s="341">
        <f t="shared" si="2"/>
        <v>0</v>
      </c>
      <c r="L46" s="341">
        <f t="shared" si="3"/>
        <v>0</v>
      </c>
      <c r="M46" s="344" t="str">
        <f t="shared" si="5"/>
        <v>Removedor Incrustaciones</v>
      </c>
    </row>
    <row r="47" spans="4:13">
      <c r="D47" s="4" t="s">
        <v>295</v>
      </c>
      <c r="E47" s="2">
        <f>SUMIFS('PUNTOS DE INYECCIÓN'!$E$4:$E$131,'PUNTOS DE INYECCIÓN'!$A$4:$A$131,'Consumos importantes'!E$2,'PUNTOS DE INYECCIÓN'!$C$4:$C$131,$D47)</f>
        <v>0</v>
      </c>
      <c r="F47" s="2">
        <f>SUMIFS('PUNTOS DE INYECCIÓN'!$E$4:$E$131,'PUNTOS DE INYECCIÓN'!$A$4:$A$131,'Consumos importantes'!F$2,'PUNTOS DE INYECCIÓN'!$C$4:$C$131,$D47)</f>
        <v>3030.7999999999997</v>
      </c>
      <c r="G47" s="2">
        <f>SUMIFS('PUNTOS DE INYECCIÓN'!$E$4:$E$131,'PUNTOS DE INYECCIÓN'!$A$4:$A$131,'Consumos importantes'!G$2,'PUNTOS DE INYECCIÓN'!$C$4:$C$131,$D47)</f>
        <v>0</v>
      </c>
      <c r="H47" s="2">
        <f>SUMIFS('PUNTOS DE INYECCIÓN'!$E$4:$E$131,'PUNTOS DE INYECCIÓN'!$A$4:$A$131,'Consumos importantes'!H$2,'PUNTOS DE INYECCIÓN'!$C$4:$C$131,$D47)</f>
        <v>0</v>
      </c>
      <c r="I47" s="341">
        <f t="shared" si="0"/>
        <v>0</v>
      </c>
      <c r="J47" s="341">
        <f t="shared" si="1"/>
        <v>2.6250276832675612E-2</v>
      </c>
      <c r="K47" s="341">
        <f t="shared" si="2"/>
        <v>0</v>
      </c>
      <c r="L47" s="341">
        <f t="shared" si="3"/>
        <v>0</v>
      </c>
      <c r="M47" s="344" t="str">
        <f t="shared" si="5"/>
        <v>Ruptor total</v>
      </c>
    </row>
    <row r="48" spans="4:13">
      <c r="D48" s="4" t="s">
        <v>297</v>
      </c>
      <c r="E48" s="2">
        <f>SUMIFS('PUNTOS DE INYECCIÓN'!$E$4:$E$131,'PUNTOS DE INYECCIÓN'!$A$4:$A$131,'Consumos importantes'!E$2,'PUNTOS DE INYECCIÓN'!$C$4:$C$131,$D48)</f>
        <v>0</v>
      </c>
      <c r="F48" s="2">
        <f>SUMIFS('PUNTOS DE INYECCIÓN'!$E$4:$E$131,'PUNTOS DE INYECCIÓN'!$A$4:$A$131,'Consumos importantes'!F$2,'PUNTOS DE INYECCIÓN'!$C$4:$C$131,$D48)</f>
        <v>589</v>
      </c>
      <c r="G48" s="2">
        <f>SUMIFS('PUNTOS DE INYECCIÓN'!$E$4:$E$131,'PUNTOS DE INYECCIÓN'!$A$4:$A$131,'Consumos importantes'!G$2,'PUNTOS DE INYECCIÓN'!$C$4:$C$131,$D48)</f>
        <v>0</v>
      </c>
      <c r="H48" s="2">
        <f>SUMIFS('PUNTOS DE INYECCIÓN'!$E$4:$E$131,'PUNTOS DE INYECCIÓN'!$A$4:$A$131,'Consumos importantes'!H$2,'PUNTOS DE INYECCIÓN'!$C$4:$C$131,$D48)</f>
        <v>0</v>
      </c>
      <c r="I48" s="341">
        <f t="shared" si="0"/>
        <v>0</v>
      </c>
      <c r="J48" s="341">
        <f t="shared" si="1"/>
        <v>5.1014296735007051E-3</v>
      </c>
      <c r="K48" s="341">
        <f t="shared" si="2"/>
        <v>0</v>
      </c>
      <c r="L48" s="341">
        <f t="shared" si="3"/>
        <v>0</v>
      </c>
      <c r="M48" s="344" t="str">
        <f t="shared" si="5"/>
        <v>Sec Sulfhídrico</v>
      </c>
    </row>
    <row r="49" spans="4:13">
      <c r="D49" s="4" t="s">
        <v>299</v>
      </c>
      <c r="E49" s="2">
        <f>SUMIFS('PUNTOS DE INYECCIÓN'!$E$4:$E$131,'PUNTOS DE INYECCIÓN'!$A$4:$A$131,'Consumos importantes'!E$2,'PUNTOS DE INYECCIÓN'!$C$4:$C$131,$D49)</f>
        <v>0</v>
      </c>
      <c r="F49" s="2">
        <f>SUMIFS('PUNTOS DE INYECCIÓN'!$E$4:$E$131,'PUNTOS DE INYECCIÓN'!$A$4:$A$131,'Consumos importantes'!F$2,'PUNTOS DE INYECCIÓN'!$C$4:$C$131,$D49)</f>
        <v>89</v>
      </c>
      <c r="G49" s="2">
        <f>SUMIFS('PUNTOS DE INYECCIÓN'!$E$4:$E$131,'PUNTOS DE INYECCIÓN'!$A$4:$A$131,'Consumos importantes'!G$2,'PUNTOS DE INYECCIÓN'!$C$4:$C$131,$D49)</f>
        <v>0</v>
      </c>
      <c r="H49" s="2">
        <f>SUMIFS('PUNTOS DE INYECCIÓN'!$E$4:$E$131,'PUNTOS DE INYECCIÓN'!$A$4:$A$131,'Consumos importantes'!H$2,'PUNTOS DE INYECCIÓN'!$C$4:$C$131,$D49)</f>
        <v>0</v>
      </c>
      <c r="I49" s="341">
        <f t="shared" si="0"/>
        <v>0</v>
      </c>
      <c r="J49" s="341">
        <f t="shared" si="1"/>
        <v>7.7084421212489428E-4</v>
      </c>
      <c r="K49" s="341">
        <f t="shared" si="2"/>
        <v>0</v>
      </c>
      <c r="L49" s="341">
        <f t="shared" si="3"/>
        <v>0</v>
      </c>
      <c r="M49" s="344" t="str">
        <f t="shared" si="5"/>
        <v>Sec. Oxígeno</v>
      </c>
    </row>
    <row r="50" spans="4:13">
      <c r="D50" s="4" t="s">
        <v>300</v>
      </c>
      <c r="E50" s="2">
        <f>SUMIFS('PUNTOS DE INYECCIÓN'!$E$4:$E$131,'PUNTOS DE INYECCIÓN'!$A$4:$A$131,'Consumos importantes'!E$2,'PUNTOS DE INYECCIÓN'!$C$4:$C$131,$D50)</f>
        <v>0</v>
      </c>
      <c r="F50" s="2">
        <f>SUMIFS('PUNTOS DE INYECCIÓN'!$E$4:$E$131,'PUNTOS DE INYECCIÓN'!$A$4:$A$131,'Consumos importantes'!F$2,'PUNTOS DE INYECCIÓN'!$C$4:$C$131,$D50)</f>
        <v>169.1</v>
      </c>
      <c r="G50" s="2">
        <f>SUMIFS('PUNTOS DE INYECCIÓN'!$E$4:$E$131,'PUNTOS DE INYECCIÓN'!$A$4:$A$131,'Consumos importantes'!G$2,'PUNTOS DE INYECCIÓN'!$C$4:$C$131,$D50)</f>
        <v>0</v>
      </c>
      <c r="H50" s="2">
        <f>SUMIFS('PUNTOS DE INYECCIÓN'!$E$4:$E$131,'PUNTOS DE INYECCIÓN'!$A$4:$A$131,'Consumos importantes'!H$2,'PUNTOS DE INYECCIÓN'!$C$4:$C$131,$D50)</f>
        <v>0</v>
      </c>
      <c r="I50" s="341">
        <f t="shared" si="0"/>
        <v>0</v>
      </c>
      <c r="J50" s="341">
        <f t="shared" si="1"/>
        <v>1.4646040030372991E-3</v>
      </c>
      <c r="K50" s="341">
        <f t="shared" si="2"/>
        <v>0</v>
      </c>
      <c r="L50" s="341">
        <f t="shared" si="3"/>
        <v>0</v>
      </c>
      <c r="M50" s="344" t="str">
        <f t="shared" si="5"/>
        <v>SECUESTRANTE DE OXIGENO</v>
      </c>
    </row>
    <row r="51" spans="4:13">
      <c r="E51">
        <f>+SUM(E3:E50)</f>
        <v>111282</v>
      </c>
      <c r="F51">
        <f>+SUM(F3:F50)</f>
        <v>115457.83000000002</v>
      </c>
      <c r="G51">
        <f>+SUM(G3:G50)</f>
        <v>61180</v>
      </c>
      <c r="H51">
        <f>+SUM(H3:H50)</f>
        <v>68935</v>
      </c>
    </row>
  </sheetData>
  <mergeCells count="4">
    <mergeCell ref="O2:P2"/>
    <mergeCell ref="R2:S2"/>
    <mergeCell ref="O12:P12"/>
    <mergeCell ref="R12:S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66D-F3B3-46AF-9A37-1C5B71003092}">
  <dimension ref="A1:S122"/>
  <sheetViews>
    <sheetView workbookViewId="0">
      <selection activeCell="P112" sqref="P112"/>
    </sheetView>
  </sheetViews>
  <sheetFormatPr baseColWidth="10" defaultColWidth="9.140625" defaultRowHeight="15"/>
  <cols>
    <col min="1" max="1" width="38.28515625" customWidth="1"/>
    <col min="7" max="7" width="4" customWidth="1"/>
    <col min="8" max="8" width="16.7109375" customWidth="1"/>
  </cols>
  <sheetData>
    <row r="1" spans="1:19" ht="64.5">
      <c r="A1" s="254" t="s">
        <v>150</v>
      </c>
      <c r="B1" s="254" t="s">
        <v>151</v>
      </c>
      <c r="C1" s="254" t="s">
        <v>152</v>
      </c>
      <c r="D1" s="254" t="s">
        <v>153</v>
      </c>
      <c r="E1" s="254" t="s">
        <v>154</v>
      </c>
      <c r="F1" s="255" t="s">
        <v>155</v>
      </c>
      <c r="G1" s="256" t="s">
        <v>307</v>
      </c>
      <c r="H1" s="257" t="s">
        <v>156</v>
      </c>
      <c r="I1" s="258" t="s">
        <v>157</v>
      </c>
      <c r="J1" s="258" t="s">
        <v>158</v>
      </c>
      <c r="K1" s="258" t="s">
        <v>159</v>
      </c>
      <c r="L1" s="259" t="s">
        <v>160</v>
      </c>
      <c r="M1" s="260" t="s">
        <v>307</v>
      </c>
      <c r="N1" s="261" t="s">
        <v>161</v>
      </c>
      <c r="O1" s="262" t="s">
        <v>162</v>
      </c>
      <c r="P1" s="261" t="s">
        <v>163</v>
      </c>
      <c r="Q1" s="263" t="s">
        <v>160</v>
      </c>
      <c r="R1" s="264" t="s">
        <v>164</v>
      </c>
      <c r="S1" s="265"/>
    </row>
    <row r="2" spans="1:19">
      <c r="A2" s="266" t="s">
        <v>97</v>
      </c>
      <c r="B2" s="266">
        <v>94609.25</v>
      </c>
      <c r="C2" s="267">
        <v>111305</v>
      </c>
      <c r="D2" s="267">
        <v>540</v>
      </c>
      <c r="E2" s="267">
        <v>178</v>
      </c>
      <c r="F2" s="267" t="s">
        <v>307</v>
      </c>
      <c r="G2" s="268" t="s">
        <v>307</v>
      </c>
      <c r="H2" s="327" t="s">
        <v>97</v>
      </c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265"/>
    </row>
    <row r="3" spans="1:19" hidden="1">
      <c r="A3" s="269" t="s">
        <v>166</v>
      </c>
      <c r="B3" s="269">
        <v>9350</v>
      </c>
      <c r="C3" s="269">
        <v>11000</v>
      </c>
      <c r="D3" s="269">
        <v>98</v>
      </c>
      <c r="E3" s="269">
        <v>54</v>
      </c>
      <c r="F3" s="269"/>
      <c r="G3" s="268" t="s">
        <v>307</v>
      </c>
      <c r="H3" s="270" t="s">
        <v>167</v>
      </c>
      <c r="I3" s="271" t="s">
        <v>168</v>
      </c>
      <c r="J3" s="271" t="s">
        <v>307</v>
      </c>
      <c r="K3" s="271">
        <v>8.08</v>
      </c>
      <c r="L3" s="271" t="s">
        <v>308</v>
      </c>
      <c r="M3" s="268" t="s">
        <v>307</v>
      </c>
      <c r="N3" s="272" t="s">
        <v>169</v>
      </c>
      <c r="O3" s="273">
        <v>4.72</v>
      </c>
      <c r="P3" s="272">
        <v>3.54</v>
      </c>
      <c r="Q3" s="274" t="s">
        <v>309</v>
      </c>
      <c r="R3" s="276">
        <v>-0.1</v>
      </c>
      <c r="S3" s="265"/>
    </row>
    <row r="4" spans="1:19" hidden="1">
      <c r="A4" s="277" t="s">
        <v>166</v>
      </c>
      <c r="B4" s="277">
        <v>5100</v>
      </c>
      <c r="C4" s="277">
        <v>6000</v>
      </c>
      <c r="D4" s="277" t="s">
        <v>307</v>
      </c>
      <c r="E4" s="277" t="s">
        <v>307</v>
      </c>
      <c r="F4" s="277" t="s">
        <v>307</v>
      </c>
      <c r="G4" s="268" t="s">
        <v>307</v>
      </c>
      <c r="H4" s="278" t="s">
        <v>171</v>
      </c>
      <c r="I4" s="279" t="s">
        <v>172</v>
      </c>
      <c r="J4" s="279" t="s">
        <v>307</v>
      </c>
      <c r="K4" s="279">
        <v>9.4700000000000006</v>
      </c>
      <c r="L4" s="280" t="s">
        <v>310</v>
      </c>
      <c r="M4" s="268" t="s">
        <v>307</v>
      </c>
      <c r="N4" s="278" t="s">
        <v>307</v>
      </c>
      <c r="O4" s="279" t="s">
        <v>307</v>
      </c>
      <c r="P4" s="279" t="s">
        <v>307</v>
      </c>
      <c r="Q4" s="279" t="s">
        <v>311</v>
      </c>
      <c r="R4" s="279" t="s">
        <v>307</v>
      </c>
      <c r="S4" s="265"/>
    </row>
    <row r="5" spans="1:19" hidden="1">
      <c r="A5" s="269" t="s">
        <v>173</v>
      </c>
      <c r="B5" s="269">
        <v>1309</v>
      </c>
      <c r="C5" s="269">
        <v>1540</v>
      </c>
      <c r="D5" s="269"/>
      <c r="E5" s="269">
        <v>6</v>
      </c>
      <c r="F5" s="269"/>
      <c r="G5" s="268" t="s">
        <v>307</v>
      </c>
      <c r="H5" s="281" t="s">
        <v>44</v>
      </c>
      <c r="I5" s="282" t="s">
        <v>168</v>
      </c>
      <c r="J5" s="282" t="s">
        <v>307</v>
      </c>
      <c r="K5" s="282">
        <v>10.11</v>
      </c>
      <c r="L5" s="280" t="s">
        <v>312</v>
      </c>
      <c r="M5" s="268" t="s">
        <v>307</v>
      </c>
      <c r="N5" s="281" t="s">
        <v>174</v>
      </c>
      <c r="O5" s="283">
        <v>4.57</v>
      </c>
      <c r="P5" s="284">
        <v>2.98</v>
      </c>
      <c r="Q5" s="285" t="s">
        <v>313</v>
      </c>
      <c r="R5" s="286">
        <v>-0.55000000000000004</v>
      </c>
      <c r="S5" s="265"/>
    </row>
    <row r="6" spans="1:19">
      <c r="A6" s="277" t="s">
        <v>175</v>
      </c>
      <c r="B6" s="277">
        <v>93.5</v>
      </c>
      <c r="C6" s="277">
        <v>110</v>
      </c>
      <c r="D6" s="277" t="s">
        <v>307</v>
      </c>
      <c r="E6" s="277">
        <v>2</v>
      </c>
      <c r="F6" s="277" t="s">
        <v>307</v>
      </c>
      <c r="G6" s="268" t="s">
        <v>307</v>
      </c>
      <c r="H6" s="278" t="s">
        <v>176</v>
      </c>
      <c r="I6" s="279" t="s">
        <v>172</v>
      </c>
      <c r="J6" s="279" t="s">
        <v>307</v>
      </c>
      <c r="K6" s="287">
        <v>4.5</v>
      </c>
      <c r="L6" s="280" t="s">
        <v>314</v>
      </c>
      <c r="M6" s="268" t="s">
        <v>307</v>
      </c>
      <c r="N6" s="278" t="s">
        <v>177</v>
      </c>
      <c r="O6" s="279">
        <v>3.25</v>
      </c>
      <c r="P6" s="279">
        <v>2.3434332649999998</v>
      </c>
      <c r="Q6" s="285" t="s">
        <v>315</v>
      </c>
      <c r="R6" s="286">
        <v>-0.28000000000000003</v>
      </c>
      <c r="S6" s="265"/>
    </row>
    <row r="7" spans="1:19" hidden="1">
      <c r="A7" s="269" t="s">
        <v>178</v>
      </c>
      <c r="B7" s="269">
        <v>2618</v>
      </c>
      <c r="C7" s="269">
        <v>3080</v>
      </c>
      <c r="D7" s="269"/>
      <c r="E7" s="269">
        <v>4</v>
      </c>
      <c r="F7" s="269"/>
      <c r="G7" s="268" t="s">
        <v>307</v>
      </c>
      <c r="H7" s="281" t="s">
        <v>52</v>
      </c>
      <c r="I7" s="282" t="s">
        <v>168</v>
      </c>
      <c r="J7" s="282" t="s">
        <v>307</v>
      </c>
      <c r="K7" s="282">
        <v>5.12</v>
      </c>
      <c r="L7" s="280" t="s">
        <v>316</v>
      </c>
      <c r="M7" s="268" t="s">
        <v>307</v>
      </c>
      <c r="N7" s="281" t="s">
        <v>179</v>
      </c>
      <c r="O7" s="283">
        <v>2.74</v>
      </c>
      <c r="P7" s="284">
        <v>1.5</v>
      </c>
      <c r="Q7" s="285" t="s">
        <v>317</v>
      </c>
      <c r="R7" s="286">
        <v>-0.46</v>
      </c>
      <c r="S7" s="265"/>
    </row>
    <row r="8" spans="1:19">
      <c r="A8" s="277" t="s">
        <v>180</v>
      </c>
      <c r="B8" s="277">
        <v>14489.1</v>
      </c>
      <c r="C8" s="277">
        <v>17046</v>
      </c>
      <c r="D8" s="277">
        <v>59</v>
      </c>
      <c r="E8" s="277">
        <v>22</v>
      </c>
      <c r="F8" s="277" t="s">
        <v>307</v>
      </c>
      <c r="G8" s="268" t="s">
        <v>307</v>
      </c>
      <c r="H8" s="278" t="s">
        <v>181</v>
      </c>
      <c r="I8" s="279" t="s">
        <v>172</v>
      </c>
      <c r="J8" s="279" t="s">
        <v>307</v>
      </c>
      <c r="K8" s="287">
        <v>4.5</v>
      </c>
      <c r="L8" s="280" t="s">
        <v>318</v>
      </c>
      <c r="M8" s="268" t="s">
        <v>307</v>
      </c>
      <c r="N8" s="278" t="s">
        <v>182</v>
      </c>
      <c r="O8" s="279">
        <v>6.82</v>
      </c>
      <c r="P8" s="279">
        <v>4.03</v>
      </c>
      <c r="Q8" s="285" t="s">
        <v>319</v>
      </c>
      <c r="R8" s="288">
        <v>0.52</v>
      </c>
      <c r="S8" s="265"/>
    </row>
    <row r="9" spans="1:19" hidden="1">
      <c r="A9" s="269" t="s">
        <v>185</v>
      </c>
      <c r="B9" s="269">
        <v>0</v>
      </c>
      <c r="C9" s="269">
        <v>0</v>
      </c>
      <c r="D9" s="269"/>
      <c r="E9" s="269"/>
      <c r="F9" s="269"/>
      <c r="G9" s="268" t="s">
        <v>307</v>
      </c>
      <c r="H9" s="281" t="s">
        <v>186</v>
      </c>
      <c r="I9" s="282" t="s">
        <v>168</v>
      </c>
      <c r="J9" s="282" t="s">
        <v>307</v>
      </c>
      <c r="K9" s="282">
        <v>4.71</v>
      </c>
      <c r="L9" s="280" t="s">
        <v>320</v>
      </c>
      <c r="M9" s="268" t="s">
        <v>307</v>
      </c>
      <c r="N9" s="281" t="s">
        <v>307</v>
      </c>
      <c r="O9" s="283" t="s">
        <v>307</v>
      </c>
      <c r="P9" s="284" t="s">
        <v>307</v>
      </c>
      <c r="Q9" s="285" t="s">
        <v>320</v>
      </c>
      <c r="R9" s="279" t="s">
        <v>307</v>
      </c>
      <c r="S9" s="265"/>
    </row>
    <row r="10" spans="1:19" hidden="1">
      <c r="A10" s="277" t="s">
        <v>187</v>
      </c>
      <c r="B10" s="277">
        <v>0</v>
      </c>
      <c r="C10" s="277">
        <v>0</v>
      </c>
      <c r="D10" s="277" t="s">
        <v>307</v>
      </c>
      <c r="E10" s="277">
        <v>2</v>
      </c>
      <c r="F10" s="277" t="s">
        <v>307</v>
      </c>
      <c r="G10" s="268" t="s">
        <v>307</v>
      </c>
      <c r="H10" s="278" t="s">
        <v>307</v>
      </c>
      <c r="I10" s="279" t="s">
        <v>307</v>
      </c>
      <c r="J10" s="279" t="s">
        <v>307</v>
      </c>
      <c r="K10" s="279" t="s">
        <v>307</v>
      </c>
      <c r="L10" s="280" t="s">
        <v>320</v>
      </c>
      <c r="M10" s="268" t="s">
        <v>307</v>
      </c>
      <c r="N10" s="278" t="s">
        <v>188</v>
      </c>
      <c r="O10" s="279">
        <v>1.51</v>
      </c>
      <c r="P10" s="279">
        <v>0.96794871800000004</v>
      </c>
      <c r="Q10" s="285" t="s">
        <v>320</v>
      </c>
      <c r="R10" s="279" t="s">
        <v>307</v>
      </c>
      <c r="S10" s="265"/>
    </row>
    <row r="11" spans="1:19">
      <c r="A11" s="269" t="s">
        <v>190</v>
      </c>
      <c r="B11" s="269">
        <v>603.5</v>
      </c>
      <c r="C11" s="269">
        <v>710</v>
      </c>
      <c r="D11" s="269">
        <v>1</v>
      </c>
      <c r="E11" s="269">
        <v>2</v>
      </c>
      <c r="F11" s="269" t="s">
        <v>191</v>
      </c>
      <c r="G11" s="268" t="s">
        <v>307</v>
      </c>
      <c r="H11" s="281" t="s">
        <v>192</v>
      </c>
      <c r="I11" s="282" t="s">
        <v>168</v>
      </c>
      <c r="J11" s="282" t="s">
        <v>307</v>
      </c>
      <c r="K11" s="287">
        <v>3</v>
      </c>
      <c r="L11" s="280" t="s">
        <v>321</v>
      </c>
      <c r="M11" s="268" t="s">
        <v>307</v>
      </c>
      <c r="N11" s="281" t="s">
        <v>191</v>
      </c>
      <c r="O11" s="283">
        <v>4.3899999999999997</v>
      </c>
      <c r="P11" s="284">
        <v>3.78</v>
      </c>
      <c r="Q11" s="285" t="s">
        <v>322</v>
      </c>
      <c r="R11" s="288">
        <v>0.46</v>
      </c>
      <c r="S11" s="265"/>
    </row>
    <row r="12" spans="1:19">
      <c r="A12" s="277" t="s">
        <v>193</v>
      </c>
      <c r="B12" s="277">
        <v>382.5</v>
      </c>
      <c r="C12" s="277">
        <v>450</v>
      </c>
      <c r="D12" s="277" t="s">
        <v>307</v>
      </c>
      <c r="E12" s="277">
        <v>4</v>
      </c>
      <c r="F12" s="277" t="s">
        <v>307</v>
      </c>
      <c r="G12" s="268" t="s">
        <v>307</v>
      </c>
      <c r="H12" s="278" t="s">
        <v>192</v>
      </c>
      <c r="I12" s="279" t="s">
        <v>168</v>
      </c>
      <c r="J12" s="279" t="s">
        <v>307</v>
      </c>
      <c r="K12" s="287">
        <v>3</v>
      </c>
      <c r="L12" s="280" t="s">
        <v>323</v>
      </c>
      <c r="M12" s="268" t="s">
        <v>307</v>
      </c>
      <c r="N12" s="278" t="s">
        <v>194</v>
      </c>
      <c r="O12" s="279">
        <v>5.07</v>
      </c>
      <c r="P12" s="279">
        <v>2.670088153</v>
      </c>
      <c r="Q12" s="285" t="s">
        <v>324</v>
      </c>
      <c r="R12" s="288">
        <v>0.69</v>
      </c>
      <c r="S12" s="265"/>
    </row>
    <row r="13" spans="1:19">
      <c r="A13" s="269" t="s">
        <v>195</v>
      </c>
      <c r="B13" s="269">
        <v>3792.7</v>
      </c>
      <c r="C13" s="269">
        <v>4462</v>
      </c>
      <c r="D13" s="269">
        <v>40</v>
      </c>
      <c r="E13" s="269">
        <v>14</v>
      </c>
      <c r="F13" s="269"/>
      <c r="G13" s="268" t="s">
        <v>307</v>
      </c>
      <c r="H13" s="281" t="s">
        <v>196</v>
      </c>
      <c r="I13" s="282" t="s">
        <v>172</v>
      </c>
      <c r="J13" s="282" t="s">
        <v>307</v>
      </c>
      <c r="K13" s="287">
        <v>4.5</v>
      </c>
      <c r="L13" s="280" t="s">
        <v>325</v>
      </c>
      <c r="M13" s="268" t="s">
        <v>307</v>
      </c>
      <c r="N13" s="281" t="s">
        <v>197</v>
      </c>
      <c r="O13" s="283">
        <v>7.32</v>
      </c>
      <c r="P13" s="289" t="s">
        <v>307</v>
      </c>
      <c r="Q13" s="285" t="s">
        <v>326</v>
      </c>
      <c r="R13" s="288">
        <v>0.63</v>
      </c>
      <c r="S13" s="265"/>
    </row>
    <row r="14" spans="1:19" hidden="1">
      <c r="A14" s="277" t="s">
        <v>198</v>
      </c>
      <c r="B14" s="277">
        <v>0</v>
      </c>
      <c r="C14" s="277">
        <v>0</v>
      </c>
      <c r="D14" s="277" t="s">
        <v>307</v>
      </c>
      <c r="E14" s="277" t="s">
        <v>307</v>
      </c>
      <c r="F14" s="277" t="s">
        <v>307</v>
      </c>
      <c r="G14" s="268" t="s">
        <v>307</v>
      </c>
      <c r="H14" s="278" t="s">
        <v>307</v>
      </c>
      <c r="I14" s="279" t="s">
        <v>307</v>
      </c>
      <c r="J14" s="279" t="s">
        <v>307</v>
      </c>
      <c r="K14" s="279" t="s">
        <v>307</v>
      </c>
      <c r="L14" s="280" t="s">
        <v>320</v>
      </c>
      <c r="M14" s="268" t="s">
        <v>307</v>
      </c>
      <c r="N14" s="278" t="s">
        <v>170</v>
      </c>
      <c r="O14" s="279">
        <v>3.89</v>
      </c>
      <c r="P14" s="279">
        <v>3.1358174609999998</v>
      </c>
      <c r="Q14" s="285" t="s">
        <v>320</v>
      </c>
      <c r="R14" s="279" t="s">
        <v>307</v>
      </c>
      <c r="S14" s="265"/>
    </row>
    <row r="15" spans="1:19" hidden="1">
      <c r="A15" s="269" t="s">
        <v>200</v>
      </c>
      <c r="B15" s="269">
        <v>118.15</v>
      </c>
      <c r="C15" s="269">
        <v>139</v>
      </c>
      <c r="D15" s="269"/>
      <c r="E15" s="269">
        <v>1</v>
      </c>
      <c r="F15" s="269"/>
      <c r="G15" s="268" t="s">
        <v>307</v>
      </c>
      <c r="H15" s="281" t="s">
        <v>32</v>
      </c>
      <c r="I15" s="282" t="s">
        <v>168</v>
      </c>
      <c r="J15" s="282" t="s">
        <v>307</v>
      </c>
      <c r="K15" s="282">
        <v>7.84</v>
      </c>
      <c r="L15" s="280" t="s">
        <v>327</v>
      </c>
      <c r="M15" s="268" t="s">
        <v>307</v>
      </c>
      <c r="N15" s="281" t="s">
        <v>201</v>
      </c>
      <c r="O15" s="283">
        <v>3.48</v>
      </c>
      <c r="P15" s="284">
        <v>1.79</v>
      </c>
      <c r="Q15" s="285" t="s">
        <v>328</v>
      </c>
      <c r="R15" s="286">
        <v>-0.56000000000000005</v>
      </c>
      <c r="S15" s="265"/>
    </row>
    <row r="16" spans="1:19" hidden="1">
      <c r="A16" s="277" t="s">
        <v>202</v>
      </c>
      <c r="B16" s="277">
        <v>12874.95</v>
      </c>
      <c r="C16" s="277">
        <v>15147</v>
      </c>
      <c r="D16" s="277">
        <v>130</v>
      </c>
      <c r="E16" s="277">
        <v>20</v>
      </c>
      <c r="F16" s="277" t="s">
        <v>307</v>
      </c>
      <c r="G16" s="268" t="s">
        <v>307</v>
      </c>
      <c r="H16" s="278" t="s">
        <v>203</v>
      </c>
      <c r="I16" s="279" t="s">
        <v>172</v>
      </c>
      <c r="J16" s="279" t="s">
        <v>307</v>
      </c>
      <c r="K16" s="279">
        <v>2.97</v>
      </c>
      <c r="L16" s="280" t="s">
        <v>329</v>
      </c>
      <c r="M16" s="268" t="s">
        <v>307</v>
      </c>
      <c r="N16" s="278" t="s">
        <v>204</v>
      </c>
      <c r="O16" s="279">
        <v>4.2</v>
      </c>
      <c r="P16" s="279">
        <v>3.0560383249999998</v>
      </c>
      <c r="Q16" s="285" t="s">
        <v>330</v>
      </c>
      <c r="R16" s="288">
        <v>0.41</v>
      </c>
      <c r="S16" s="265"/>
    </row>
    <row r="17" spans="1:19" hidden="1">
      <c r="A17" s="269" t="s">
        <v>205</v>
      </c>
      <c r="B17" s="269">
        <v>5662.7</v>
      </c>
      <c r="C17" s="269">
        <v>6662</v>
      </c>
      <c r="D17" s="269">
        <v>9</v>
      </c>
      <c r="E17" s="269">
        <v>14</v>
      </c>
      <c r="F17" s="269" t="s">
        <v>206</v>
      </c>
      <c r="G17" s="268" t="s">
        <v>307</v>
      </c>
      <c r="H17" s="281" t="s">
        <v>207</v>
      </c>
      <c r="I17" s="282" t="s">
        <v>172</v>
      </c>
      <c r="J17" s="282" t="s">
        <v>307</v>
      </c>
      <c r="K17" s="282">
        <v>5.31</v>
      </c>
      <c r="L17" s="280" t="s">
        <v>331</v>
      </c>
      <c r="M17" s="268" t="s">
        <v>307</v>
      </c>
      <c r="N17" s="281" t="s">
        <v>208</v>
      </c>
      <c r="O17" s="283">
        <v>4.0199999999999996</v>
      </c>
      <c r="P17" s="284">
        <v>1.9</v>
      </c>
      <c r="Q17" s="285" t="s">
        <v>332</v>
      </c>
      <c r="R17" s="286">
        <v>-0.24</v>
      </c>
      <c r="S17" s="265"/>
    </row>
    <row r="18" spans="1:19" hidden="1">
      <c r="A18" s="277" t="s">
        <v>209</v>
      </c>
      <c r="B18" s="277">
        <v>0</v>
      </c>
      <c r="C18" s="277">
        <v>0</v>
      </c>
      <c r="D18" s="277" t="s">
        <v>307</v>
      </c>
      <c r="E18" s="277" t="s">
        <v>307</v>
      </c>
      <c r="F18" s="277" t="s">
        <v>307</v>
      </c>
      <c r="G18" s="268" t="s">
        <v>307</v>
      </c>
      <c r="H18" s="278" t="s">
        <v>307</v>
      </c>
      <c r="I18" s="279" t="s">
        <v>307</v>
      </c>
      <c r="J18" s="279" t="s">
        <v>307</v>
      </c>
      <c r="K18" s="279" t="s">
        <v>307</v>
      </c>
      <c r="L18" s="280" t="s">
        <v>320</v>
      </c>
      <c r="M18" s="268" t="s">
        <v>307</v>
      </c>
      <c r="N18" s="278" t="s">
        <v>307</v>
      </c>
      <c r="O18" s="279" t="s">
        <v>307</v>
      </c>
      <c r="P18" s="279" t="s">
        <v>307</v>
      </c>
      <c r="Q18" s="285" t="s">
        <v>320</v>
      </c>
      <c r="R18" s="279" t="s">
        <v>307</v>
      </c>
      <c r="S18" s="265"/>
    </row>
    <row r="19" spans="1:19">
      <c r="A19" s="269" t="s">
        <v>210</v>
      </c>
      <c r="B19" s="269">
        <v>458.15</v>
      </c>
      <c r="C19" s="269">
        <v>539</v>
      </c>
      <c r="D19" s="269"/>
      <c r="E19" s="269">
        <v>3</v>
      </c>
      <c r="F19" s="269"/>
      <c r="G19" s="268" t="s">
        <v>307</v>
      </c>
      <c r="H19" s="281" t="s">
        <v>211</v>
      </c>
      <c r="I19" s="282" t="s">
        <v>172</v>
      </c>
      <c r="J19" s="282" t="s">
        <v>307</v>
      </c>
      <c r="K19" s="287">
        <v>3</v>
      </c>
      <c r="L19" s="280" t="s">
        <v>333</v>
      </c>
      <c r="M19" s="268" t="s">
        <v>307</v>
      </c>
      <c r="N19" s="281" t="s">
        <v>212</v>
      </c>
      <c r="O19" s="283">
        <v>3.45</v>
      </c>
      <c r="P19" s="284">
        <v>2.21</v>
      </c>
      <c r="Q19" s="285" t="s">
        <v>334</v>
      </c>
      <c r="R19" s="288">
        <v>0.15</v>
      </c>
      <c r="S19" s="265"/>
    </row>
    <row r="20" spans="1:19">
      <c r="A20" s="277" t="s">
        <v>213</v>
      </c>
      <c r="B20" s="277">
        <v>5971.25</v>
      </c>
      <c r="C20" s="277">
        <v>7025</v>
      </c>
      <c r="D20" s="277">
        <v>156</v>
      </c>
      <c r="E20" s="277">
        <v>1</v>
      </c>
      <c r="F20" s="277" t="s">
        <v>214</v>
      </c>
      <c r="G20" s="268" t="s">
        <v>307</v>
      </c>
      <c r="H20" s="278" t="s">
        <v>196</v>
      </c>
      <c r="I20" s="279" t="s">
        <v>172</v>
      </c>
      <c r="J20" s="279" t="s">
        <v>307</v>
      </c>
      <c r="K20" s="287">
        <v>3.5</v>
      </c>
      <c r="L20" s="280" t="s">
        <v>335</v>
      </c>
      <c r="M20" s="268" t="s">
        <v>307</v>
      </c>
      <c r="N20" s="278" t="s">
        <v>177</v>
      </c>
      <c r="O20" s="279">
        <v>3.25</v>
      </c>
      <c r="P20" s="279">
        <v>2.3434332649999998</v>
      </c>
      <c r="Q20" s="285" t="s">
        <v>336</v>
      </c>
      <c r="R20" s="286">
        <v>-7.0000000000000007E-2</v>
      </c>
      <c r="S20" s="265"/>
    </row>
    <row r="21" spans="1:19" hidden="1">
      <c r="A21" s="269" t="s">
        <v>215</v>
      </c>
      <c r="B21" s="269">
        <v>0</v>
      </c>
      <c r="C21" s="269">
        <v>0</v>
      </c>
      <c r="D21" s="269">
        <v>2</v>
      </c>
      <c r="E21" s="269"/>
      <c r="F21" s="269" t="s">
        <v>216</v>
      </c>
      <c r="G21" s="268" t="s">
        <v>307</v>
      </c>
      <c r="H21" s="281" t="s">
        <v>307</v>
      </c>
      <c r="I21" s="282" t="s">
        <v>307</v>
      </c>
      <c r="J21" s="282" t="s">
        <v>307</v>
      </c>
      <c r="K21" s="282" t="s">
        <v>307</v>
      </c>
      <c r="L21" s="280" t="s">
        <v>320</v>
      </c>
      <c r="M21" s="268" t="s">
        <v>307</v>
      </c>
      <c r="N21" s="281" t="s">
        <v>216</v>
      </c>
      <c r="O21" s="283">
        <v>3.77</v>
      </c>
      <c r="P21" s="284">
        <v>1.56</v>
      </c>
      <c r="Q21" s="285" t="s">
        <v>320</v>
      </c>
      <c r="R21" s="279" t="s">
        <v>307</v>
      </c>
      <c r="S21" s="265"/>
    </row>
    <row r="22" spans="1:19">
      <c r="A22" s="277" t="s">
        <v>217</v>
      </c>
      <c r="B22" s="277">
        <v>4064.7</v>
      </c>
      <c r="C22" s="277">
        <v>4782</v>
      </c>
      <c r="D22" s="277">
        <v>44</v>
      </c>
      <c r="E22" s="277">
        <v>7</v>
      </c>
      <c r="F22" s="277" t="s">
        <v>307</v>
      </c>
      <c r="G22" s="268" t="s">
        <v>307</v>
      </c>
      <c r="H22" s="278" t="s">
        <v>211</v>
      </c>
      <c r="I22" s="279" t="s">
        <v>172</v>
      </c>
      <c r="J22" s="279" t="s">
        <v>307</v>
      </c>
      <c r="K22" s="287">
        <v>4.5</v>
      </c>
      <c r="L22" s="280" t="s">
        <v>337</v>
      </c>
      <c r="M22" s="268" t="s">
        <v>307</v>
      </c>
      <c r="N22" s="278" t="s">
        <v>218</v>
      </c>
      <c r="O22" s="279">
        <v>7.88</v>
      </c>
      <c r="P22" s="279">
        <v>4.1445284490000001</v>
      </c>
      <c r="Q22" s="285" t="s">
        <v>338</v>
      </c>
      <c r="R22" s="288">
        <v>0.75</v>
      </c>
      <c r="S22" s="265"/>
    </row>
    <row r="23" spans="1:19" hidden="1">
      <c r="A23" s="269" t="s">
        <v>219</v>
      </c>
      <c r="B23" s="269">
        <v>960.5</v>
      </c>
      <c r="C23" s="269">
        <v>1130</v>
      </c>
      <c r="D23" s="269"/>
      <c r="E23" s="269">
        <v>4</v>
      </c>
      <c r="F23" s="269" t="s">
        <v>220</v>
      </c>
      <c r="G23" s="268" t="s">
        <v>307</v>
      </c>
      <c r="H23" s="281" t="s">
        <v>307</v>
      </c>
      <c r="I23" s="282" t="s">
        <v>307</v>
      </c>
      <c r="J23" s="282" t="s">
        <v>307</v>
      </c>
      <c r="K23" s="282" t="s">
        <v>307</v>
      </c>
      <c r="L23" s="280" t="s">
        <v>320</v>
      </c>
      <c r="M23" s="268" t="s">
        <v>307</v>
      </c>
      <c r="N23" s="281" t="s">
        <v>307</v>
      </c>
      <c r="O23" s="283" t="s">
        <v>307</v>
      </c>
      <c r="P23" s="284" t="s">
        <v>307</v>
      </c>
      <c r="Q23" s="285" t="s">
        <v>320</v>
      </c>
      <c r="R23" s="279" t="s">
        <v>307</v>
      </c>
      <c r="S23" s="265"/>
    </row>
    <row r="24" spans="1:19" hidden="1">
      <c r="A24" s="277" t="s">
        <v>221</v>
      </c>
      <c r="B24" s="277">
        <v>24225</v>
      </c>
      <c r="C24" s="277">
        <v>28500</v>
      </c>
      <c r="D24" s="277" t="s">
        <v>307</v>
      </c>
      <c r="E24" s="277">
        <v>2</v>
      </c>
      <c r="F24" s="277" t="s">
        <v>222</v>
      </c>
      <c r="G24" s="268" t="s">
        <v>307</v>
      </c>
      <c r="H24" s="278" t="s">
        <v>307</v>
      </c>
      <c r="I24" s="279" t="s">
        <v>307</v>
      </c>
      <c r="J24" s="279" t="s">
        <v>307</v>
      </c>
      <c r="K24" s="279" t="s">
        <v>307</v>
      </c>
      <c r="L24" s="280" t="s">
        <v>320</v>
      </c>
      <c r="M24" s="268" t="s">
        <v>307</v>
      </c>
      <c r="N24" s="278" t="s">
        <v>307</v>
      </c>
      <c r="O24" s="279" t="s">
        <v>307</v>
      </c>
      <c r="P24" s="279" t="s">
        <v>307</v>
      </c>
      <c r="Q24" s="285" t="s">
        <v>320</v>
      </c>
      <c r="R24" s="279" t="s">
        <v>307</v>
      </c>
      <c r="S24" s="265"/>
    </row>
    <row r="25" spans="1:19" hidden="1">
      <c r="A25" s="269" t="s">
        <v>224</v>
      </c>
      <c r="B25" s="269">
        <v>1844.5</v>
      </c>
      <c r="C25" s="269">
        <v>2170</v>
      </c>
      <c r="D25" s="269">
        <v>1</v>
      </c>
      <c r="E25" s="269">
        <v>8</v>
      </c>
      <c r="F25" s="269" t="s">
        <v>225</v>
      </c>
      <c r="G25" s="268" t="s">
        <v>307</v>
      </c>
      <c r="H25" s="281" t="s">
        <v>51</v>
      </c>
      <c r="I25" s="282" t="s">
        <v>168</v>
      </c>
      <c r="J25" s="282" t="s">
        <v>307</v>
      </c>
      <c r="K25" s="282">
        <v>1.77</v>
      </c>
      <c r="L25" s="280" t="s">
        <v>339</v>
      </c>
      <c r="M25" s="268" t="s">
        <v>307</v>
      </c>
      <c r="N25" s="281" t="s">
        <v>226</v>
      </c>
      <c r="O25" s="283">
        <v>2.31</v>
      </c>
      <c r="P25" s="284">
        <v>1.83</v>
      </c>
      <c r="Q25" s="285" t="s">
        <v>340</v>
      </c>
      <c r="R25" s="288">
        <v>0.31</v>
      </c>
      <c r="S25" s="265"/>
    </row>
    <row r="26" spans="1:19" hidden="1">
      <c r="A26" s="277" t="s">
        <v>227</v>
      </c>
      <c r="B26" s="277">
        <v>671.5</v>
      </c>
      <c r="C26" s="277">
        <v>790</v>
      </c>
      <c r="D26" s="277" t="s">
        <v>307</v>
      </c>
      <c r="E26" s="277">
        <v>8</v>
      </c>
      <c r="F26" s="277" t="s">
        <v>228</v>
      </c>
      <c r="G26" s="268" t="s">
        <v>307</v>
      </c>
      <c r="H26" s="278" t="s">
        <v>229</v>
      </c>
      <c r="I26" s="279" t="s">
        <v>168</v>
      </c>
      <c r="J26" s="279" t="s">
        <v>307</v>
      </c>
      <c r="K26" s="279">
        <v>2.64</v>
      </c>
      <c r="L26" s="280" t="s">
        <v>341</v>
      </c>
      <c r="M26" s="268" t="s">
        <v>307</v>
      </c>
      <c r="N26" s="278" t="s">
        <v>230</v>
      </c>
      <c r="O26" s="279">
        <v>4.1100000000000003</v>
      </c>
      <c r="P26" s="279">
        <v>2.183346427</v>
      </c>
      <c r="Q26" s="285" t="s">
        <v>342</v>
      </c>
      <c r="R26" s="288">
        <v>0.56000000000000005</v>
      </c>
      <c r="S26" s="265"/>
    </row>
    <row r="27" spans="1:19" hidden="1">
      <c r="A27" s="290" t="s">
        <v>231</v>
      </c>
      <c r="B27" s="290">
        <v>0</v>
      </c>
      <c r="C27" s="290" t="s">
        <v>307</v>
      </c>
      <c r="D27" s="290" t="s">
        <v>307</v>
      </c>
      <c r="E27" s="290" t="s">
        <v>307</v>
      </c>
      <c r="F27" s="290" t="s">
        <v>307</v>
      </c>
      <c r="G27" s="268" t="s">
        <v>307</v>
      </c>
      <c r="H27" s="281" t="s">
        <v>232</v>
      </c>
      <c r="I27" s="282" t="s">
        <v>172</v>
      </c>
      <c r="J27" s="282" t="s">
        <v>307</v>
      </c>
      <c r="K27" s="282">
        <v>0</v>
      </c>
      <c r="L27" s="280" t="s">
        <v>320</v>
      </c>
      <c r="M27" s="268" t="s">
        <v>307</v>
      </c>
      <c r="N27" s="291" t="s">
        <v>233</v>
      </c>
      <c r="O27" s="292">
        <v>4.09</v>
      </c>
      <c r="P27" s="293">
        <v>2.78</v>
      </c>
      <c r="Q27" s="294" t="s">
        <v>343</v>
      </c>
      <c r="R27" s="279" t="s">
        <v>307</v>
      </c>
      <c r="S27" s="265"/>
    </row>
    <row r="28" spans="1:19" hidden="1">
      <c r="A28" s="295" t="s">
        <v>307</v>
      </c>
      <c r="B28" s="295" t="s">
        <v>307</v>
      </c>
      <c r="C28" s="295" t="s">
        <v>307</v>
      </c>
      <c r="D28" s="295" t="s">
        <v>307</v>
      </c>
      <c r="E28" s="295" t="s">
        <v>307</v>
      </c>
      <c r="F28" s="295" t="s">
        <v>307</v>
      </c>
      <c r="G28" s="269"/>
      <c r="H28" s="269"/>
      <c r="I28" s="269"/>
      <c r="J28" s="269"/>
      <c r="K28" s="296" t="s">
        <v>234</v>
      </c>
      <c r="L28" s="297" t="s">
        <v>344</v>
      </c>
      <c r="M28" s="269"/>
      <c r="N28" s="269"/>
      <c r="O28" s="269"/>
      <c r="P28" s="296" t="s">
        <v>234</v>
      </c>
      <c r="Q28" s="298" t="s">
        <v>345</v>
      </c>
      <c r="R28" s="299">
        <v>-2.3999999999999998E-3</v>
      </c>
      <c r="S28" s="300"/>
    </row>
    <row r="29" spans="1:19" hidden="1">
      <c r="A29" s="265"/>
      <c r="B29" s="265"/>
      <c r="C29" s="265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5"/>
      <c r="S29" s="265"/>
    </row>
    <row r="30" spans="1:19" hidden="1">
      <c r="A30" s="265"/>
      <c r="B30" s="265"/>
      <c r="C30" s="265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5"/>
      <c r="S30" s="265"/>
    </row>
    <row r="31" spans="1:19" hidden="1">
      <c r="A31" s="265"/>
      <c r="B31" s="265"/>
      <c r="C31" s="265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5"/>
      <c r="S31" s="265"/>
    </row>
    <row r="32" spans="1:19" hidden="1">
      <c r="A32" s="265"/>
      <c r="B32" s="265"/>
      <c r="C32" s="265"/>
      <c r="D32" s="265"/>
      <c r="E32" s="265"/>
      <c r="F32" s="265"/>
      <c r="G32" s="265"/>
      <c r="H32" s="265"/>
      <c r="I32" s="265"/>
      <c r="J32" s="265"/>
      <c r="K32" s="265"/>
      <c r="L32" s="265"/>
      <c r="M32" s="265"/>
      <c r="N32" s="265"/>
      <c r="O32" s="265"/>
      <c r="P32" s="265"/>
      <c r="Q32" s="265"/>
      <c r="R32" s="265"/>
      <c r="S32" s="265"/>
    </row>
    <row r="33" spans="1:19" hidden="1">
      <c r="A33" s="301" t="s">
        <v>99</v>
      </c>
      <c r="B33" s="301">
        <v>89479.355500000005</v>
      </c>
      <c r="C33" s="302">
        <v>105269.83</v>
      </c>
      <c r="D33" s="302">
        <v>195</v>
      </c>
      <c r="E33" s="302">
        <v>154</v>
      </c>
      <c r="F33" s="302" t="s">
        <v>307</v>
      </c>
      <c r="G33" s="268" t="s">
        <v>307</v>
      </c>
      <c r="H33" s="327" t="s">
        <v>252</v>
      </c>
      <c r="I33" s="328"/>
      <c r="J33" s="328"/>
      <c r="K33" s="328"/>
      <c r="L33" s="328"/>
      <c r="M33" s="328"/>
      <c r="N33" s="328"/>
      <c r="O33" s="328"/>
      <c r="P33" s="328"/>
      <c r="Q33" s="328"/>
      <c r="R33" s="328"/>
      <c r="S33" s="265"/>
    </row>
    <row r="34" spans="1:19" hidden="1">
      <c r="A34" s="277" t="s">
        <v>231</v>
      </c>
      <c r="B34" s="277">
        <v>3334.7710000000002</v>
      </c>
      <c r="C34" s="277">
        <v>3923.26</v>
      </c>
      <c r="D34" s="277" t="s">
        <v>307</v>
      </c>
      <c r="E34" s="277">
        <v>11</v>
      </c>
      <c r="F34" s="277" t="s">
        <v>254</v>
      </c>
      <c r="G34" s="268" t="s">
        <v>307</v>
      </c>
      <c r="H34" s="303" t="s">
        <v>255</v>
      </c>
      <c r="I34" s="275" t="s">
        <v>168</v>
      </c>
      <c r="J34" s="275">
        <v>1000277510</v>
      </c>
      <c r="K34" s="275">
        <v>4.37</v>
      </c>
      <c r="L34" s="275" t="s">
        <v>346</v>
      </c>
      <c r="M34" s="268" t="s">
        <v>307</v>
      </c>
      <c r="N34" s="303" t="s">
        <v>233</v>
      </c>
      <c r="O34" s="304">
        <v>4.09</v>
      </c>
      <c r="P34" s="270">
        <v>2.78</v>
      </c>
      <c r="Q34" s="275" t="s">
        <v>347</v>
      </c>
      <c r="R34" s="276">
        <v>-0.06</v>
      </c>
      <c r="S34" s="265"/>
    </row>
    <row r="35" spans="1:19" hidden="1">
      <c r="A35" s="269" t="s">
        <v>256</v>
      </c>
      <c r="B35" s="269">
        <v>12890.334999999999</v>
      </c>
      <c r="C35" s="269">
        <v>15165.1</v>
      </c>
      <c r="D35" s="269">
        <v>129</v>
      </c>
      <c r="E35" s="269">
        <v>4</v>
      </c>
      <c r="F35" s="269"/>
      <c r="G35" s="268" t="s">
        <v>307</v>
      </c>
      <c r="H35" s="289" t="s">
        <v>257</v>
      </c>
      <c r="I35" s="280" t="s">
        <v>168</v>
      </c>
      <c r="J35" s="280">
        <v>1000568098</v>
      </c>
      <c r="K35" s="280">
        <v>8.8000000000000007</v>
      </c>
      <c r="L35" s="280" t="s">
        <v>348</v>
      </c>
      <c r="M35" s="268" t="s">
        <v>307</v>
      </c>
      <c r="N35" s="289" t="s">
        <v>237</v>
      </c>
      <c r="O35" s="305">
        <v>4.5</v>
      </c>
      <c r="P35" s="289">
        <v>2.31</v>
      </c>
      <c r="Q35" s="279" t="s">
        <v>349</v>
      </c>
      <c r="R35" s="286">
        <v>-0.49</v>
      </c>
      <c r="S35" s="265"/>
    </row>
    <row r="36" spans="1:19" hidden="1">
      <c r="A36" s="277" t="s">
        <v>307</v>
      </c>
      <c r="B36" s="277">
        <v>0</v>
      </c>
      <c r="C36" s="277" t="s">
        <v>307</v>
      </c>
      <c r="D36" s="277" t="s">
        <v>307</v>
      </c>
      <c r="E36" s="277" t="s">
        <v>307</v>
      </c>
      <c r="F36" s="277" t="s">
        <v>307</v>
      </c>
      <c r="G36" s="268" t="s">
        <v>307</v>
      </c>
      <c r="H36" s="278" t="s">
        <v>307</v>
      </c>
      <c r="I36" s="279" t="s">
        <v>307</v>
      </c>
      <c r="J36" s="279" t="s">
        <v>307</v>
      </c>
      <c r="K36" s="279" t="s">
        <v>307</v>
      </c>
      <c r="L36" s="279" t="s">
        <v>320</v>
      </c>
      <c r="M36" s="268" t="s">
        <v>307</v>
      </c>
      <c r="N36" s="278" t="s">
        <v>307</v>
      </c>
      <c r="O36" s="306" t="s">
        <v>307</v>
      </c>
      <c r="P36" s="289" t="s">
        <v>307</v>
      </c>
      <c r="Q36" s="279" t="s">
        <v>320</v>
      </c>
      <c r="R36" s="279" t="s">
        <v>307</v>
      </c>
      <c r="S36" s="265"/>
    </row>
    <row r="37" spans="1:19" hidden="1">
      <c r="A37" s="269" t="s">
        <v>173</v>
      </c>
      <c r="B37" s="269">
        <v>1568.675</v>
      </c>
      <c r="C37" s="269">
        <v>1845.5</v>
      </c>
      <c r="D37" s="269"/>
      <c r="E37" s="269">
        <v>3</v>
      </c>
      <c r="F37" s="269"/>
      <c r="G37" s="268" t="s">
        <v>307</v>
      </c>
      <c r="H37" s="289" t="s">
        <v>44</v>
      </c>
      <c r="I37" s="280" t="s">
        <v>168</v>
      </c>
      <c r="J37" s="280" t="s">
        <v>307</v>
      </c>
      <c r="K37" s="280">
        <v>10.1</v>
      </c>
      <c r="L37" s="280" t="s">
        <v>350</v>
      </c>
      <c r="M37" s="268" t="s">
        <v>307</v>
      </c>
      <c r="N37" s="289" t="s">
        <v>174</v>
      </c>
      <c r="O37" s="305">
        <v>4.57</v>
      </c>
      <c r="P37" s="289">
        <v>2.98</v>
      </c>
      <c r="Q37" s="279" t="s">
        <v>351</v>
      </c>
      <c r="R37" s="286">
        <v>-0.55000000000000004</v>
      </c>
      <c r="S37" s="265"/>
    </row>
    <row r="38" spans="1:19">
      <c r="A38" s="277" t="s">
        <v>239</v>
      </c>
      <c r="B38" s="329">
        <v>11070.9</v>
      </c>
      <c r="C38" s="329">
        <v>11070.9</v>
      </c>
      <c r="D38" s="277">
        <v>2</v>
      </c>
      <c r="E38" s="277">
        <v>37</v>
      </c>
      <c r="F38" s="277" t="s">
        <v>307</v>
      </c>
      <c r="G38" s="268" t="s">
        <v>307</v>
      </c>
      <c r="H38" s="331" t="s">
        <v>259</v>
      </c>
      <c r="I38" s="309" t="s">
        <v>168</v>
      </c>
      <c r="J38" s="279" t="s">
        <v>307</v>
      </c>
      <c r="K38" s="279">
        <v>5.44</v>
      </c>
      <c r="L38" s="279" t="s">
        <v>352</v>
      </c>
      <c r="M38" s="268" t="s">
        <v>307</v>
      </c>
      <c r="N38" s="278" t="s">
        <v>260</v>
      </c>
      <c r="O38" s="306">
        <v>7.22</v>
      </c>
      <c r="P38" s="307">
        <v>4.63</v>
      </c>
      <c r="Q38" s="279" t="s">
        <v>353</v>
      </c>
      <c r="R38" s="286">
        <v>-7.0000000000000007E-2</v>
      </c>
      <c r="S38" s="265"/>
    </row>
    <row r="39" spans="1:19">
      <c r="A39" s="269"/>
      <c r="B39" s="330">
        <v>2792.38</v>
      </c>
      <c r="C39" s="330">
        <v>2792.38</v>
      </c>
      <c r="D39" s="269"/>
      <c r="E39" s="269"/>
      <c r="F39" s="269"/>
      <c r="G39" s="268" t="s">
        <v>307</v>
      </c>
      <c r="H39" s="332" t="s">
        <v>307</v>
      </c>
      <c r="I39" s="333" t="s">
        <v>307</v>
      </c>
      <c r="J39" s="280" t="s">
        <v>307</v>
      </c>
      <c r="K39" s="280" t="s">
        <v>307</v>
      </c>
      <c r="L39" s="280" t="s">
        <v>320</v>
      </c>
      <c r="M39" s="268" t="s">
        <v>307</v>
      </c>
      <c r="N39" s="289" t="s">
        <v>262</v>
      </c>
      <c r="O39" s="305">
        <v>5</v>
      </c>
      <c r="P39" s="308">
        <v>4</v>
      </c>
      <c r="Q39" s="279" t="s">
        <v>354</v>
      </c>
      <c r="R39" s="279" t="s">
        <v>307</v>
      </c>
      <c r="S39" s="265"/>
    </row>
    <row r="40" spans="1:19">
      <c r="A40" s="277" t="s">
        <v>307</v>
      </c>
      <c r="B40" s="329">
        <v>12914.08</v>
      </c>
      <c r="C40" s="329">
        <v>12914.08</v>
      </c>
      <c r="D40" s="277" t="s">
        <v>307</v>
      </c>
      <c r="E40" s="277" t="s">
        <v>307</v>
      </c>
      <c r="F40" s="277" t="s">
        <v>307</v>
      </c>
      <c r="G40" s="268" t="s">
        <v>307</v>
      </c>
      <c r="H40" s="331" t="s">
        <v>307</v>
      </c>
      <c r="I40" s="309" t="s">
        <v>307</v>
      </c>
      <c r="J40" s="279" t="s">
        <v>307</v>
      </c>
      <c r="K40" s="279" t="s">
        <v>307</v>
      </c>
      <c r="L40" s="279" t="s">
        <v>320</v>
      </c>
      <c r="M40" s="268" t="s">
        <v>307</v>
      </c>
      <c r="N40" s="278" t="s">
        <v>184</v>
      </c>
      <c r="O40" s="306">
        <v>3.25</v>
      </c>
      <c r="P40" s="307">
        <v>2.34</v>
      </c>
      <c r="Q40" s="279" t="s">
        <v>355</v>
      </c>
      <c r="R40" s="279" t="s">
        <v>307</v>
      </c>
      <c r="S40" s="265"/>
    </row>
    <row r="41" spans="1:19">
      <c r="A41" s="269" t="s">
        <v>187</v>
      </c>
      <c r="B41" s="269">
        <v>1020</v>
      </c>
      <c r="C41" s="269">
        <v>1200</v>
      </c>
      <c r="D41" s="269">
        <v>5</v>
      </c>
      <c r="E41" s="269"/>
      <c r="F41" s="269"/>
      <c r="G41" s="268" t="s">
        <v>307</v>
      </c>
      <c r="H41" s="289" t="s">
        <v>307</v>
      </c>
      <c r="I41" s="280" t="s">
        <v>307</v>
      </c>
      <c r="J41" s="280" t="s">
        <v>307</v>
      </c>
      <c r="K41" s="309">
        <v>1.5</v>
      </c>
      <c r="L41" s="280" t="s">
        <v>356</v>
      </c>
      <c r="M41" s="268" t="s">
        <v>307</v>
      </c>
      <c r="N41" s="289" t="s">
        <v>263</v>
      </c>
      <c r="O41" s="305">
        <v>1.51</v>
      </c>
      <c r="P41" s="289" t="s">
        <v>307</v>
      </c>
      <c r="Q41" s="279" t="s">
        <v>357</v>
      </c>
      <c r="R41" s="288">
        <v>0.01</v>
      </c>
      <c r="S41" s="265"/>
    </row>
    <row r="42" spans="1:19" hidden="1">
      <c r="A42" s="277" t="s">
        <v>264</v>
      </c>
      <c r="B42" s="277">
        <v>10002.868</v>
      </c>
      <c r="C42" s="277">
        <v>11768.08</v>
      </c>
      <c r="D42" s="277">
        <v>19</v>
      </c>
      <c r="E42" s="277">
        <v>20</v>
      </c>
      <c r="F42" s="277" t="s">
        <v>307</v>
      </c>
      <c r="G42" s="268" t="s">
        <v>307</v>
      </c>
      <c r="H42" s="278" t="s">
        <v>13</v>
      </c>
      <c r="I42" s="285" t="s">
        <v>168</v>
      </c>
      <c r="J42" s="279">
        <v>1000568151</v>
      </c>
      <c r="K42" s="279">
        <v>6.08</v>
      </c>
      <c r="L42" s="279" t="s">
        <v>358</v>
      </c>
      <c r="M42" s="268" t="s">
        <v>307</v>
      </c>
      <c r="N42" s="278" t="s">
        <v>265</v>
      </c>
      <c r="O42" s="306">
        <v>4.7</v>
      </c>
      <c r="P42" s="289">
        <v>2.5299999999999998</v>
      </c>
      <c r="Q42" s="279" t="s">
        <v>359</v>
      </c>
      <c r="R42" s="286">
        <v>-0.23</v>
      </c>
      <c r="S42" s="265"/>
    </row>
    <row r="43" spans="1:19" hidden="1">
      <c r="A43" s="269" t="s">
        <v>267</v>
      </c>
      <c r="B43" s="269">
        <v>549.95000000000005</v>
      </c>
      <c r="C43" s="269">
        <v>647</v>
      </c>
      <c r="D43" s="269"/>
      <c r="E43" s="269">
        <v>2</v>
      </c>
      <c r="F43" s="269"/>
      <c r="G43" s="268" t="s">
        <v>307</v>
      </c>
      <c r="H43" s="289" t="s">
        <v>19</v>
      </c>
      <c r="I43" s="280" t="s">
        <v>307</v>
      </c>
      <c r="J43" s="280" t="s">
        <v>307</v>
      </c>
      <c r="K43" s="280">
        <v>6.7</v>
      </c>
      <c r="L43" s="280" t="s">
        <v>360</v>
      </c>
      <c r="M43" s="268" t="s">
        <v>307</v>
      </c>
      <c r="N43" s="289" t="s">
        <v>265</v>
      </c>
      <c r="O43" s="305">
        <v>4.7</v>
      </c>
      <c r="P43" s="289">
        <v>2.5299999999999998</v>
      </c>
      <c r="Q43" s="279" t="s">
        <v>361</v>
      </c>
      <c r="R43" s="286">
        <v>-0.3</v>
      </c>
      <c r="S43" s="265"/>
    </row>
    <row r="44" spans="1:19" hidden="1">
      <c r="A44" s="277" t="s">
        <v>268</v>
      </c>
      <c r="B44" s="277">
        <v>0</v>
      </c>
      <c r="C44" s="277">
        <v>0</v>
      </c>
      <c r="D44" s="277" t="s">
        <v>307</v>
      </c>
      <c r="E44" s="277" t="s">
        <v>307</v>
      </c>
      <c r="F44" s="277" t="s">
        <v>307</v>
      </c>
      <c r="G44" s="268" t="s">
        <v>307</v>
      </c>
      <c r="H44" s="278" t="s">
        <v>19</v>
      </c>
      <c r="I44" s="285" t="s">
        <v>307</v>
      </c>
      <c r="J44" s="279" t="s">
        <v>307</v>
      </c>
      <c r="K44" s="279">
        <v>6.67</v>
      </c>
      <c r="L44" s="279" t="s">
        <v>320</v>
      </c>
      <c r="M44" s="268" t="s">
        <v>307</v>
      </c>
      <c r="N44" s="278" t="s">
        <v>265</v>
      </c>
      <c r="O44" s="306">
        <v>4.7</v>
      </c>
      <c r="P44" s="289">
        <v>2.5299999999999998</v>
      </c>
      <c r="Q44" s="279" t="s">
        <v>320</v>
      </c>
      <c r="R44" s="279" t="s">
        <v>307</v>
      </c>
      <c r="S44" s="265"/>
    </row>
    <row r="45" spans="1:19" hidden="1">
      <c r="A45" s="269" t="s">
        <v>270</v>
      </c>
      <c r="B45" s="269">
        <v>12.885999999999999</v>
      </c>
      <c r="C45" s="269">
        <v>15.16</v>
      </c>
      <c r="D45" s="269"/>
      <c r="E45" s="269">
        <v>1</v>
      </c>
      <c r="F45" s="269"/>
      <c r="G45" s="268" t="s">
        <v>307</v>
      </c>
      <c r="H45" s="289" t="s">
        <v>13</v>
      </c>
      <c r="I45" s="280" t="s">
        <v>307</v>
      </c>
      <c r="J45" s="280" t="s">
        <v>307</v>
      </c>
      <c r="K45" s="280">
        <v>6.1</v>
      </c>
      <c r="L45" s="280" t="s">
        <v>362</v>
      </c>
      <c r="M45" s="268" t="s">
        <v>307</v>
      </c>
      <c r="N45" s="289" t="s">
        <v>265</v>
      </c>
      <c r="O45" s="305">
        <v>4.7</v>
      </c>
      <c r="P45" s="289">
        <v>2.5299999999999998</v>
      </c>
      <c r="Q45" s="279" t="s">
        <v>363</v>
      </c>
      <c r="R45" s="286">
        <v>-0.23</v>
      </c>
      <c r="S45" s="265"/>
    </row>
    <row r="46" spans="1:19" hidden="1">
      <c r="A46" s="277" t="s">
        <v>272</v>
      </c>
      <c r="B46" s="277">
        <v>0</v>
      </c>
      <c r="C46" s="277">
        <v>0</v>
      </c>
      <c r="D46" s="277" t="s">
        <v>307</v>
      </c>
      <c r="E46" s="277" t="s">
        <v>307</v>
      </c>
      <c r="F46" s="277" t="s">
        <v>307</v>
      </c>
      <c r="G46" s="268" t="s">
        <v>307</v>
      </c>
      <c r="H46" s="278" t="s">
        <v>273</v>
      </c>
      <c r="I46" s="285" t="s">
        <v>168</v>
      </c>
      <c r="J46" s="279">
        <v>1000568109</v>
      </c>
      <c r="K46" s="279">
        <v>9.15</v>
      </c>
      <c r="L46" s="279" t="s">
        <v>320</v>
      </c>
      <c r="M46" s="268" t="s">
        <v>307</v>
      </c>
      <c r="N46" s="278" t="s">
        <v>307</v>
      </c>
      <c r="O46" s="306" t="s">
        <v>307</v>
      </c>
      <c r="P46" s="289" t="s">
        <v>307</v>
      </c>
      <c r="Q46" s="279" t="s">
        <v>320</v>
      </c>
      <c r="R46" s="279" t="s">
        <v>307</v>
      </c>
      <c r="S46" s="265"/>
    </row>
    <row r="47" spans="1:19" hidden="1">
      <c r="A47" s="269" t="s">
        <v>274</v>
      </c>
      <c r="B47" s="269">
        <v>3003.73</v>
      </c>
      <c r="C47" s="269">
        <v>3533.8</v>
      </c>
      <c r="D47" s="269"/>
      <c r="E47" s="269">
        <v>4</v>
      </c>
      <c r="F47" s="269"/>
      <c r="G47" s="268" t="s">
        <v>307</v>
      </c>
      <c r="H47" s="289" t="s">
        <v>44</v>
      </c>
      <c r="I47" s="280" t="s">
        <v>168</v>
      </c>
      <c r="J47" s="280" t="s">
        <v>307</v>
      </c>
      <c r="K47" s="280">
        <v>10.1</v>
      </c>
      <c r="L47" s="280" t="s">
        <v>364</v>
      </c>
      <c r="M47" s="268" t="s">
        <v>307</v>
      </c>
      <c r="N47" s="289" t="s">
        <v>365</v>
      </c>
      <c r="O47" s="305">
        <v>9.17</v>
      </c>
      <c r="P47" s="307">
        <v>5.88</v>
      </c>
      <c r="Q47" s="279" t="s">
        <v>366</v>
      </c>
      <c r="R47" s="286">
        <v>-0.09</v>
      </c>
      <c r="S47" s="265"/>
    </row>
    <row r="48" spans="1:19" hidden="1">
      <c r="A48" s="277" t="s">
        <v>173</v>
      </c>
      <c r="B48" s="277">
        <v>0</v>
      </c>
      <c r="C48" s="277" t="s">
        <v>307</v>
      </c>
      <c r="D48" s="277" t="s">
        <v>307</v>
      </c>
      <c r="E48" s="277" t="s">
        <v>307</v>
      </c>
      <c r="F48" s="277" t="s">
        <v>307</v>
      </c>
      <c r="G48" s="268" t="s">
        <v>307</v>
      </c>
      <c r="H48" s="278" t="s">
        <v>276</v>
      </c>
      <c r="I48" s="285" t="s">
        <v>168</v>
      </c>
      <c r="J48" s="279" t="s">
        <v>307</v>
      </c>
      <c r="K48" s="279">
        <v>4.13</v>
      </c>
      <c r="L48" s="279" t="s">
        <v>320</v>
      </c>
      <c r="M48" s="268" t="s">
        <v>307</v>
      </c>
      <c r="N48" s="278" t="s">
        <v>179</v>
      </c>
      <c r="O48" s="306">
        <v>2.74</v>
      </c>
      <c r="P48" s="289">
        <v>1.5</v>
      </c>
      <c r="Q48" s="279" t="s">
        <v>320</v>
      </c>
      <c r="R48" s="279" t="s">
        <v>307</v>
      </c>
      <c r="S48" s="265"/>
    </row>
    <row r="49" spans="1:19" hidden="1">
      <c r="A49" s="269" t="s">
        <v>277</v>
      </c>
      <c r="B49" s="269">
        <v>3470.1759999999999</v>
      </c>
      <c r="C49" s="269">
        <v>4082.56</v>
      </c>
      <c r="D49" s="269"/>
      <c r="E49" s="269">
        <v>8</v>
      </c>
      <c r="F49" s="269"/>
      <c r="G49" s="268" t="s">
        <v>307</v>
      </c>
      <c r="H49" s="289" t="s">
        <v>43</v>
      </c>
      <c r="I49" s="280" t="s">
        <v>168</v>
      </c>
      <c r="J49" s="280">
        <v>1000283292</v>
      </c>
      <c r="K49" s="280">
        <v>6.2</v>
      </c>
      <c r="L49" s="280" t="s">
        <v>367</v>
      </c>
      <c r="M49" s="268" t="s">
        <v>307</v>
      </c>
      <c r="N49" s="289" t="s">
        <v>170</v>
      </c>
      <c r="O49" s="280">
        <v>3.89</v>
      </c>
      <c r="P49" s="279">
        <v>3.1358174609999998</v>
      </c>
      <c r="Q49" s="279" t="s">
        <v>368</v>
      </c>
      <c r="R49" s="286">
        <v>-0.37</v>
      </c>
      <c r="S49" s="265"/>
    </row>
    <row r="50" spans="1:19" hidden="1">
      <c r="A50" s="277" t="s">
        <v>280</v>
      </c>
      <c r="B50" s="277">
        <v>1556.35</v>
      </c>
      <c r="C50" s="277">
        <v>1831</v>
      </c>
      <c r="D50" s="277" t="s">
        <v>307</v>
      </c>
      <c r="E50" s="277">
        <v>5</v>
      </c>
      <c r="F50" s="277" t="s">
        <v>307</v>
      </c>
      <c r="G50" s="268" t="s">
        <v>307</v>
      </c>
      <c r="H50" s="278" t="s">
        <v>281</v>
      </c>
      <c r="I50" s="285" t="s">
        <v>168</v>
      </c>
      <c r="J50" s="279">
        <v>1000577491</v>
      </c>
      <c r="K50" s="279">
        <v>5.13</v>
      </c>
      <c r="L50" s="279" t="s">
        <v>369</v>
      </c>
      <c r="M50" s="268" t="s">
        <v>307</v>
      </c>
      <c r="N50" s="278" t="s">
        <v>282</v>
      </c>
      <c r="O50" s="306">
        <v>4.5999999999999996</v>
      </c>
      <c r="P50" s="289">
        <v>2.0299999999999998</v>
      </c>
      <c r="Q50" s="279" t="s">
        <v>370</v>
      </c>
      <c r="R50" s="286">
        <v>-0.1</v>
      </c>
      <c r="S50" s="265"/>
    </row>
    <row r="51" spans="1:19" hidden="1">
      <c r="A51" s="269" t="s">
        <v>202</v>
      </c>
      <c r="B51" s="269">
        <v>7282.1710000000003</v>
      </c>
      <c r="C51" s="269">
        <v>8567.26</v>
      </c>
      <c r="D51" s="269">
        <v>37</v>
      </c>
      <c r="E51" s="269">
        <v>11</v>
      </c>
      <c r="F51" s="269"/>
      <c r="G51" s="268" t="s">
        <v>307</v>
      </c>
      <c r="H51" s="289" t="s">
        <v>28</v>
      </c>
      <c r="I51" s="280" t="s">
        <v>168</v>
      </c>
      <c r="J51" s="280">
        <v>1000276464</v>
      </c>
      <c r="K51" s="280">
        <v>2.9</v>
      </c>
      <c r="L51" s="280" t="s">
        <v>371</v>
      </c>
      <c r="M51" s="268" t="s">
        <v>307</v>
      </c>
      <c r="N51" s="289" t="s">
        <v>204</v>
      </c>
      <c r="O51" s="305">
        <v>4.2</v>
      </c>
      <c r="P51" s="289">
        <v>3.06</v>
      </c>
      <c r="Q51" s="279" t="s">
        <v>372</v>
      </c>
      <c r="R51" s="288">
        <v>0.45</v>
      </c>
      <c r="S51" s="265"/>
    </row>
    <row r="52" spans="1:19" hidden="1">
      <c r="A52" s="277" t="s">
        <v>248</v>
      </c>
      <c r="B52" s="277">
        <v>0</v>
      </c>
      <c r="C52" s="277">
        <v>0</v>
      </c>
      <c r="D52" s="277" t="s">
        <v>307</v>
      </c>
      <c r="E52" s="277" t="s">
        <v>307</v>
      </c>
      <c r="F52" s="277" t="s">
        <v>307</v>
      </c>
      <c r="G52" s="268" t="s">
        <v>307</v>
      </c>
      <c r="H52" s="278" t="s">
        <v>307</v>
      </c>
      <c r="I52" s="285" t="s">
        <v>307</v>
      </c>
      <c r="J52" s="279" t="s">
        <v>307</v>
      </c>
      <c r="K52" s="279" t="s">
        <v>307</v>
      </c>
      <c r="L52" s="279" t="s">
        <v>320</v>
      </c>
      <c r="M52" s="268" t="s">
        <v>307</v>
      </c>
      <c r="N52" s="278" t="s">
        <v>249</v>
      </c>
      <c r="O52" s="306">
        <v>1.41</v>
      </c>
      <c r="P52" s="289">
        <v>1.22</v>
      </c>
      <c r="Q52" s="279" t="s">
        <v>320</v>
      </c>
      <c r="R52" s="279" t="s">
        <v>307</v>
      </c>
      <c r="S52" s="265"/>
    </row>
    <row r="53" spans="1:19" hidden="1">
      <c r="A53" s="269" t="s">
        <v>205</v>
      </c>
      <c r="B53" s="269">
        <v>9591.7909999999993</v>
      </c>
      <c r="C53" s="269">
        <v>11284.46</v>
      </c>
      <c r="D53" s="269"/>
      <c r="E53" s="269">
        <v>23</v>
      </c>
      <c r="F53" s="269"/>
      <c r="G53" s="268" t="s">
        <v>307</v>
      </c>
      <c r="H53" s="289" t="s">
        <v>284</v>
      </c>
      <c r="I53" s="280" t="s">
        <v>168</v>
      </c>
      <c r="J53" s="280">
        <v>1000577491</v>
      </c>
      <c r="K53" s="280">
        <v>3.1</v>
      </c>
      <c r="L53" s="280" t="s">
        <v>373</v>
      </c>
      <c r="M53" s="268" t="s">
        <v>307</v>
      </c>
      <c r="N53" s="289" t="s">
        <v>201</v>
      </c>
      <c r="O53" s="305">
        <v>3.48</v>
      </c>
      <c r="P53" s="289">
        <v>1.79</v>
      </c>
      <c r="Q53" s="279" t="s">
        <v>374</v>
      </c>
      <c r="R53" s="288">
        <v>0.12</v>
      </c>
      <c r="S53" s="265"/>
    </row>
    <row r="54" spans="1:19" hidden="1">
      <c r="A54" s="277" t="s">
        <v>285</v>
      </c>
      <c r="B54" s="277">
        <v>0</v>
      </c>
      <c r="C54" s="277">
        <v>0</v>
      </c>
      <c r="D54" s="277" t="s">
        <v>307</v>
      </c>
      <c r="E54" s="277" t="s">
        <v>307</v>
      </c>
      <c r="F54" s="277" t="s">
        <v>307</v>
      </c>
      <c r="G54" s="268" t="s">
        <v>307</v>
      </c>
      <c r="H54" s="278" t="s">
        <v>19</v>
      </c>
      <c r="I54" s="285" t="s">
        <v>307</v>
      </c>
      <c r="J54" s="279" t="s">
        <v>307</v>
      </c>
      <c r="K54" s="279">
        <v>6.67</v>
      </c>
      <c r="L54" s="279" t="s">
        <v>320</v>
      </c>
      <c r="M54" s="268" t="s">
        <v>307</v>
      </c>
      <c r="N54" s="278" t="s">
        <v>307</v>
      </c>
      <c r="O54" s="306" t="s">
        <v>307</v>
      </c>
      <c r="P54" s="289" t="s">
        <v>307</v>
      </c>
      <c r="Q54" s="279" t="s">
        <v>320</v>
      </c>
      <c r="R54" s="279" t="s">
        <v>307</v>
      </c>
      <c r="S54" s="265"/>
    </row>
    <row r="55" spans="1:19" hidden="1">
      <c r="A55" s="269" t="s">
        <v>286</v>
      </c>
      <c r="B55" s="269">
        <v>1550.4680000000001</v>
      </c>
      <c r="C55" s="269">
        <v>1824.08</v>
      </c>
      <c r="D55" s="269"/>
      <c r="E55" s="269">
        <v>4</v>
      </c>
      <c r="F55" s="269"/>
      <c r="G55" s="268" t="s">
        <v>307</v>
      </c>
      <c r="H55" s="289" t="s">
        <v>32</v>
      </c>
      <c r="I55" s="280" t="s">
        <v>168</v>
      </c>
      <c r="J55" s="280" t="s">
        <v>307</v>
      </c>
      <c r="K55" s="280">
        <v>7.8</v>
      </c>
      <c r="L55" s="280" t="s">
        <v>375</v>
      </c>
      <c r="M55" s="268" t="s">
        <v>307</v>
      </c>
      <c r="N55" s="289" t="s">
        <v>287</v>
      </c>
      <c r="O55" s="305">
        <v>7.2</v>
      </c>
      <c r="P55" s="289">
        <v>4.47</v>
      </c>
      <c r="Q55" s="279" t="s">
        <v>376</v>
      </c>
      <c r="R55" s="286">
        <v>-0.08</v>
      </c>
      <c r="S55" s="265"/>
    </row>
    <row r="56" spans="1:19" hidden="1">
      <c r="A56" s="277" t="s">
        <v>288</v>
      </c>
      <c r="B56" s="277">
        <v>0</v>
      </c>
      <c r="C56" s="277">
        <v>0</v>
      </c>
      <c r="D56" s="277" t="s">
        <v>307</v>
      </c>
      <c r="E56" s="277" t="s">
        <v>307</v>
      </c>
      <c r="F56" s="277" t="s">
        <v>307</v>
      </c>
      <c r="G56" s="268" t="s">
        <v>307</v>
      </c>
      <c r="H56" s="278" t="s">
        <v>307</v>
      </c>
      <c r="I56" s="285" t="s">
        <v>307</v>
      </c>
      <c r="J56" s="279" t="s">
        <v>307</v>
      </c>
      <c r="K56" s="279" t="s">
        <v>307</v>
      </c>
      <c r="L56" s="279" t="s">
        <v>320</v>
      </c>
      <c r="M56" s="268" t="s">
        <v>307</v>
      </c>
      <c r="N56" s="278" t="s">
        <v>307</v>
      </c>
      <c r="O56" s="306" t="s">
        <v>307</v>
      </c>
      <c r="P56" s="289" t="s">
        <v>307</v>
      </c>
      <c r="Q56" s="279" t="s">
        <v>320</v>
      </c>
      <c r="R56" s="279" t="s">
        <v>307</v>
      </c>
      <c r="S56" s="265"/>
    </row>
    <row r="57" spans="1:19" hidden="1">
      <c r="A57" s="269" t="s">
        <v>289</v>
      </c>
      <c r="B57" s="269">
        <v>2872.201</v>
      </c>
      <c r="C57" s="269">
        <v>3379.06</v>
      </c>
      <c r="D57" s="269"/>
      <c r="E57" s="269">
        <v>10</v>
      </c>
      <c r="F57" s="269"/>
      <c r="G57" s="268" t="s">
        <v>307</v>
      </c>
      <c r="H57" s="289" t="s">
        <v>290</v>
      </c>
      <c r="I57" s="280" t="s">
        <v>168</v>
      </c>
      <c r="J57" s="280">
        <v>10000276573</v>
      </c>
      <c r="K57" s="280">
        <v>5.8</v>
      </c>
      <c r="L57" s="280" t="s">
        <v>377</v>
      </c>
      <c r="M57" s="268" t="s">
        <v>307</v>
      </c>
      <c r="N57" s="289" t="s">
        <v>177</v>
      </c>
      <c r="O57" s="305">
        <v>3.25</v>
      </c>
      <c r="P57" s="289">
        <v>2.34</v>
      </c>
      <c r="Q57" s="279" t="s">
        <v>378</v>
      </c>
      <c r="R57" s="286">
        <v>-0.44</v>
      </c>
      <c r="S57" s="265"/>
    </row>
    <row r="58" spans="1:19" hidden="1">
      <c r="A58" s="277" t="s">
        <v>291</v>
      </c>
      <c r="B58" s="277">
        <v>436.9</v>
      </c>
      <c r="C58" s="277">
        <v>514</v>
      </c>
      <c r="D58" s="277" t="s">
        <v>307</v>
      </c>
      <c r="E58" s="277">
        <v>1</v>
      </c>
      <c r="F58" s="277" t="s">
        <v>307</v>
      </c>
      <c r="G58" s="268" t="s">
        <v>307</v>
      </c>
      <c r="H58" s="278" t="s">
        <v>292</v>
      </c>
      <c r="I58" s="285" t="s">
        <v>168</v>
      </c>
      <c r="J58" s="279">
        <v>1000568148</v>
      </c>
      <c r="K58" s="279">
        <v>11.22</v>
      </c>
      <c r="L58" s="279" t="s">
        <v>379</v>
      </c>
      <c r="M58" s="268" t="s">
        <v>307</v>
      </c>
      <c r="N58" s="278" t="s">
        <v>246</v>
      </c>
      <c r="O58" s="306">
        <v>6.61</v>
      </c>
      <c r="P58" s="289">
        <v>5.05</v>
      </c>
      <c r="Q58" s="279" t="s">
        <v>380</v>
      </c>
      <c r="R58" s="286">
        <v>-0.41</v>
      </c>
      <c r="S58" s="265"/>
    </row>
    <row r="59" spans="1:19" hidden="1">
      <c r="A59" s="269" t="s">
        <v>293</v>
      </c>
      <c r="B59" s="269">
        <v>0</v>
      </c>
      <c r="C59" s="269">
        <v>0</v>
      </c>
      <c r="D59" s="269"/>
      <c r="E59" s="269"/>
      <c r="F59" s="269"/>
      <c r="G59" s="268" t="s">
        <v>307</v>
      </c>
      <c r="H59" s="289" t="s">
        <v>294</v>
      </c>
      <c r="I59" s="280" t="s">
        <v>168</v>
      </c>
      <c r="J59" s="280">
        <v>1000556376</v>
      </c>
      <c r="K59" s="280">
        <v>2.7</v>
      </c>
      <c r="L59" s="280" t="s">
        <v>320</v>
      </c>
      <c r="M59" s="268" t="s">
        <v>307</v>
      </c>
      <c r="N59" s="289" t="s">
        <v>307</v>
      </c>
      <c r="O59" s="305" t="s">
        <v>307</v>
      </c>
      <c r="P59" s="289" t="s">
        <v>307</v>
      </c>
      <c r="Q59" s="279" t="s">
        <v>320</v>
      </c>
      <c r="R59" s="279" t="s">
        <v>307</v>
      </c>
      <c r="S59" s="265"/>
    </row>
    <row r="60" spans="1:19" hidden="1">
      <c r="A60" s="277" t="s">
        <v>295</v>
      </c>
      <c r="B60" s="277">
        <v>2576.1799999999998</v>
      </c>
      <c r="C60" s="277">
        <v>3030.8</v>
      </c>
      <c r="D60" s="277">
        <v>1</v>
      </c>
      <c r="E60" s="277">
        <v>2</v>
      </c>
      <c r="F60" s="277" t="s">
        <v>307</v>
      </c>
      <c r="G60" s="268" t="s">
        <v>307</v>
      </c>
      <c r="H60" s="278" t="s">
        <v>43</v>
      </c>
      <c r="I60" s="285" t="s">
        <v>307</v>
      </c>
      <c r="J60" s="279" t="s">
        <v>307</v>
      </c>
      <c r="K60" s="279">
        <v>6.19</v>
      </c>
      <c r="L60" s="279" t="s">
        <v>381</v>
      </c>
      <c r="M60" s="268" t="s">
        <v>307</v>
      </c>
      <c r="N60" s="278" t="s">
        <v>296</v>
      </c>
      <c r="O60" s="306">
        <v>6.82</v>
      </c>
      <c r="P60" s="289" t="s">
        <v>307</v>
      </c>
      <c r="Q60" s="279" t="s">
        <v>382</v>
      </c>
      <c r="R60" s="288">
        <v>0.1</v>
      </c>
      <c r="S60" s="265"/>
    </row>
    <row r="61" spans="1:19" hidden="1">
      <c r="A61" s="269" t="s">
        <v>297</v>
      </c>
      <c r="B61" s="269">
        <v>500.65</v>
      </c>
      <c r="C61" s="269">
        <v>589</v>
      </c>
      <c r="D61" s="269"/>
      <c r="E61" s="269">
        <v>3</v>
      </c>
      <c r="F61" s="269"/>
      <c r="G61" s="268" t="s">
        <v>307</v>
      </c>
      <c r="H61" s="289" t="s">
        <v>39</v>
      </c>
      <c r="I61" s="280" t="s">
        <v>168</v>
      </c>
      <c r="J61" s="280">
        <v>1000276487</v>
      </c>
      <c r="K61" s="280">
        <v>2.6</v>
      </c>
      <c r="L61" s="280" t="s">
        <v>383</v>
      </c>
      <c r="M61" s="268" t="s">
        <v>307</v>
      </c>
      <c r="N61" s="289" t="s">
        <v>298</v>
      </c>
      <c r="O61" s="305">
        <v>4.1100000000000003</v>
      </c>
      <c r="P61" s="289">
        <v>2.1800000000000002</v>
      </c>
      <c r="Q61" s="279" t="s">
        <v>384</v>
      </c>
      <c r="R61" s="288">
        <v>0.57999999999999996</v>
      </c>
      <c r="S61" s="265"/>
    </row>
    <row r="62" spans="1:19" hidden="1">
      <c r="A62" s="277" t="s">
        <v>299</v>
      </c>
      <c r="B62" s="277">
        <v>75.650000000000006</v>
      </c>
      <c r="C62" s="277">
        <v>89</v>
      </c>
      <c r="D62" s="277" t="s">
        <v>307</v>
      </c>
      <c r="E62" s="277">
        <v>1</v>
      </c>
      <c r="F62" s="277" t="s">
        <v>307</v>
      </c>
      <c r="G62" s="268" t="s">
        <v>307</v>
      </c>
      <c r="H62" s="278" t="s">
        <v>51</v>
      </c>
      <c r="I62" s="285" t="s">
        <v>168</v>
      </c>
      <c r="J62" s="279">
        <v>10000276486</v>
      </c>
      <c r="K62" s="279">
        <v>1.77</v>
      </c>
      <c r="L62" s="279" t="s">
        <v>385</v>
      </c>
      <c r="M62" s="268" t="s">
        <v>307</v>
      </c>
      <c r="N62" s="278" t="s">
        <v>226</v>
      </c>
      <c r="O62" s="306">
        <v>2.31</v>
      </c>
      <c r="P62" s="289">
        <v>1.83</v>
      </c>
      <c r="Q62" s="279" t="s">
        <v>386</v>
      </c>
      <c r="R62" s="288">
        <v>0.31</v>
      </c>
      <c r="S62" s="265"/>
    </row>
    <row r="63" spans="1:19" hidden="1">
      <c r="A63" s="269" t="s">
        <v>300</v>
      </c>
      <c r="B63" s="269">
        <v>143.73500000000001</v>
      </c>
      <c r="C63" s="269">
        <v>169.1</v>
      </c>
      <c r="D63" s="269"/>
      <c r="E63" s="269">
        <v>1</v>
      </c>
      <c r="F63" s="269"/>
      <c r="G63" s="268" t="s">
        <v>307</v>
      </c>
      <c r="H63" s="289" t="s">
        <v>51</v>
      </c>
      <c r="I63" s="280" t="s">
        <v>168</v>
      </c>
      <c r="J63" s="280">
        <v>10000276486</v>
      </c>
      <c r="K63" s="280">
        <v>1.8</v>
      </c>
      <c r="L63" s="280" t="s">
        <v>387</v>
      </c>
      <c r="M63" s="268" t="s">
        <v>307</v>
      </c>
      <c r="N63" s="289" t="s">
        <v>226</v>
      </c>
      <c r="O63" s="305">
        <v>2.31</v>
      </c>
      <c r="P63" s="289">
        <v>1.83</v>
      </c>
      <c r="Q63" s="279" t="s">
        <v>388</v>
      </c>
      <c r="R63" s="288">
        <v>0.28000000000000003</v>
      </c>
      <c r="S63" s="265"/>
    </row>
    <row r="64" spans="1:19" hidden="1">
      <c r="A64" s="277" t="s">
        <v>227</v>
      </c>
      <c r="B64" s="277">
        <v>4278.5600000000004</v>
      </c>
      <c r="C64" s="277">
        <v>5033.6000000000004</v>
      </c>
      <c r="D64" s="277">
        <v>2</v>
      </c>
      <c r="E64" s="277">
        <v>3</v>
      </c>
      <c r="F64" s="277" t="s">
        <v>307</v>
      </c>
      <c r="G64" s="268" t="s">
        <v>307</v>
      </c>
      <c r="H64" s="278" t="s">
        <v>229</v>
      </c>
      <c r="I64" s="285" t="s">
        <v>168</v>
      </c>
      <c r="J64" s="279">
        <v>1000276487</v>
      </c>
      <c r="K64" s="279">
        <v>2.64</v>
      </c>
      <c r="L64" s="279" t="s">
        <v>389</v>
      </c>
      <c r="M64" s="268" t="s">
        <v>307</v>
      </c>
      <c r="N64" s="278" t="s">
        <v>230</v>
      </c>
      <c r="O64" s="306">
        <v>4.1100000000000003</v>
      </c>
      <c r="P64" s="289">
        <v>2.1800000000000002</v>
      </c>
      <c r="Q64" s="279" t="s">
        <v>390</v>
      </c>
      <c r="R64" s="288">
        <v>0.56000000000000005</v>
      </c>
      <c r="S64" s="265"/>
    </row>
    <row r="65" spans="1:19" hidden="1">
      <c r="A65" s="295" t="s">
        <v>307</v>
      </c>
      <c r="B65" s="295" t="s">
        <v>307</v>
      </c>
      <c r="C65" s="295" t="s">
        <v>307</v>
      </c>
      <c r="D65" s="295" t="s">
        <v>307</v>
      </c>
      <c r="E65" s="295" t="s">
        <v>307</v>
      </c>
      <c r="F65" s="295" t="s">
        <v>307</v>
      </c>
      <c r="G65" s="268" t="s">
        <v>307</v>
      </c>
      <c r="H65" s="281" t="s">
        <v>307</v>
      </c>
      <c r="I65" s="310" t="s">
        <v>307</v>
      </c>
      <c r="J65" s="282" t="s">
        <v>307</v>
      </c>
      <c r="K65" s="296" t="s">
        <v>234</v>
      </c>
      <c r="L65" s="298" t="s">
        <v>391</v>
      </c>
      <c r="M65" s="311" t="s">
        <v>307</v>
      </c>
      <c r="N65" s="281" t="s">
        <v>307</v>
      </c>
      <c r="O65" s="283" t="s">
        <v>307</v>
      </c>
      <c r="P65" s="278" t="s">
        <v>234</v>
      </c>
      <c r="Q65" s="298" t="s">
        <v>392</v>
      </c>
      <c r="R65" s="312">
        <v>-0.17</v>
      </c>
      <c r="S65" s="265"/>
    </row>
    <row r="66" spans="1:19" hidden="1">
      <c r="A66" s="265"/>
      <c r="B66" s="265"/>
      <c r="C66" s="265"/>
      <c r="D66" s="265"/>
      <c r="E66" s="265"/>
      <c r="F66" s="265"/>
      <c r="G66" s="265"/>
      <c r="H66" s="265"/>
      <c r="I66" s="265"/>
      <c r="J66" s="265"/>
      <c r="K66" s="265"/>
      <c r="L66" s="265"/>
      <c r="M66" s="265"/>
      <c r="N66" s="265"/>
      <c r="O66" s="265"/>
      <c r="P66" s="265"/>
      <c r="Q66" s="265"/>
      <c r="R66" s="265"/>
      <c r="S66" s="265"/>
    </row>
    <row r="67" spans="1:19" hidden="1">
      <c r="A67" s="265"/>
      <c r="B67" s="265"/>
      <c r="C67" s="265"/>
      <c r="D67" s="265"/>
      <c r="E67" s="265"/>
      <c r="F67" s="265"/>
      <c r="G67" s="265"/>
      <c r="H67" s="265"/>
      <c r="I67" s="265"/>
      <c r="J67" s="265"/>
      <c r="K67" s="265"/>
      <c r="L67" s="265"/>
      <c r="M67" s="265"/>
      <c r="N67" s="265"/>
      <c r="O67" s="265"/>
      <c r="P67" s="265"/>
      <c r="Q67" s="265"/>
      <c r="R67" s="265"/>
      <c r="S67" s="265"/>
    </row>
    <row r="68" spans="1:19" hidden="1">
      <c r="A68" s="301" t="s">
        <v>98</v>
      </c>
      <c r="B68" s="301">
        <v>52003.85</v>
      </c>
      <c r="C68" s="302">
        <v>61181</v>
      </c>
      <c r="D68" s="302">
        <v>148</v>
      </c>
      <c r="E68" s="302">
        <v>157</v>
      </c>
      <c r="F68" s="302" t="s">
        <v>307</v>
      </c>
      <c r="G68" s="268" t="s">
        <v>307</v>
      </c>
      <c r="H68" s="327" t="s">
        <v>98</v>
      </c>
      <c r="I68" s="328"/>
      <c r="J68" s="328"/>
      <c r="K68" s="328"/>
      <c r="L68" s="328"/>
      <c r="M68" s="328"/>
      <c r="N68" s="328"/>
      <c r="O68" s="328"/>
      <c r="P68" s="328"/>
      <c r="Q68" s="328"/>
      <c r="R68" s="328"/>
      <c r="S68" s="265"/>
    </row>
    <row r="69" spans="1:19" hidden="1">
      <c r="A69" s="269" t="s">
        <v>166</v>
      </c>
      <c r="B69" s="269">
        <v>4250</v>
      </c>
      <c r="C69" s="295">
        <v>5000</v>
      </c>
      <c r="D69" s="295" t="s">
        <v>307</v>
      </c>
      <c r="E69" s="295" t="s">
        <v>307</v>
      </c>
      <c r="F69" s="295" t="s">
        <v>307</v>
      </c>
      <c r="G69" s="268" t="s">
        <v>307</v>
      </c>
      <c r="H69" s="272" t="s">
        <v>167</v>
      </c>
      <c r="I69" s="313" t="s">
        <v>168</v>
      </c>
      <c r="J69" s="313" t="s">
        <v>307</v>
      </c>
      <c r="K69" s="271">
        <v>8.08</v>
      </c>
      <c r="L69" s="271" t="s">
        <v>393</v>
      </c>
      <c r="M69" s="268" t="s">
        <v>307</v>
      </c>
      <c r="N69" s="272" t="s">
        <v>307</v>
      </c>
      <c r="O69" s="313" t="s">
        <v>307</v>
      </c>
      <c r="P69" s="313" t="s">
        <v>307</v>
      </c>
      <c r="Q69" s="275" t="s">
        <v>311</v>
      </c>
      <c r="R69" s="276">
        <v>-1</v>
      </c>
      <c r="S69" s="265"/>
    </row>
    <row r="70" spans="1:19" hidden="1">
      <c r="A70" s="277" t="s">
        <v>166</v>
      </c>
      <c r="B70" s="277">
        <v>2550</v>
      </c>
      <c r="C70" s="277">
        <v>3000</v>
      </c>
      <c r="D70" s="277">
        <v>53</v>
      </c>
      <c r="E70" s="277">
        <v>12</v>
      </c>
      <c r="F70" s="277" t="s">
        <v>307</v>
      </c>
      <c r="G70" s="268" t="s">
        <v>307</v>
      </c>
      <c r="H70" s="278" t="s">
        <v>236</v>
      </c>
      <c r="I70" s="279" t="s">
        <v>172</v>
      </c>
      <c r="J70" s="279" t="s">
        <v>307</v>
      </c>
      <c r="K70" s="279">
        <v>9.4700000000000006</v>
      </c>
      <c r="L70" s="280" t="s">
        <v>394</v>
      </c>
      <c r="M70" s="268" t="s">
        <v>307</v>
      </c>
      <c r="N70" s="278" t="s">
        <v>237</v>
      </c>
      <c r="O70" s="279">
        <v>4.5</v>
      </c>
      <c r="P70" s="280">
        <v>2.31</v>
      </c>
      <c r="Q70" s="279" t="s">
        <v>395</v>
      </c>
      <c r="R70" s="314">
        <v>-0.6</v>
      </c>
      <c r="S70" s="265"/>
    </row>
    <row r="71" spans="1:19" hidden="1">
      <c r="A71" s="269" t="s">
        <v>173</v>
      </c>
      <c r="B71" s="269">
        <v>1113.5</v>
      </c>
      <c r="C71" s="269">
        <v>1310</v>
      </c>
      <c r="D71" s="269"/>
      <c r="E71" s="269">
        <v>2</v>
      </c>
      <c r="F71" s="269"/>
      <c r="G71" s="268" t="s">
        <v>307</v>
      </c>
      <c r="H71" s="289" t="s">
        <v>44</v>
      </c>
      <c r="I71" s="280" t="s">
        <v>168</v>
      </c>
      <c r="J71" s="280" t="s">
        <v>307</v>
      </c>
      <c r="K71" s="280">
        <v>10.11</v>
      </c>
      <c r="L71" s="280" t="s">
        <v>396</v>
      </c>
      <c r="M71" s="268" t="s">
        <v>307</v>
      </c>
      <c r="N71" s="289" t="s">
        <v>238</v>
      </c>
      <c r="O71" s="280">
        <v>9.25</v>
      </c>
      <c r="P71" s="280">
        <v>5.07</v>
      </c>
      <c r="Q71" s="285" t="s">
        <v>397</v>
      </c>
      <c r="R71" s="314">
        <v>-0.09</v>
      </c>
      <c r="S71" s="265"/>
    </row>
    <row r="72" spans="1:19" hidden="1">
      <c r="A72" s="277" t="s">
        <v>239</v>
      </c>
      <c r="B72" s="277">
        <v>1042.0999999999999</v>
      </c>
      <c r="C72" s="277">
        <v>1226</v>
      </c>
      <c r="D72" s="277" t="s">
        <v>307</v>
      </c>
      <c r="E72" s="277">
        <v>2</v>
      </c>
      <c r="F72" s="277" t="s">
        <v>307</v>
      </c>
      <c r="G72" s="268" t="s">
        <v>307</v>
      </c>
      <c r="H72" s="278" t="s">
        <v>240</v>
      </c>
      <c r="I72" s="279" t="s">
        <v>172</v>
      </c>
      <c r="J72" s="279" t="s">
        <v>307</v>
      </c>
      <c r="K72" s="279">
        <v>6.46</v>
      </c>
      <c r="L72" s="280" t="s">
        <v>398</v>
      </c>
      <c r="M72" s="268" t="s">
        <v>307</v>
      </c>
      <c r="N72" s="278" t="s">
        <v>177</v>
      </c>
      <c r="O72" s="279">
        <v>3.25</v>
      </c>
      <c r="P72" s="280">
        <v>2.34</v>
      </c>
      <c r="Q72" s="285" t="s">
        <v>399</v>
      </c>
      <c r="R72" s="314">
        <v>-0.5</v>
      </c>
      <c r="S72" s="265"/>
    </row>
    <row r="73" spans="1:19">
      <c r="A73" s="269" t="s">
        <v>175</v>
      </c>
      <c r="B73" s="269">
        <v>68</v>
      </c>
      <c r="C73" s="269">
        <v>80</v>
      </c>
      <c r="D73" s="269"/>
      <c r="E73" s="269">
        <v>2</v>
      </c>
      <c r="F73" s="269"/>
      <c r="G73" s="268" t="s">
        <v>307</v>
      </c>
      <c r="H73" s="289" t="s">
        <v>176</v>
      </c>
      <c r="I73" s="280" t="s">
        <v>172</v>
      </c>
      <c r="J73" s="280" t="s">
        <v>307</v>
      </c>
      <c r="K73" s="309">
        <v>4</v>
      </c>
      <c r="L73" s="280" t="s">
        <v>400</v>
      </c>
      <c r="M73" s="268" t="s">
        <v>307</v>
      </c>
      <c r="N73" s="289" t="s">
        <v>241</v>
      </c>
      <c r="O73" s="280">
        <v>6.61</v>
      </c>
      <c r="P73" s="280">
        <v>4.0999999999999996</v>
      </c>
      <c r="Q73" s="285" t="s">
        <v>401</v>
      </c>
      <c r="R73" s="315">
        <v>0.65</v>
      </c>
      <c r="S73" s="265"/>
    </row>
    <row r="74" spans="1:19" hidden="1">
      <c r="A74" s="277" t="s">
        <v>178</v>
      </c>
      <c r="B74" s="277">
        <v>2618</v>
      </c>
      <c r="C74" s="277">
        <v>3080</v>
      </c>
      <c r="D74" s="277" t="s">
        <v>307</v>
      </c>
      <c r="E74" s="277">
        <v>4</v>
      </c>
      <c r="F74" s="277" t="s">
        <v>307</v>
      </c>
      <c r="G74" s="268" t="s">
        <v>307</v>
      </c>
      <c r="H74" s="278" t="s">
        <v>52</v>
      </c>
      <c r="I74" s="279" t="s">
        <v>168</v>
      </c>
      <c r="J74" s="279" t="s">
        <v>307</v>
      </c>
      <c r="K74" s="279">
        <v>5.12</v>
      </c>
      <c r="L74" s="280" t="s">
        <v>316</v>
      </c>
      <c r="M74" s="268" t="s">
        <v>307</v>
      </c>
      <c r="N74" s="278" t="s">
        <v>179</v>
      </c>
      <c r="O74" s="279">
        <v>2.74</v>
      </c>
      <c r="P74" s="280">
        <v>1.5</v>
      </c>
      <c r="Q74" s="285" t="s">
        <v>317</v>
      </c>
      <c r="R74" s="314">
        <v>-0.46</v>
      </c>
      <c r="S74" s="265"/>
    </row>
    <row r="75" spans="1:19" hidden="1">
      <c r="A75" s="269" t="s">
        <v>180</v>
      </c>
      <c r="B75" s="269">
        <v>1970.3</v>
      </c>
      <c r="C75" s="269">
        <v>2318</v>
      </c>
      <c r="D75" s="269">
        <v>7</v>
      </c>
      <c r="E75" s="269">
        <v>15</v>
      </c>
      <c r="F75" s="269"/>
      <c r="G75" s="268" t="s">
        <v>307</v>
      </c>
      <c r="H75" s="289" t="s">
        <v>240</v>
      </c>
      <c r="I75" s="280" t="s">
        <v>172</v>
      </c>
      <c r="J75" s="280" t="s">
        <v>307</v>
      </c>
      <c r="K75" s="280">
        <v>6.46</v>
      </c>
      <c r="L75" s="280" t="s">
        <v>402</v>
      </c>
      <c r="M75" s="268" t="s">
        <v>307</v>
      </c>
      <c r="N75" s="289" t="s">
        <v>241</v>
      </c>
      <c r="O75" s="280">
        <v>6.61</v>
      </c>
      <c r="P75" s="280">
        <v>4.0999999999999996</v>
      </c>
      <c r="Q75" s="285" t="s">
        <v>403</v>
      </c>
      <c r="R75" s="315">
        <v>0.02</v>
      </c>
      <c r="S75" s="265"/>
    </row>
    <row r="76" spans="1:19">
      <c r="A76" s="277" t="s">
        <v>187</v>
      </c>
      <c r="B76" s="277">
        <v>680</v>
      </c>
      <c r="C76" s="277">
        <v>800</v>
      </c>
      <c r="D76" s="277">
        <v>1</v>
      </c>
      <c r="E76" s="277">
        <v>2</v>
      </c>
      <c r="F76" s="277" t="s">
        <v>307</v>
      </c>
      <c r="G76" s="268" t="s">
        <v>307</v>
      </c>
      <c r="H76" s="278" t="s">
        <v>307</v>
      </c>
      <c r="I76" s="279" t="s">
        <v>307</v>
      </c>
      <c r="J76" s="279" t="s">
        <v>307</v>
      </c>
      <c r="K76" s="287">
        <v>1.5</v>
      </c>
      <c r="L76" s="280" t="s">
        <v>404</v>
      </c>
      <c r="M76" s="268" t="s">
        <v>307</v>
      </c>
      <c r="N76" s="278" t="s">
        <v>188</v>
      </c>
      <c r="O76" s="279">
        <v>1.51</v>
      </c>
      <c r="P76" s="309">
        <v>0.97</v>
      </c>
      <c r="Q76" s="285" t="s">
        <v>405</v>
      </c>
      <c r="R76" s="315">
        <v>0.01</v>
      </c>
      <c r="S76" s="265"/>
    </row>
    <row r="77" spans="1:19" hidden="1">
      <c r="A77" s="269" t="s">
        <v>190</v>
      </c>
      <c r="B77" s="269">
        <v>0</v>
      </c>
      <c r="C77" s="269">
        <v>0</v>
      </c>
      <c r="D77" s="269"/>
      <c r="E77" s="269">
        <v>4</v>
      </c>
      <c r="F77" s="269"/>
      <c r="G77" s="268" t="s">
        <v>307</v>
      </c>
      <c r="H77" s="289" t="s">
        <v>307</v>
      </c>
      <c r="I77" s="280" t="s">
        <v>307</v>
      </c>
      <c r="J77" s="280" t="s">
        <v>307</v>
      </c>
      <c r="K77" s="280" t="s">
        <v>307</v>
      </c>
      <c r="L77" s="280" t="s">
        <v>320</v>
      </c>
      <c r="M77" s="268" t="s">
        <v>307</v>
      </c>
      <c r="N77" s="289" t="s">
        <v>307</v>
      </c>
      <c r="O77" s="280" t="s">
        <v>307</v>
      </c>
      <c r="P77" s="280" t="s">
        <v>307</v>
      </c>
      <c r="Q77" s="285" t="s">
        <v>320</v>
      </c>
      <c r="R77" s="285" t="s">
        <v>307</v>
      </c>
      <c r="S77" s="265"/>
    </row>
    <row r="78" spans="1:19">
      <c r="A78" s="277" t="s">
        <v>193</v>
      </c>
      <c r="B78" s="277">
        <v>267.75</v>
      </c>
      <c r="C78" s="277">
        <v>315</v>
      </c>
      <c r="D78" s="277">
        <v>1</v>
      </c>
      <c r="E78" s="277">
        <v>4</v>
      </c>
      <c r="F78" s="277" t="s">
        <v>191</v>
      </c>
      <c r="G78" s="268" t="s">
        <v>307</v>
      </c>
      <c r="H78" s="278" t="s">
        <v>192</v>
      </c>
      <c r="I78" s="279" t="s">
        <v>168</v>
      </c>
      <c r="J78" s="279" t="s">
        <v>307</v>
      </c>
      <c r="K78" s="287">
        <v>3</v>
      </c>
      <c r="L78" s="280" t="s">
        <v>406</v>
      </c>
      <c r="M78" s="268" t="s">
        <v>307</v>
      </c>
      <c r="N78" s="278" t="s">
        <v>191</v>
      </c>
      <c r="O78" s="279">
        <v>4.3899999999999997</v>
      </c>
      <c r="P78" s="280">
        <v>3.78</v>
      </c>
      <c r="Q78" s="285" t="s">
        <v>407</v>
      </c>
      <c r="R78" s="315">
        <v>0.46</v>
      </c>
      <c r="S78" s="265"/>
    </row>
    <row r="79" spans="1:19">
      <c r="A79" s="269" t="s">
        <v>195</v>
      </c>
      <c r="B79" s="269">
        <v>775.2</v>
      </c>
      <c r="C79" s="269">
        <v>912</v>
      </c>
      <c r="D79" s="269">
        <v>8</v>
      </c>
      <c r="E79" s="269">
        <v>15</v>
      </c>
      <c r="F79" s="269"/>
      <c r="G79" s="268" t="s">
        <v>307</v>
      </c>
      <c r="H79" s="289" t="s">
        <v>196</v>
      </c>
      <c r="I79" s="280" t="s">
        <v>172</v>
      </c>
      <c r="J79" s="280" t="s">
        <v>307</v>
      </c>
      <c r="K79" s="309">
        <v>3</v>
      </c>
      <c r="L79" s="280" t="s">
        <v>408</v>
      </c>
      <c r="M79" s="268" t="s">
        <v>307</v>
      </c>
      <c r="N79" s="289" t="s">
        <v>243</v>
      </c>
      <c r="O79" s="280">
        <v>5.07</v>
      </c>
      <c r="P79" s="280">
        <v>2.67</v>
      </c>
      <c r="Q79" s="285" t="s">
        <v>409</v>
      </c>
      <c r="R79" s="315">
        <v>0.69</v>
      </c>
      <c r="S79" s="265"/>
    </row>
    <row r="80" spans="1:19">
      <c r="A80" s="277" t="s">
        <v>244</v>
      </c>
      <c r="B80" s="277">
        <v>1715.3</v>
      </c>
      <c r="C80" s="277">
        <v>2018</v>
      </c>
      <c r="D80" s="277">
        <v>2</v>
      </c>
      <c r="E80" s="277">
        <v>3</v>
      </c>
      <c r="F80" s="277" t="s">
        <v>245</v>
      </c>
      <c r="G80" s="268" t="s">
        <v>307</v>
      </c>
      <c r="H80" s="278" t="s">
        <v>196</v>
      </c>
      <c r="I80" s="279" t="s">
        <v>172</v>
      </c>
      <c r="J80" s="279" t="s">
        <v>307</v>
      </c>
      <c r="K80" s="287">
        <v>4.5</v>
      </c>
      <c r="L80" s="280" t="s">
        <v>410</v>
      </c>
      <c r="M80" s="268" t="s">
        <v>307</v>
      </c>
      <c r="N80" s="278" t="s">
        <v>246</v>
      </c>
      <c r="O80" s="279">
        <v>6.61</v>
      </c>
      <c r="P80" s="280">
        <v>5.05</v>
      </c>
      <c r="Q80" s="285" t="s">
        <v>411</v>
      </c>
      <c r="R80" s="315">
        <v>0.47</v>
      </c>
      <c r="S80" s="265"/>
    </row>
    <row r="81" spans="1:19">
      <c r="A81" s="269" t="s">
        <v>247</v>
      </c>
      <c r="B81" s="269">
        <v>6603.65</v>
      </c>
      <c r="C81" s="269">
        <v>7769</v>
      </c>
      <c r="D81" s="269">
        <v>2</v>
      </c>
      <c r="E81" s="269">
        <v>10</v>
      </c>
      <c r="F81" s="269"/>
      <c r="G81" s="268" t="s">
        <v>307</v>
      </c>
      <c r="H81" s="289" t="s">
        <v>171</v>
      </c>
      <c r="I81" s="280" t="s">
        <v>172</v>
      </c>
      <c r="J81" s="280" t="s">
        <v>307</v>
      </c>
      <c r="K81" s="309">
        <v>3</v>
      </c>
      <c r="L81" s="280" t="s">
        <v>412</v>
      </c>
      <c r="M81" s="268" t="s">
        <v>307</v>
      </c>
      <c r="N81" s="289" t="s">
        <v>170</v>
      </c>
      <c r="O81" s="280">
        <v>3.89</v>
      </c>
      <c r="P81" s="280">
        <v>3.14</v>
      </c>
      <c r="Q81" s="285" t="s">
        <v>413</v>
      </c>
      <c r="R81" s="315">
        <v>0.3</v>
      </c>
      <c r="S81" s="265"/>
    </row>
    <row r="82" spans="1:19" hidden="1">
      <c r="A82" s="277" t="s">
        <v>200</v>
      </c>
      <c r="B82" s="277">
        <v>2196.4</v>
      </c>
      <c r="C82" s="277">
        <v>2584</v>
      </c>
      <c r="D82" s="277" t="s">
        <v>307</v>
      </c>
      <c r="E82" s="277">
        <v>7</v>
      </c>
      <c r="F82" s="277" t="s">
        <v>307</v>
      </c>
      <c r="G82" s="268" t="s">
        <v>307</v>
      </c>
      <c r="H82" s="278" t="s">
        <v>207</v>
      </c>
      <c r="I82" s="279" t="s">
        <v>172</v>
      </c>
      <c r="J82" s="279" t="s">
        <v>307</v>
      </c>
      <c r="K82" s="279">
        <v>5.31</v>
      </c>
      <c r="L82" s="280" t="s">
        <v>414</v>
      </c>
      <c r="M82" s="268" t="s">
        <v>307</v>
      </c>
      <c r="N82" s="278" t="s">
        <v>208</v>
      </c>
      <c r="O82" s="279">
        <v>4.0199999999999996</v>
      </c>
      <c r="P82" s="280">
        <v>1.9</v>
      </c>
      <c r="Q82" s="285" t="s">
        <v>415</v>
      </c>
      <c r="R82" s="314">
        <v>-0.24</v>
      </c>
      <c r="S82" s="265"/>
    </row>
    <row r="83" spans="1:19" hidden="1">
      <c r="A83" s="269" t="s">
        <v>202</v>
      </c>
      <c r="B83" s="269">
        <v>15476.8</v>
      </c>
      <c r="C83" s="269">
        <v>18208</v>
      </c>
      <c r="D83" s="269">
        <v>70</v>
      </c>
      <c r="E83" s="269">
        <v>35</v>
      </c>
      <c r="F83" s="269" t="s">
        <v>204</v>
      </c>
      <c r="G83" s="268" t="s">
        <v>307</v>
      </c>
      <c r="H83" s="289" t="s">
        <v>203</v>
      </c>
      <c r="I83" s="280" t="s">
        <v>307</v>
      </c>
      <c r="J83" s="280" t="s">
        <v>307</v>
      </c>
      <c r="K83" s="280">
        <v>2.97</v>
      </c>
      <c r="L83" s="280" t="s">
        <v>416</v>
      </c>
      <c r="M83" s="268" t="s">
        <v>307</v>
      </c>
      <c r="N83" s="289" t="s">
        <v>204</v>
      </c>
      <c r="O83" s="280">
        <v>4.2</v>
      </c>
      <c r="P83" s="280">
        <v>3.06</v>
      </c>
      <c r="Q83" s="285" t="s">
        <v>417</v>
      </c>
      <c r="R83" s="314">
        <v>0.41</v>
      </c>
      <c r="S83" s="265"/>
    </row>
    <row r="84" spans="1:19" hidden="1">
      <c r="A84" s="277" t="s">
        <v>248</v>
      </c>
      <c r="B84" s="277">
        <v>0</v>
      </c>
      <c r="C84" s="277">
        <v>0</v>
      </c>
      <c r="D84" s="277" t="s">
        <v>307</v>
      </c>
      <c r="E84" s="277">
        <v>4</v>
      </c>
      <c r="F84" s="277" t="s">
        <v>307</v>
      </c>
      <c r="G84" s="268" t="s">
        <v>307</v>
      </c>
      <c r="H84" s="278" t="s">
        <v>307</v>
      </c>
      <c r="I84" s="279" t="s">
        <v>307</v>
      </c>
      <c r="J84" s="279" t="s">
        <v>307</v>
      </c>
      <c r="K84" s="279" t="s">
        <v>307</v>
      </c>
      <c r="L84" s="280" t="s">
        <v>320</v>
      </c>
      <c r="M84" s="268" t="s">
        <v>307</v>
      </c>
      <c r="N84" s="278" t="s">
        <v>249</v>
      </c>
      <c r="O84" s="279">
        <v>1.41</v>
      </c>
      <c r="P84" s="280">
        <v>1.22</v>
      </c>
      <c r="Q84" s="285" t="s">
        <v>320</v>
      </c>
      <c r="R84" s="285" t="s">
        <v>307</v>
      </c>
      <c r="S84" s="265"/>
    </row>
    <row r="85" spans="1:19" hidden="1">
      <c r="A85" s="269" t="s">
        <v>205</v>
      </c>
      <c r="B85" s="269">
        <v>4547.5</v>
      </c>
      <c r="C85" s="269">
        <v>5350</v>
      </c>
      <c r="D85" s="269">
        <v>3</v>
      </c>
      <c r="E85" s="269">
        <v>9</v>
      </c>
      <c r="F85" s="269"/>
      <c r="G85" s="268" t="s">
        <v>307</v>
      </c>
      <c r="H85" s="289" t="s">
        <v>250</v>
      </c>
      <c r="I85" s="280" t="s">
        <v>172</v>
      </c>
      <c r="J85" s="280" t="s">
        <v>307</v>
      </c>
      <c r="K85" s="280">
        <v>5.58</v>
      </c>
      <c r="L85" s="280" t="s">
        <v>418</v>
      </c>
      <c r="M85" s="268" t="s">
        <v>307</v>
      </c>
      <c r="N85" s="289" t="s">
        <v>208</v>
      </c>
      <c r="O85" s="280">
        <v>4.0199999999999996</v>
      </c>
      <c r="P85" s="280">
        <v>1.9</v>
      </c>
      <c r="Q85" s="285" t="s">
        <v>419</v>
      </c>
      <c r="R85" s="314">
        <v>-0.28000000000000003</v>
      </c>
      <c r="S85" s="265"/>
    </row>
    <row r="86" spans="1:19">
      <c r="A86" s="277" t="s">
        <v>251</v>
      </c>
      <c r="B86" s="277">
        <v>680</v>
      </c>
      <c r="C86" s="277">
        <v>800</v>
      </c>
      <c r="D86" s="277" t="s">
        <v>307</v>
      </c>
      <c r="E86" s="277">
        <v>1</v>
      </c>
      <c r="F86" s="277" t="s">
        <v>216</v>
      </c>
      <c r="G86" s="268" t="s">
        <v>307</v>
      </c>
      <c r="H86" s="278" t="s">
        <v>307</v>
      </c>
      <c r="I86" s="279" t="s">
        <v>307</v>
      </c>
      <c r="J86" s="279" t="s">
        <v>307</v>
      </c>
      <c r="K86" s="287">
        <v>2.5</v>
      </c>
      <c r="L86" s="280" t="s">
        <v>420</v>
      </c>
      <c r="M86" s="268" t="s">
        <v>307</v>
      </c>
      <c r="N86" s="278" t="s">
        <v>216</v>
      </c>
      <c r="O86" s="279">
        <v>3.77</v>
      </c>
      <c r="P86" s="280">
        <v>1.56</v>
      </c>
      <c r="Q86" s="285" t="s">
        <v>421</v>
      </c>
      <c r="R86" s="315">
        <v>0.51</v>
      </c>
      <c r="S86" s="265"/>
    </row>
    <row r="87" spans="1:19" hidden="1">
      <c r="A87" s="269" t="s">
        <v>219</v>
      </c>
      <c r="B87" s="269">
        <v>824.5</v>
      </c>
      <c r="C87" s="269">
        <v>970</v>
      </c>
      <c r="D87" s="269">
        <v>1</v>
      </c>
      <c r="E87" s="269">
        <v>4</v>
      </c>
      <c r="F87" s="269" t="s">
        <v>220</v>
      </c>
      <c r="G87" s="268" t="s">
        <v>307</v>
      </c>
      <c r="H87" s="289" t="s">
        <v>307</v>
      </c>
      <c r="I87" s="280" t="s">
        <v>307</v>
      </c>
      <c r="J87" s="280" t="s">
        <v>307</v>
      </c>
      <c r="K87" s="280" t="s">
        <v>307</v>
      </c>
      <c r="L87" s="280" t="s">
        <v>320</v>
      </c>
      <c r="M87" s="268" t="s">
        <v>307</v>
      </c>
      <c r="N87" s="289" t="s">
        <v>307</v>
      </c>
      <c r="O87" s="280" t="s">
        <v>307</v>
      </c>
      <c r="P87" s="280" t="s">
        <v>307</v>
      </c>
      <c r="Q87" s="285" t="s">
        <v>320</v>
      </c>
      <c r="R87" s="285" t="s">
        <v>307</v>
      </c>
      <c r="S87" s="265"/>
    </row>
    <row r="88" spans="1:19" hidden="1">
      <c r="A88" s="277" t="s">
        <v>221</v>
      </c>
      <c r="B88" s="277">
        <v>0</v>
      </c>
      <c r="C88" s="277">
        <v>0</v>
      </c>
      <c r="D88" s="277" t="s">
        <v>307</v>
      </c>
      <c r="E88" s="277">
        <v>4</v>
      </c>
      <c r="F88" s="277" t="s">
        <v>307</v>
      </c>
      <c r="G88" s="268" t="s">
        <v>307</v>
      </c>
      <c r="H88" s="278" t="s">
        <v>307</v>
      </c>
      <c r="I88" s="279" t="s">
        <v>307</v>
      </c>
      <c r="J88" s="279" t="s">
        <v>307</v>
      </c>
      <c r="K88" s="279" t="s">
        <v>307</v>
      </c>
      <c r="L88" s="280" t="s">
        <v>320</v>
      </c>
      <c r="M88" s="268" t="s">
        <v>307</v>
      </c>
      <c r="N88" s="278" t="s">
        <v>307</v>
      </c>
      <c r="O88" s="279" t="s">
        <v>307</v>
      </c>
      <c r="P88" s="280" t="s">
        <v>307</v>
      </c>
      <c r="Q88" s="285" t="s">
        <v>320</v>
      </c>
      <c r="R88" s="285" t="s">
        <v>307</v>
      </c>
      <c r="S88" s="265"/>
    </row>
    <row r="89" spans="1:19" hidden="1">
      <c r="A89" s="269" t="s">
        <v>224</v>
      </c>
      <c r="B89" s="269">
        <v>4046</v>
      </c>
      <c r="C89" s="269">
        <v>4760</v>
      </c>
      <c r="D89" s="269"/>
      <c r="E89" s="269">
        <v>12</v>
      </c>
      <c r="F89" s="269" t="s">
        <v>225</v>
      </c>
      <c r="G89" s="268" t="s">
        <v>307</v>
      </c>
      <c r="H89" s="278" t="s">
        <v>51</v>
      </c>
      <c r="I89" s="280" t="s">
        <v>168</v>
      </c>
      <c r="J89" s="280" t="s">
        <v>307</v>
      </c>
      <c r="K89" s="280">
        <v>1.77</v>
      </c>
      <c r="L89" s="280" t="s">
        <v>422</v>
      </c>
      <c r="M89" s="268" t="s">
        <v>307</v>
      </c>
      <c r="N89" s="289" t="s">
        <v>226</v>
      </c>
      <c r="O89" s="280">
        <v>2.31</v>
      </c>
      <c r="P89" s="280">
        <v>1.83</v>
      </c>
      <c r="Q89" s="285" t="s">
        <v>423</v>
      </c>
      <c r="R89" s="315">
        <v>0.31</v>
      </c>
      <c r="S89" s="265"/>
    </row>
    <row r="90" spans="1:19" hidden="1">
      <c r="A90" s="316" t="s">
        <v>227</v>
      </c>
      <c r="B90" s="316">
        <v>578</v>
      </c>
      <c r="C90" s="316">
        <v>680</v>
      </c>
      <c r="D90" s="316" t="s">
        <v>307</v>
      </c>
      <c r="E90" s="316">
        <v>6</v>
      </c>
      <c r="F90" s="316" t="s">
        <v>228</v>
      </c>
      <c r="G90" s="268" t="s">
        <v>307</v>
      </c>
      <c r="H90" s="289" t="s">
        <v>229</v>
      </c>
      <c r="I90" s="279" t="s">
        <v>168</v>
      </c>
      <c r="J90" s="279" t="s">
        <v>307</v>
      </c>
      <c r="K90" s="279">
        <v>2.64</v>
      </c>
      <c r="L90" s="280" t="s">
        <v>424</v>
      </c>
      <c r="M90" s="268" t="s">
        <v>307</v>
      </c>
      <c r="N90" s="278" t="s">
        <v>230</v>
      </c>
      <c r="O90" s="279">
        <v>4.1100000000000003</v>
      </c>
      <c r="P90" s="280">
        <v>2.1800000000000002</v>
      </c>
      <c r="Q90" s="285" t="s">
        <v>425</v>
      </c>
      <c r="R90" s="315">
        <v>0.56000000000000005</v>
      </c>
      <c r="S90" s="265"/>
    </row>
    <row r="91" spans="1:19" hidden="1">
      <c r="A91" s="269"/>
      <c r="B91" s="269">
        <v>0</v>
      </c>
      <c r="C91" s="269"/>
      <c r="D91" s="269"/>
      <c r="E91" s="269"/>
      <c r="F91" s="269"/>
      <c r="G91" s="269"/>
      <c r="H91" s="269"/>
      <c r="I91" s="277" t="s">
        <v>307</v>
      </c>
      <c r="J91" s="277" t="s">
        <v>307</v>
      </c>
      <c r="K91" s="296" t="s">
        <v>234</v>
      </c>
      <c r="L91" s="297" t="s">
        <v>426</v>
      </c>
      <c r="M91" s="269"/>
      <c r="N91" s="277" t="s">
        <v>307</v>
      </c>
      <c r="O91" s="277" t="s">
        <v>307</v>
      </c>
      <c r="P91" s="296" t="s">
        <v>234</v>
      </c>
      <c r="Q91" s="298" t="s">
        <v>427</v>
      </c>
      <c r="R91" s="317">
        <v>-0.06</v>
      </c>
      <c r="S91" s="265"/>
    </row>
    <row r="92" spans="1:19" hidden="1">
      <c r="A92" s="316" t="s">
        <v>307</v>
      </c>
      <c r="B92" s="316">
        <v>0</v>
      </c>
      <c r="C92" s="316" t="s">
        <v>307</v>
      </c>
      <c r="D92" s="316" t="s">
        <v>307</v>
      </c>
      <c r="E92" s="316" t="s">
        <v>307</v>
      </c>
      <c r="F92" s="316" t="s">
        <v>307</v>
      </c>
      <c r="G92" s="269"/>
      <c r="H92" s="318" t="s">
        <v>307</v>
      </c>
      <c r="I92" s="318" t="s">
        <v>307</v>
      </c>
      <c r="J92" s="318" t="s">
        <v>307</v>
      </c>
      <c r="K92" s="269"/>
      <c r="L92" s="269"/>
      <c r="M92" s="269"/>
      <c r="N92" s="318" t="s">
        <v>307</v>
      </c>
      <c r="O92" s="318" t="s">
        <v>307</v>
      </c>
      <c r="P92" s="318" t="s">
        <v>307</v>
      </c>
      <c r="Q92" s="269"/>
      <c r="R92" s="269"/>
      <c r="S92" s="265"/>
    </row>
    <row r="93" spans="1:19" hidden="1">
      <c r="A93" s="269"/>
      <c r="B93" s="269"/>
      <c r="C93" s="269"/>
      <c r="D93" s="269"/>
      <c r="E93" s="269"/>
      <c r="F93" s="269"/>
      <c r="G93" s="269"/>
      <c r="H93" s="269"/>
      <c r="I93" s="269"/>
      <c r="J93" s="269"/>
      <c r="K93" s="269"/>
      <c r="L93" s="269"/>
      <c r="M93" s="269"/>
      <c r="N93" s="269"/>
      <c r="O93" s="269"/>
      <c r="P93" s="269"/>
      <c r="Q93" s="269"/>
      <c r="R93" s="269"/>
      <c r="S93" s="265"/>
    </row>
    <row r="94" spans="1:19" hidden="1">
      <c r="A94" s="266" t="s">
        <v>100</v>
      </c>
      <c r="B94" s="266">
        <v>8659.7999999999993</v>
      </c>
      <c r="C94" s="267">
        <v>10188</v>
      </c>
      <c r="D94" s="267">
        <v>52</v>
      </c>
      <c r="E94" s="267">
        <v>41</v>
      </c>
      <c r="F94" s="267" t="s">
        <v>307</v>
      </c>
      <c r="G94" s="268" t="s">
        <v>307</v>
      </c>
      <c r="H94" s="327" t="s">
        <v>100</v>
      </c>
      <c r="I94" s="328"/>
      <c r="J94" s="328"/>
      <c r="K94" s="328"/>
      <c r="L94" s="328"/>
      <c r="M94" s="328"/>
      <c r="N94" s="328"/>
      <c r="O94" s="328"/>
      <c r="P94" s="328"/>
      <c r="Q94" s="328"/>
      <c r="R94" s="328"/>
      <c r="S94" s="265"/>
    </row>
    <row r="95" spans="1:19">
      <c r="A95" s="277" t="s">
        <v>166</v>
      </c>
      <c r="B95" s="277">
        <v>1857.25</v>
      </c>
      <c r="C95" s="277">
        <v>2185</v>
      </c>
      <c r="D95" s="277">
        <v>21</v>
      </c>
      <c r="E95" s="277">
        <v>8</v>
      </c>
      <c r="F95" s="277" t="s">
        <v>307</v>
      </c>
      <c r="G95" s="268" t="s">
        <v>307</v>
      </c>
      <c r="H95" s="270" t="s">
        <v>171</v>
      </c>
      <c r="I95" s="271" t="s">
        <v>172</v>
      </c>
      <c r="J95" s="271" t="s">
        <v>307</v>
      </c>
      <c r="K95" s="319">
        <v>9.4700000000000006</v>
      </c>
      <c r="L95" s="271" t="s">
        <v>428</v>
      </c>
      <c r="M95" s="268" t="s">
        <v>307</v>
      </c>
      <c r="N95" s="270" t="s">
        <v>301</v>
      </c>
      <c r="O95" s="271">
        <v>2.84</v>
      </c>
      <c r="P95" s="271">
        <v>1.88</v>
      </c>
      <c r="Q95" s="271" t="s">
        <v>429</v>
      </c>
      <c r="R95" s="320">
        <v>-0.7</v>
      </c>
      <c r="S95" s="265"/>
    </row>
    <row r="96" spans="1:19" hidden="1">
      <c r="A96" s="269" t="s">
        <v>173</v>
      </c>
      <c r="B96" s="269">
        <v>0</v>
      </c>
      <c r="C96" s="269">
        <v>0</v>
      </c>
      <c r="D96" s="269"/>
      <c r="E96" s="269">
        <v>2</v>
      </c>
      <c r="F96" s="269"/>
      <c r="G96" s="268" t="s">
        <v>307</v>
      </c>
      <c r="H96" s="278" t="s">
        <v>307</v>
      </c>
      <c r="I96" s="279" t="s">
        <v>307</v>
      </c>
      <c r="J96" s="279" t="s">
        <v>307</v>
      </c>
      <c r="K96" s="279" t="s">
        <v>307</v>
      </c>
      <c r="L96" s="279" t="s">
        <v>307</v>
      </c>
      <c r="M96" s="268" t="s">
        <v>307</v>
      </c>
      <c r="N96" s="278" t="s">
        <v>307</v>
      </c>
      <c r="O96" s="279" t="s">
        <v>307</v>
      </c>
      <c r="P96" s="280" t="s">
        <v>307</v>
      </c>
      <c r="Q96" s="280" t="s">
        <v>307</v>
      </c>
      <c r="R96" s="280" t="s">
        <v>307</v>
      </c>
      <c r="S96" s="265"/>
    </row>
    <row r="97" spans="1:19" hidden="1">
      <c r="A97" s="277" t="s">
        <v>178</v>
      </c>
      <c r="B97" s="277">
        <v>102</v>
      </c>
      <c r="C97" s="277">
        <v>120</v>
      </c>
      <c r="D97" s="277" t="s">
        <v>307</v>
      </c>
      <c r="E97" s="277">
        <v>4</v>
      </c>
      <c r="F97" s="277" t="s">
        <v>307</v>
      </c>
      <c r="G97" s="268" t="s">
        <v>307</v>
      </c>
      <c r="H97" s="289" t="s">
        <v>52</v>
      </c>
      <c r="I97" s="280" t="s">
        <v>168</v>
      </c>
      <c r="J97" s="280" t="s">
        <v>307</v>
      </c>
      <c r="K97" s="280">
        <v>5.12</v>
      </c>
      <c r="L97" s="280" t="s">
        <v>430</v>
      </c>
      <c r="M97" s="268" t="s">
        <v>307</v>
      </c>
      <c r="N97" s="289" t="s">
        <v>179</v>
      </c>
      <c r="O97" s="280">
        <v>2.74</v>
      </c>
      <c r="P97" s="280">
        <v>1.5</v>
      </c>
      <c r="Q97" s="280" t="s">
        <v>431</v>
      </c>
      <c r="R97" s="321">
        <v>-0.46</v>
      </c>
      <c r="S97" s="265"/>
    </row>
    <row r="98" spans="1:19" hidden="1">
      <c r="A98" s="269" t="s">
        <v>180</v>
      </c>
      <c r="B98" s="269">
        <v>4230.45</v>
      </c>
      <c r="C98" s="269">
        <v>4977</v>
      </c>
      <c r="D98" s="269">
        <v>9</v>
      </c>
      <c r="E98" s="269">
        <v>8</v>
      </c>
      <c r="F98" s="269"/>
      <c r="G98" s="268" t="s">
        <v>307</v>
      </c>
      <c r="H98" s="278" t="s">
        <v>240</v>
      </c>
      <c r="I98" s="279" t="s">
        <v>172</v>
      </c>
      <c r="J98" s="279" t="s">
        <v>307</v>
      </c>
      <c r="K98" s="279">
        <v>6.46</v>
      </c>
      <c r="L98" s="279" t="s">
        <v>432</v>
      </c>
      <c r="M98" s="268" t="s">
        <v>307</v>
      </c>
      <c r="N98" s="278" t="s">
        <v>182</v>
      </c>
      <c r="O98" s="279">
        <v>6.82</v>
      </c>
      <c r="P98" s="280">
        <v>4.03</v>
      </c>
      <c r="Q98" s="280" t="s">
        <v>433</v>
      </c>
      <c r="R98" s="322">
        <v>0.06</v>
      </c>
      <c r="S98" s="265"/>
    </row>
    <row r="99" spans="1:19">
      <c r="A99" s="277" t="s">
        <v>195</v>
      </c>
      <c r="B99" s="277">
        <v>999.6</v>
      </c>
      <c r="C99" s="277">
        <v>1176</v>
      </c>
      <c r="D99" s="277">
        <v>7</v>
      </c>
      <c r="E99" s="277">
        <v>4</v>
      </c>
      <c r="F99" s="277" t="s">
        <v>307</v>
      </c>
      <c r="G99" s="268" t="s">
        <v>307</v>
      </c>
      <c r="H99" s="289" t="s">
        <v>196</v>
      </c>
      <c r="I99" s="280" t="s">
        <v>172</v>
      </c>
      <c r="J99" s="280" t="s">
        <v>307</v>
      </c>
      <c r="K99" s="309">
        <v>4.5</v>
      </c>
      <c r="L99" s="280" t="s">
        <v>434</v>
      </c>
      <c r="M99" s="268" t="s">
        <v>307</v>
      </c>
      <c r="N99" s="289" t="s">
        <v>287</v>
      </c>
      <c r="O99" s="280">
        <v>7.2</v>
      </c>
      <c r="P99" s="280">
        <v>4.47</v>
      </c>
      <c r="Q99" s="280" t="s">
        <v>435</v>
      </c>
      <c r="R99" s="322">
        <v>0.6</v>
      </c>
      <c r="S99" s="265"/>
    </row>
    <row r="100" spans="1:19" hidden="1">
      <c r="A100" s="269" t="s">
        <v>202</v>
      </c>
      <c r="B100" s="269">
        <v>1017.45</v>
      </c>
      <c r="C100" s="269">
        <v>1197</v>
      </c>
      <c r="D100" s="269">
        <v>13</v>
      </c>
      <c r="E100" s="269">
        <v>6</v>
      </c>
      <c r="F100" s="269"/>
      <c r="G100" s="268" t="s">
        <v>307</v>
      </c>
      <c r="H100" s="278" t="s">
        <v>203</v>
      </c>
      <c r="I100" s="279" t="s">
        <v>172</v>
      </c>
      <c r="J100" s="279" t="s">
        <v>307</v>
      </c>
      <c r="K100" s="279">
        <v>2.97</v>
      </c>
      <c r="L100" s="279" t="s">
        <v>436</v>
      </c>
      <c r="M100" s="268" t="s">
        <v>307</v>
      </c>
      <c r="N100" s="278" t="s">
        <v>204</v>
      </c>
      <c r="O100" s="279">
        <v>4.2</v>
      </c>
      <c r="P100" s="280">
        <v>3.06</v>
      </c>
      <c r="Q100" s="280" t="s">
        <v>437</v>
      </c>
      <c r="R100" s="322">
        <v>0.41</v>
      </c>
      <c r="S100" s="265"/>
    </row>
    <row r="101" spans="1:19" hidden="1">
      <c r="A101" s="277" t="s">
        <v>205</v>
      </c>
      <c r="B101" s="277">
        <v>453.05</v>
      </c>
      <c r="C101" s="277">
        <v>533</v>
      </c>
      <c r="D101" s="277">
        <v>1</v>
      </c>
      <c r="E101" s="277">
        <v>7</v>
      </c>
      <c r="F101" s="277" t="s">
        <v>307</v>
      </c>
      <c r="G101" s="268" t="s">
        <v>307</v>
      </c>
      <c r="H101" s="289" t="s">
        <v>207</v>
      </c>
      <c r="I101" s="280" t="s">
        <v>172</v>
      </c>
      <c r="J101" s="280" t="s">
        <v>307</v>
      </c>
      <c r="K101" s="280">
        <v>5.31</v>
      </c>
      <c r="L101" s="280" t="s">
        <v>438</v>
      </c>
      <c r="M101" s="268" t="s">
        <v>307</v>
      </c>
      <c r="N101" s="289" t="s">
        <v>208</v>
      </c>
      <c r="O101" s="280">
        <v>4.0199999999999996</v>
      </c>
      <c r="P101" s="280">
        <v>1.9</v>
      </c>
      <c r="Q101" s="280" t="s">
        <v>439</v>
      </c>
      <c r="R101" s="321">
        <v>-0.24</v>
      </c>
      <c r="S101" s="265"/>
    </row>
    <row r="102" spans="1:19" hidden="1">
      <c r="A102" s="269" t="s">
        <v>289</v>
      </c>
      <c r="B102" s="269">
        <v>0</v>
      </c>
      <c r="C102" s="269">
        <v>0</v>
      </c>
      <c r="D102" s="269"/>
      <c r="E102" s="269">
        <v>2</v>
      </c>
      <c r="F102" s="269"/>
      <c r="G102" s="268" t="s">
        <v>307</v>
      </c>
      <c r="H102" s="278" t="s">
        <v>307</v>
      </c>
      <c r="I102" s="279" t="s">
        <v>307</v>
      </c>
      <c r="J102" s="279" t="s">
        <v>307</v>
      </c>
      <c r="K102" s="279" t="s">
        <v>307</v>
      </c>
      <c r="L102" s="323" t="s">
        <v>307</v>
      </c>
      <c r="M102" s="311" t="s">
        <v>307</v>
      </c>
      <c r="N102" s="278" t="s">
        <v>307</v>
      </c>
      <c r="O102" s="279" t="s">
        <v>307</v>
      </c>
      <c r="P102" s="280" t="s">
        <v>307</v>
      </c>
      <c r="Q102" s="280" t="s">
        <v>307</v>
      </c>
      <c r="R102" s="280" t="s">
        <v>307</v>
      </c>
      <c r="S102" s="265"/>
    </row>
    <row r="103" spans="1:19" hidden="1">
      <c r="A103" s="277" t="s">
        <v>224</v>
      </c>
      <c r="B103" s="277">
        <v>0</v>
      </c>
      <c r="C103" s="277">
        <v>0</v>
      </c>
      <c r="D103" s="277">
        <v>1</v>
      </c>
      <c r="E103" s="277" t="s">
        <v>307</v>
      </c>
      <c r="F103" s="277" t="s">
        <v>307</v>
      </c>
      <c r="G103" s="268" t="s">
        <v>307</v>
      </c>
      <c r="H103" s="289" t="s">
        <v>307</v>
      </c>
      <c r="I103" s="280" t="s">
        <v>307</v>
      </c>
      <c r="J103" s="280" t="s">
        <v>307</v>
      </c>
      <c r="K103" s="280" t="s">
        <v>307</v>
      </c>
      <c r="L103" s="268" t="s">
        <v>307</v>
      </c>
      <c r="M103" s="311" t="s">
        <v>307</v>
      </c>
      <c r="N103" s="289" t="s">
        <v>226</v>
      </c>
      <c r="O103" s="280">
        <v>2.31</v>
      </c>
      <c r="P103" s="280">
        <v>1.83</v>
      </c>
      <c r="Q103" s="280" t="s">
        <v>343</v>
      </c>
      <c r="R103" s="280" t="s">
        <v>307</v>
      </c>
      <c r="S103" s="265"/>
    </row>
    <row r="104" spans="1:19" hidden="1">
      <c r="A104" s="269"/>
      <c r="B104" s="269">
        <v>0</v>
      </c>
      <c r="C104" s="269"/>
      <c r="D104" s="269"/>
      <c r="E104" s="269"/>
      <c r="F104" s="269"/>
      <c r="G104" s="268" t="s">
        <v>307</v>
      </c>
      <c r="H104" s="289" t="s">
        <v>307</v>
      </c>
      <c r="I104" s="280" t="s">
        <v>307</v>
      </c>
      <c r="J104" s="280" t="s">
        <v>307</v>
      </c>
      <c r="K104" s="296" t="s">
        <v>234</v>
      </c>
      <c r="L104" s="298" t="s">
        <v>440</v>
      </c>
      <c r="M104" s="311" t="s">
        <v>307</v>
      </c>
      <c r="N104" s="280" t="s">
        <v>307</v>
      </c>
      <c r="O104" s="324" t="s">
        <v>307</v>
      </c>
      <c r="P104" s="296" t="s">
        <v>234</v>
      </c>
      <c r="Q104" s="298" t="s">
        <v>441</v>
      </c>
      <c r="R104" s="317">
        <v>-0.14000000000000001</v>
      </c>
      <c r="S104" s="265"/>
    </row>
    <row r="105" spans="1:19" hidden="1">
      <c r="A105" s="277" t="s">
        <v>307</v>
      </c>
      <c r="B105" s="277">
        <v>0</v>
      </c>
      <c r="C105" s="277" t="s">
        <v>307</v>
      </c>
      <c r="D105" s="277" t="s">
        <v>307</v>
      </c>
      <c r="E105" s="277" t="s">
        <v>307</v>
      </c>
      <c r="F105" s="277" t="s">
        <v>307</v>
      </c>
      <c r="G105" s="268" t="s">
        <v>307</v>
      </c>
      <c r="H105" s="289" t="s">
        <v>307</v>
      </c>
      <c r="I105" s="280" t="s">
        <v>307</v>
      </c>
      <c r="J105" s="280" t="s">
        <v>307</v>
      </c>
      <c r="K105" s="271" t="s">
        <v>307</v>
      </c>
      <c r="L105" s="268" t="s">
        <v>307</v>
      </c>
      <c r="M105" s="311" t="s">
        <v>307</v>
      </c>
      <c r="N105" s="270" t="s">
        <v>307</v>
      </c>
      <c r="O105" s="305" t="s">
        <v>307</v>
      </c>
      <c r="P105" s="270" t="s">
        <v>307</v>
      </c>
      <c r="Q105" s="269"/>
      <c r="R105" s="269"/>
      <c r="S105" s="265"/>
    </row>
    <row r="106" spans="1:19" hidden="1">
      <c r="A106" s="266" t="s">
        <v>101</v>
      </c>
      <c r="B106" s="266">
        <v>67094.75</v>
      </c>
      <c r="C106" s="267">
        <v>78935</v>
      </c>
      <c r="D106" s="267">
        <v>210</v>
      </c>
      <c r="E106" s="267">
        <v>165</v>
      </c>
      <c r="F106" s="267" t="s">
        <v>307</v>
      </c>
      <c r="G106" s="268" t="s">
        <v>307</v>
      </c>
      <c r="H106" s="327" t="s">
        <v>101</v>
      </c>
      <c r="I106" s="328"/>
      <c r="J106" s="328"/>
      <c r="K106" s="328"/>
      <c r="L106" s="328"/>
      <c r="M106" s="328"/>
      <c r="N106" s="328"/>
      <c r="O106" s="328"/>
      <c r="P106" s="328"/>
      <c r="Q106" s="328"/>
      <c r="R106" s="328"/>
      <c r="S106" s="265"/>
    </row>
    <row r="107" spans="1:19" hidden="1">
      <c r="A107" s="267" t="s">
        <v>307</v>
      </c>
      <c r="B107" s="267">
        <v>8500</v>
      </c>
      <c r="C107" s="267">
        <v>10000</v>
      </c>
      <c r="D107" s="267" t="s">
        <v>307</v>
      </c>
      <c r="E107" s="267" t="s">
        <v>307</v>
      </c>
      <c r="F107" s="267" t="s">
        <v>307</v>
      </c>
      <c r="G107" s="268" t="s">
        <v>307</v>
      </c>
      <c r="H107" s="303" t="s">
        <v>167</v>
      </c>
      <c r="I107" s="275" t="s">
        <v>168</v>
      </c>
      <c r="J107" s="275" t="s">
        <v>307</v>
      </c>
      <c r="K107" s="275">
        <v>8.08</v>
      </c>
      <c r="L107" s="275" t="s">
        <v>442</v>
      </c>
      <c r="M107" s="268" t="s">
        <v>307</v>
      </c>
      <c r="N107" s="303" t="s">
        <v>307</v>
      </c>
      <c r="O107" s="275" t="s">
        <v>307</v>
      </c>
      <c r="P107" s="275" t="s">
        <v>307</v>
      </c>
      <c r="Q107" s="275" t="s">
        <v>307</v>
      </c>
      <c r="R107" s="275" t="s">
        <v>307</v>
      </c>
      <c r="S107" s="265"/>
    </row>
    <row r="108" spans="1:19">
      <c r="A108" s="269" t="s">
        <v>166</v>
      </c>
      <c r="B108" s="269">
        <v>4408.95</v>
      </c>
      <c r="C108" s="269">
        <v>5187</v>
      </c>
      <c r="D108" s="269">
        <v>10</v>
      </c>
      <c r="E108" s="269">
        <v>28</v>
      </c>
      <c r="F108" s="269"/>
      <c r="G108" s="268" t="s">
        <v>307</v>
      </c>
      <c r="H108" s="289" t="s">
        <v>171</v>
      </c>
      <c r="I108" s="280" t="s">
        <v>172</v>
      </c>
      <c r="J108" s="280" t="s">
        <v>307</v>
      </c>
      <c r="K108" s="309">
        <v>9.4700000000000006</v>
      </c>
      <c r="L108" s="280" t="s">
        <v>443</v>
      </c>
      <c r="M108" s="268" t="s">
        <v>307</v>
      </c>
      <c r="N108" s="289" t="s">
        <v>301</v>
      </c>
      <c r="O108" s="280">
        <v>2.84</v>
      </c>
      <c r="P108" s="280">
        <v>1.88</v>
      </c>
      <c r="Q108" s="285" t="s">
        <v>444</v>
      </c>
      <c r="R108" s="314">
        <v>-0.12</v>
      </c>
      <c r="S108" s="265"/>
    </row>
    <row r="109" spans="1:19" hidden="1">
      <c r="A109" s="277" t="s">
        <v>175</v>
      </c>
      <c r="B109" s="277">
        <v>51</v>
      </c>
      <c r="C109" s="277">
        <v>60</v>
      </c>
      <c r="D109" s="277" t="s">
        <v>307</v>
      </c>
      <c r="E109" s="277">
        <v>2</v>
      </c>
      <c r="F109" s="277" t="s">
        <v>307</v>
      </c>
      <c r="G109" s="268" t="s">
        <v>307</v>
      </c>
      <c r="H109" s="278" t="s">
        <v>240</v>
      </c>
      <c r="I109" s="279" t="s">
        <v>172</v>
      </c>
      <c r="J109" s="279" t="s">
        <v>307</v>
      </c>
      <c r="K109" s="279">
        <v>6.46</v>
      </c>
      <c r="L109" s="280" t="s">
        <v>445</v>
      </c>
      <c r="M109" s="268" t="s">
        <v>307</v>
      </c>
      <c r="N109" s="278" t="s">
        <v>303</v>
      </c>
      <c r="O109" s="279">
        <v>6.62</v>
      </c>
      <c r="P109" s="280" t="s">
        <v>307</v>
      </c>
      <c r="Q109" s="285" t="s">
        <v>446</v>
      </c>
      <c r="R109" s="315">
        <v>0.02</v>
      </c>
      <c r="S109" s="265"/>
    </row>
    <row r="110" spans="1:19" hidden="1">
      <c r="A110" s="269" t="s">
        <v>178</v>
      </c>
      <c r="B110" s="269">
        <v>1598</v>
      </c>
      <c r="C110" s="269">
        <v>1880</v>
      </c>
      <c r="D110" s="269"/>
      <c r="E110" s="269">
        <v>2</v>
      </c>
      <c r="F110" s="269"/>
      <c r="G110" s="268" t="s">
        <v>307</v>
      </c>
      <c r="H110" s="289" t="s">
        <v>52</v>
      </c>
      <c r="I110" s="280" t="s">
        <v>168</v>
      </c>
      <c r="J110" s="280" t="s">
        <v>307</v>
      </c>
      <c r="K110" s="280">
        <v>5.12</v>
      </c>
      <c r="L110" s="280" t="s">
        <v>447</v>
      </c>
      <c r="M110" s="268" t="s">
        <v>307</v>
      </c>
      <c r="N110" s="289" t="s">
        <v>179</v>
      </c>
      <c r="O110" s="280">
        <v>2.74</v>
      </c>
      <c r="P110" s="280">
        <v>1.5</v>
      </c>
      <c r="Q110" s="285" t="s">
        <v>448</v>
      </c>
      <c r="R110" s="314">
        <v>-0.46</v>
      </c>
      <c r="S110" s="265"/>
    </row>
    <row r="111" spans="1:19" hidden="1">
      <c r="A111" s="277" t="s">
        <v>180</v>
      </c>
      <c r="B111" s="277">
        <v>8901.2000000000007</v>
      </c>
      <c r="C111" s="277">
        <v>10472</v>
      </c>
      <c r="D111" s="277">
        <v>5</v>
      </c>
      <c r="E111" s="277">
        <v>26</v>
      </c>
      <c r="F111" s="277" t="s">
        <v>307</v>
      </c>
      <c r="G111" s="268" t="s">
        <v>307</v>
      </c>
      <c r="H111" s="294" t="s">
        <v>240</v>
      </c>
      <c r="I111" s="279" t="s">
        <v>172</v>
      </c>
      <c r="J111" s="279" t="s">
        <v>307</v>
      </c>
      <c r="K111" s="279">
        <v>6.46</v>
      </c>
      <c r="L111" s="280" t="s">
        <v>449</v>
      </c>
      <c r="M111" s="268" t="s">
        <v>307</v>
      </c>
      <c r="N111" s="278" t="s">
        <v>303</v>
      </c>
      <c r="O111" s="279">
        <v>6.62</v>
      </c>
      <c r="P111" s="280" t="s">
        <v>307</v>
      </c>
      <c r="Q111" s="285" t="s">
        <v>450</v>
      </c>
      <c r="R111" s="315">
        <v>0.02</v>
      </c>
      <c r="S111" s="265"/>
    </row>
    <row r="112" spans="1:19">
      <c r="A112" s="269" t="s">
        <v>187</v>
      </c>
      <c r="B112" s="269">
        <v>280.5</v>
      </c>
      <c r="C112" s="269">
        <v>330</v>
      </c>
      <c r="D112" s="269"/>
      <c r="E112" s="269">
        <v>2</v>
      </c>
      <c r="F112" s="269"/>
      <c r="G112" s="268" t="s">
        <v>307</v>
      </c>
      <c r="H112" s="289" t="s">
        <v>307</v>
      </c>
      <c r="I112" s="280" t="s">
        <v>307</v>
      </c>
      <c r="J112" s="280" t="s">
        <v>307</v>
      </c>
      <c r="K112" s="309">
        <v>3</v>
      </c>
      <c r="L112" s="280" t="s">
        <v>451</v>
      </c>
      <c r="M112" s="268" t="s">
        <v>307</v>
      </c>
      <c r="N112" s="289" t="s">
        <v>188</v>
      </c>
      <c r="O112" s="280">
        <v>1.51</v>
      </c>
      <c r="P112" s="309">
        <v>0.97</v>
      </c>
      <c r="Q112" s="285" t="s">
        <v>452</v>
      </c>
      <c r="R112" s="314">
        <v>-0.5</v>
      </c>
      <c r="S112" s="265"/>
    </row>
    <row r="113" spans="1:19">
      <c r="A113" s="277" t="s">
        <v>195</v>
      </c>
      <c r="B113" s="277">
        <v>557.6</v>
      </c>
      <c r="C113" s="277">
        <v>656</v>
      </c>
      <c r="D113" s="277">
        <v>3</v>
      </c>
      <c r="E113" s="277">
        <v>2</v>
      </c>
      <c r="F113" s="277" t="s">
        <v>307</v>
      </c>
      <c r="G113" s="268" t="s">
        <v>307</v>
      </c>
      <c r="H113" s="294" t="s">
        <v>196</v>
      </c>
      <c r="I113" s="279" t="s">
        <v>172</v>
      </c>
      <c r="J113" s="279" t="s">
        <v>307</v>
      </c>
      <c r="K113" s="287">
        <v>4.5</v>
      </c>
      <c r="L113" s="280" t="s">
        <v>453</v>
      </c>
      <c r="M113" s="268" t="s">
        <v>307</v>
      </c>
      <c r="N113" s="278" t="s">
        <v>246</v>
      </c>
      <c r="O113" s="279">
        <v>6.61</v>
      </c>
      <c r="P113" s="280">
        <v>5.05</v>
      </c>
      <c r="Q113" s="285" t="s">
        <v>454</v>
      </c>
      <c r="R113" s="315">
        <v>0.47</v>
      </c>
      <c r="S113" s="265"/>
    </row>
    <row r="114" spans="1:19" hidden="1">
      <c r="A114" s="269" t="s">
        <v>200</v>
      </c>
      <c r="B114" s="269">
        <v>1089.7</v>
      </c>
      <c r="C114" s="269">
        <v>1282</v>
      </c>
      <c r="D114" s="269"/>
      <c r="E114" s="269">
        <v>2</v>
      </c>
      <c r="F114" s="269"/>
      <c r="G114" s="268" t="s">
        <v>307</v>
      </c>
      <c r="H114" s="289" t="s">
        <v>207</v>
      </c>
      <c r="I114" s="280" t="s">
        <v>172</v>
      </c>
      <c r="J114" s="280" t="s">
        <v>307</v>
      </c>
      <c r="K114" s="280">
        <v>5.31</v>
      </c>
      <c r="L114" s="280" t="s">
        <v>455</v>
      </c>
      <c r="M114" s="268" t="s">
        <v>307</v>
      </c>
      <c r="N114" s="289" t="s">
        <v>282</v>
      </c>
      <c r="O114" s="280">
        <v>4.5999999999999996</v>
      </c>
      <c r="P114" s="280">
        <v>2.0299999999999998</v>
      </c>
      <c r="Q114" s="285" t="s">
        <v>456</v>
      </c>
      <c r="R114" s="314">
        <v>-0.13</v>
      </c>
      <c r="S114" s="265"/>
    </row>
    <row r="115" spans="1:19" hidden="1">
      <c r="A115" s="277" t="s">
        <v>202</v>
      </c>
      <c r="B115" s="277">
        <v>28196.2</v>
      </c>
      <c r="C115" s="277">
        <v>33172</v>
      </c>
      <c r="D115" s="277">
        <v>190</v>
      </c>
      <c r="E115" s="277">
        <v>43</v>
      </c>
      <c r="F115" s="277" t="s">
        <v>307</v>
      </c>
      <c r="G115" s="268" t="s">
        <v>307</v>
      </c>
      <c r="H115" s="278" t="s">
        <v>203</v>
      </c>
      <c r="I115" s="279" t="s">
        <v>172</v>
      </c>
      <c r="J115" s="279" t="s">
        <v>307</v>
      </c>
      <c r="K115" s="279">
        <v>2.97</v>
      </c>
      <c r="L115" s="280" t="s">
        <v>457</v>
      </c>
      <c r="M115" s="268" t="s">
        <v>307</v>
      </c>
      <c r="N115" s="278" t="s">
        <v>204</v>
      </c>
      <c r="O115" s="279">
        <v>4.2</v>
      </c>
      <c r="P115" s="280">
        <v>3.06</v>
      </c>
      <c r="Q115" s="285" t="s">
        <v>458</v>
      </c>
      <c r="R115" s="315">
        <v>0.41</v>
      </c>
      <c r="S115" s="265"/>
    </row>
    <row r="116" spans="1:19" hidden="1">
      <c r="A116" s="269" t="s">
        <v>248</v>
      </c>
      <c r="B116" s="269">
        <v>0</v>
      </c>
      <c r="C116" s="269">
        <v>0</v>
      </c>
      <c r="D116" s="269"/>
      <c r="E116" s="269">
        <v>6</v>
      </c>
      <c r="F116" s="269"/>
      <c r="G116" s="268" t="s">
        <v>307</v>
      </c>
      <c r="H116" s="289" t="s">
        <v>307</v>
      </c>
      <c r="I116" s="280" t="s">
        <v>307</v>
      </c>
      <c r="J116" s="280" t="s">
        <v>307</v>
      </c>
      <c r="K116" s="280" t="s">
        <v>307</v>
      </c>
      <c r="L116" s="280" t="s">
        <v>320</v>
      </c>
      <c r="M116" s="268" t="s">
        <v>307</v>
      </c>
      <c r="N116" s="289" t="s">
        <v>307</v>
      </c>
      <c r="O116" s="280" t="s">
        <v>307</v>
      </c>
      <c r="P116" s="280" t="s">
        <v>307</v>
      </c>
      <c r="Q116" s="285">
        <v>0</v>
      </c>
      <c r="R116" s="285" t="s">
        <v>307</v>
      </c>
      <c r="S116" s="265"/>
    </row>
    <row r="117" spans="1:19" hidden="1">
      <c r="A117" s="277" t="s">
        <v>205</v>
      </c>
      <c r="B117" s="277">
        <v>9754.6</v>
      </c>
      <c r="C117" s="277">
        <v>11476</v>
      </c>
      <c r="D117" s="277">
        <v>2</v>
      </c>
      <c r="E117" s="277">
        <v>34</v>
      </c>
      <c r="F117" s="277" t="s">
        <v>307</v>
      </c>
      <c r="G117" s="268" t="s">
        <v>307</v>
      </c>
      <c r="H117" s="278" t="s">
        <v>250</v>
      </c>
      <c r="I117" s="279" t="s">
        <v>172</v>
      </c>
      <c r="J117" s="279" t="s">
        <v>307</v>
      </c>
      <c r="K117" s="279">
        <v>5.58</v>
      </c>
      <c r="L117" s="280" t="s">
        <v>459</v>
      </c>
      <c r="M117" s="268" t="s">
        <v>307</v>
      </c>
      <c r="N117" s="278" t="s">
        <v>208</v>
      </c>
      <c r="O117" s="279">
        <v>4.0199999999999996</v>
      </c>
      <c r="P117" s="280">
        <v>1.9</v>
      </c>
      <c r="Q117" s="285" t="s">
        <v>460</v>
      </c>
      <c r="R117" s="314">
        <v>-0.28000000000000003</v>
      </c>
      <c r="S117" s="265"/>
    </row>
    <row r="118" spans="1:19" hidden="1">
      <c r="A118" s="269" t="s">
        <v>219</v>
      </c>
      <c r="B118" s="269">
        <v>212.5</v>
      </c>
      <c r="C118" s="269">
        <v>250</v>
      </c>
      <c r="D118" s="269"/>
      <c r="E118" s="269">
        <v>2</v>
      </c>
      <c r="F118" s="269"/>
      <c r="G118" s="268" t="s">
        <v>307</v>
      </c>
      <c r="H118" s="289" t="s">
        <v>307</v>
      </c>
      <c r="I118" s="280" t="s">
        <v>307</v>
      </c>
      <c r="J118" s="280" t="s">
        <v>307</v>
      </c>
      <c r="K118" s="280" t="s">
        <v>307</v>
      </c>
      <c r="L118" s="280" t="s">
        <v>320</v>
      </c>
      <c r="M118" s="268" t="s">
        <v>307</v>
      </c>
      <c r="N118" s="289" t="s">
        <v>307</v>
      </c>
      <c r="O118" s="280" t="s">
        <v>307</v>
      </c>
      <c r="P118" s="280" t="s">
        <v>307</v>
      </c>
      <c r="Q118" s="285">
        <v>0</v>
      </c>
      <c r="R118" s="285" t="s">
        <v>307</v>
      </c>
      <c r="S118" s="265"/>
    </row>
    <row r="119" spans="1:19" hidden="1">
      <c r="A119" s="277" t="s">
        <v>221</v>
      </c>
      <c r="B119" s="277">
        <v>0</v>
      </c>
      <c r="C119" s="277">
        <v>0</v>
      </c>
      <c r="D119" s="277" t="s">
        <v>307</v>
      </c>
      <c r="E119" s="277">
        <v>2</v>
      </c>
      <c r="F119" s="277" t="s">
        <v>307</v>
      </c>
      <c r="G119" s="268" t="s">
        <v>307</v>
      </c>
      <c r="H119" s="278" t="s">
        <v>307</v>
      </c>
      <c r="I119" s="279" t="s">
        <v>307</v>
      </c>
      <c r="J119" s="279" t="s">
        <v>307</v>
      </c>
      <c r="K119" s="279" t="s">
        <v>307</v>
      </c>
      <c r="L119" s="280" t="s">
        <v>320</v>
      </c>
      <c r="M119" s="268" t="s">
        <v>307</v>
      </c>
      <c r="N119" s="278" t="s">
        <v>307</v>
      </c>
      <c r="O119" s="279" t="s">
        <v>307</v>
      </c>
      <c r="P119" s="280" t="s">
        <v>307</v>
      </c>
      <c r="Q119" s="285">
        <v>0</v>
      </c>
      <c r="R119" s="285" t="s">
        <v>307</v>
      </c>
      <c r="S119" s="265"/>
    </row>
    <row r="120" spans="1:19" hidden="1">
      <c r="A120" s="269" t="s">
        <v>224</v>
      </c>
      <c r="B120" s="269">
        <v>3119.5</v>
      </c>
      <c r="C120" s="269">
        <v>3670</v>
      </c>
      <c r="D120" s="269"/>
      <c r="E120" s="269">
        <v>12</v>
      </c>
      <c r="F120" s="269"/>
      <c r="G120" s="268" t="s">
        <v>307</v>
      </c>
      <c r="H120" s="289" t="s">
        <v>51</v>
      </c>
      <c r="I120" s="280" t="s">
        <v>168</v>
      </c>
      <c r="J120" s="280" t="s">
        <v>307</v>
      </c>
      <c r="K120" s="280">
        <v>1.77</v>
      </c>
      <c r="L120" s="280" t="s">
        <v>461</v>
      </c>
      <c r="M120" s="268" t="s">
        <v>307</v>
      </c>
      <c r="N120" s="289" t="s">
        <v>226</v>
      </c>
      <c r="O120" s="280">
        <v>2.31</v>
      </c>
      <c r="P120" s="280">
        <v>1.83</v>
      </c>
      <c r="Q120" s="285" t="s">
        <v>462</v>
      </c>
      <c r="R120" s="315">
        <v>0.31</v>
      </c>
      <c r="S120" s="265"/>
    </row>
    <row r="121" spans="1:19" hidden="1">
      <c r="A121" s="277" t="s">
        <v>227</v>
      </c>
      <c r="B121" s="277">
        <v>425</v>
      </c>
      <c r="C121" s="277">
        <v>500</v>
      </c>
      <c r="D121" s="277" t="s">
        <v>307</v>
      </c>
      <c r="E121" s="277">
        <v>2</v>
      </c>
      <c r="F121" s="277" t="s">
        <v>307</v>
      </c>
      <c r="G121" s="268" t="s">
        <v>307</v>
      </c>
      <c r="H121" s="278" t="s">
        <v>229</v>
      </c>
      <c r="I121" s="279" t="s">
        <v>168</v>
      </c>
      <c r="J121" s="279" t="s">
        <v>307</v>
      </c>
      <c r="K121" s="279">
        <v>2.64</v>
      </c>
      <c r="L121" s="280" t="s">
        <v>463</v>
      </c>
      <c r="M121" s="268" t="s">
        <v>307</v>
      </c>
      <c r="N121" s="278" t="s">
        <v>298</v>
      </c>
      <c r="O121" s="279">
        <v>4.1100000000000003</v>
      </c>
      <c r="P121" s="280">
        <v>2.1800000000000002</v>
      </c>
      <c r="Q121" s="285" t="s">
        <v>464</v>
      </c>
      <c r="R121" s="315">
        <v>0.56000000000000005</v>
      </c>
      <c r="S121" s="265"/>
    </row>
    <row r="122" spans="1:19" hidden="1">
      <c r="A122" s="269"/>
      <c r="B122" s="269">
        <v>0</v>
      </c>
      <c r="C122" s="269"/>
      <c r="D122" s="269"/>
      <c r="E122" s="269"/>
      <c r="F122" s="269"/>
      <c r="G122" s="268" t="s">
        <v>307</v>
      </c>
      <c r="H122" s="278" t="s">
        <v>307</v>
      </c>
      <c r="I122" s="279" t="s">
        <v>307</v>
      </c>
      <c r="J122" s="279" t="s">
        <v>307</v>
      </c>
      <c r="K122" s="296" t="s">
        <v>234</v>
      </c>
      <c r="L122" s="298" t="s">
        <v>465</v>
      </c>
      <c r="M122" s="311" t="s">
        <v>307</v>
      </c>
      <c r="N122" s="279" t="s">
        <v>307</v>
      </c>
      <c r="O122" s="325" t="s">
        <v>307</v>
      </c>
      <c r="P122" s="296" t="s">
        <v>234</v>
      </c>
      <c r="Q122" s="296" t="s">
        <v>466</v>
      </c>
      <c r="R122" s="326">
        <v>-0.16</v>
      </c>
      <c r="S122" s="265"/>
    </row>
  </sheetData>
  <autoFilter ref="A1:S1" xr:uid="{7CCDB66D-F3B3-46AF-9A37-1C5B7100309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3973-4C51-4DE2-AEAB-F263ABB8F81B}">
  <dimension ref="C2:K40"/>
  <sheetViews>
    <sheetView showGridLines="0" topLeftCell="A5" workbookViewId="0">
      <selection activeCell="D11" sqref="D11"/>
    </sheetView>
  </sheetViews>
  <sheetFormatPr baseColWidth="10" defaultColWidth="11.42578125" defaultRowHeight="15"/>
  <sheetData>
    <row r="2" spans="3:6" ht="45">
      <c r="C2" s="142" t="s">
        <v>467</v>
      </c>
      <c r="D2" s="139" t="s">
        <v>0</v>
      </c>
      <c r="E2" s="139" t="s">
        <v>163</v>
      </c>
      <c r="F2" s="138" t="s">
        <v>468</v>
      </c>
    </row>
    <row r="3" spans="3:6">
      <c r="C3" s="139"/>
      <c r="D3" s="141" t="s">
        <v>233</v>
      </c>
      <c r="E3" s="139">
        <v>2.5563208494675704</v>
      </c>
      <c r="F3" s="10">
        <f t="shared" ref="F3:F23" si="0">+E3+0.22</f>
        <v>2.7763208494675706</v>
      </c>
    </row>
    <row r="4" spans="3:6">
      <c r="C4" s="139"/>
      <c r="D4" s="141" t="s">
        <v>298</v>
      </c>
      <c r="E4" s="139">
        <v>1.9633464266698937</v>
      </c>
      <c r="F4" s="10">
        <f t="shared" si="0"/>
        <v>2.1833464266698939</v>
      </c>
    </row>
    <row r="5" spans="3:6">
      <c r="C5" s="141" t="s">
        <v>298</v>
      </c>
      <c r="D5" s="141" t="s">
        <v>230</v>
      </c>
      <c r="E5" s="139">
        <v>1.9633464266698937</v>
      </c>
      <c r="F5" s="10">
        <f t="shared" si="0"/>
        <v>2.1833464266698939</v>
      </c>
    </row>
    <row r="6" spans="3:6">
      <c r="C6" s="139"/>
      <c r="D6" s="141" t="s">
        <v>216</v>
      </c>
      <c r="E6" s="139">
        <v>1.3404308196088428</v>
      </c>
      <c r="F6" s="10">
        <f t="shared" si="0"/>
        <v>1.5604308196088428</v>
      </c>
    </row>
    <row r="7" spans="3:6">
      <c r="C7" s="139" t="s">
        <v>169</v>
      </c>
      <c r="D7" s="141" t="s">
        <v>169</v>
      </c>
      <c r="E7" s="139">
        <v>3.316599597685471</v>
      </c>
      <c r="F7" s="10">
        <f t="shared" si="0"/>
        <v>3.5365995976854712</v>
      </c>
    </row>
    <row r="8" spans="3:6">
      <c r="C8" s="139"/>
      <c r="D8" s="141" t="s">
        <v>170</v>
      </c>
      <c r="E8" s="139">
        <v>2.9158174612778316</v>
      </c>
      <c r="F8" s="10">
        <f t="shared" si="0"/>
        <v>3.1358174612778318</v>
      </c>
    </row>
    <row r="9" spans="3:6">
      <c r="C9" s="139"/>
      <c r="D9" s="141" t="s">
        <v>258</v>
      </c>
      <c r="E9" s="139">
        <v>2.99</v>
      </c>
      <c r="F9" s="10">
        <f t="shared" si="0"/>
        <v>3.2100000000000004</v>
      </c>
    </row>
    <row r="10" spans="3:6">
      <c r="C10" s="139"/>
      <c r="D10" s="141" t="s">
        <v>237</v>
      </c>
      <c r="E10" s="139">
        <v>2.0852506105945188</v>
      </c>
      <c r="F10" s="10">
        <f t="shared" si="0"/>
        <v>2.305250610594519</v>
      </c>
    </row>
    <row r="11" spans="3:6">
      <c r="C11" s="139"/>
      <c r="D11" s="141" t="s">
        <v>301</v>
      </c>
      <c r="E11" s="139">
        <v>1.6597532066795742</v>
      </c>
      <c r="F11" s="10">
        <f t="shared" si="0"/>
        <v>1.8797532066795741</v>
      </c>
    </row>
    <row r="12" spans="3:6">
      <c r="C12" s="139"/>
      <c r="D12" s="141" t="s">
        <v>204</v>
      </c>
      <c r="E12" s="139">
        <v>2.8360383251386412</v>
      </c>
      <c r="F12" s="10">
        <f t="shared" si="0"/>
        <v>3.0560383251386414</v>
      </c>
    </row>
    <row r="13" spans="3:6">
      <c r="C13" s="139"/>
      <c r="D13" s="141" t="s">
        <v>260</v>
      </c>
      <c r="E13" s="139">
        <v>4.24</v>
      </c>
      <c r="F13" s="10">
        <f t="shared" si="0"/>
        <v>4.46</v>
      </c>
    </row>
    <row r="14" spans="3:6">
      <c r="C14" s="139"/>
      <c r="D14" s="141" t="s">
        <v>262</v>
      </c>
      <c r="E14" s="139">
        <v>3.89</v>
      </c>
      <c r="F14" s="10">
        <f t="shared" si="0"/>
        <v>4.1100000000000003</v>
      </c>
    </row>
    <row r="15" spans="3:6">
      <c r="C15" s="139"/>
      <c r="D15" s="141" t="s">
        <v>303</v>
      </c>
      <c r="E15" s="139">
        <v>3.55</v>
      </c>
      <c r="F15" s="10">
        <f t="shared" si="0"/>
        <v>3.77</v>
      </c>
    </row>
    <row r="16" spans="3:6">
      <c r="C16" s="139" t="s">
        <v>184</v>
      </c>
      <c r="D16" s="141" t="s">
        <v>177</v>
      </c>
      <c r="E16" s="139">
        <v>2.1234332647628271</v>
      </c>
      <c r="F16" s="10">
        <f t="shared" si="0"/>
        <v>2.3434332647628273</v>
      </c>
    </row>
    <row r="17" spans="3:11">
      <c r="C17" s="139"/>
      <c r="D17" s="141" t="s">
        <v>191</v>
      </c>
      <c r="E17" s="139">
        <v>3.5627244302954337</v>
      </c>
      <c r="F17" s="10">
        <f t="shared" si="0"/>
        <v>3.7827244302954339</v>
      </c>
    </row>
    <row r="18" spans="3:11">
      <c r="C18" s="139"/>
      <c r="D18" s="141" t="s">
        <v>194</v>
      </c>
      <c r="E18" s="139">
        <v>2.4500881534365924</v>
      </c>
      <c r="F18" s="10">
        <f t="shared" si="0"/>
        <v>2.6700881534365926</v>
      </c>
    </row>
    <row r="19" spans="3:11">
      <c r="C19" s="141" t="s">
        <v>194</v>
      </c>
      <c r="D19" s="141" t="s">
        <v>243</v>
      </c>
      <c r="E19" s="139">
        <v>2.4500881534365924</v>
      </c>
      <c r="F19" s="10">
        <f t="shared" si="0"/>
        <v>2.6700881534365926</v>
      </c>
    </row>
    <row r="20" spans="3:11">
      <c r="C20" s="139"/>
      <c r="D20" s="141" t="s">
        <v>188</v>
      </c>
      <c r="E20" s="139">
        <v>0.75</v>
      </c>
      <c r="F20" s="10">
        <f t="shared" si="0"/>
        <v>0.97</v>
      </c>
    </row>
    <row r="21" spans="3:11">
      <c r="C21" s="141" t="s">
        <v>188</v>
      </c>
      <c r="D21" s="141" t="s">
        <v>263</v>
      </c>
      <c r="E21" s="139">
        <v>0.75</v>
      </c>
      <c r="F21" s="10">
        <f t="shared" si="0"/>
        <v>0.97</v>
      </c>
    </row>
    <row r="22" spans="3:11">
      <c r="C22" s="139"/>
      <c r="D22" s="141" t="s">
        <v>275</v>
      </c>
      <c r="E22" s="139">
        <v>5.0599999999999996</v>
      </c>
      <c r="F22" s="10">
        <f t="shared" si="0"/>
        <v>5.2799999999999994</v>
      </c>
    </row>
    <row r="23" spans="3:11">
      <c r="C23" s="139"/>
      <c r="D23" s="141" t="s">
        <v>174</v>
      </c>
      <c r="E23" s="139">
        <v>2.7592596308615684</v>
      </c>
      <c r="F23" s="10">
        <f t="shared" si="0"/>
        <v>2.9792596308615686</v>
      </c>
    </row>
    <row r="24" spans="3:11">
      <c r="C24" s="139" t="s">
        <v>469</v>
      </c>
      <c r="D24" s="141" t="s">
        <v>179</v>
      </c>
      <c r="E24" s="139" t="e">
        <v>#N/A</v>
      </c>
      <c r="F24" s="140">
        <v>1.504731491417457</v>
      </c>
    </row>
    <row r="25" spans="3:11">
      <c r="C25" s="139" t="s">
        <v>470</v>
      </c>
      <c r="D25" s="141" t="s">
        <v>365</v>
      </c>
      <c r="E25" s="139">
        <v>3.36</v>
      </c>
      <c r="F25" s="10">
        <f t="shared" ref="F25:F40" si="1">+E25+0.22</f>
        <v>3.58</v>
      </c>
    </row>
    <row r="26" spans="3:11">
      <c r="C26" s="139"/>
      <c r="D26" s="141" t="s">
        <v>238</v>
      </c>
      <c r="E26" s="139">
        <v>4.8547919288480159</v>
      </c>
      <c r="F26" s="10">
        <f t="shared" si="1"/>
        <v>5.0747919288480157</v>
      </c>
    </row>
    <row r="27" spans="3:11">
      <c r="C27" s="139"/>
      <c r="D27" s="141" t="s">
        <v>282</v>
      </c>
      <c r="E27" s="139">
        <v>1.8117230175231258</v>
      </c>
      <c r="F27" s="10">
        <f t="shared" si="1"/>
        <v>2.031723017523126</v>
      </c>
    </row>
    <row r="28" spans="3:11">
      <c r="C28" s="139"/>
      <c r="D28" s="141" t="s">
        <v>208</v>
      </c>
      <c r="E28" s="139">
        <v>1.6769840434471943</v>
      </c>
      <c r="F28" s="10">
        <f t="shared" si="1"/>
        <v>1.8969840434471943</v>
      </c>
    </row>
    <row r="29" spans="3:11">
      <c r="C29" s="139"/>
      <c r="D29" s="141" t="s">
        <v>201</v>
      </c>
      <c r="E29" s="139">
        <v>1.5664625248587429</v>
      </c>
      <c r="F29" s="10">
        <f t="shared" si="1"/>
        <v>1.7864625248587429</v>
      </c>
    </row>
    <row r="30" spans="3:11">
      <c r="C30" s="139"/>
      <c r="D30" s="141" t="s">
        <v>246</v>
      </c>
      <c r="E30" s="139">
        <v>4.834152607453662</v>
      </c>
      <c r="F30" s="10">
        <f t="shared" si="1"/>
        <v>5.0541526074536618</v>
      </c>
    </row>
    <row r="31" spans="3:11">
      <c r="C31" s="139"/>
      <c r="D31" s="141" t="s">
        <v>197</v>
      </c>
      <c r="E31" s="139">
        <v>4.25</v>
      </c>
      <c r="F31" s="10">
        <f t="shared" si="1"/>
        <v>4.47</v>
      </c>
      <c r="I31" s="95" t="s">
        <v>303</v>
      </c>
      <c r="J31" s="95"/>
      <c r="K31" s="209" t="s">
        <v>471</v>
      </c>
    </row>
    <row r="32" spans="3:11">
      <c r="C32" s="139"/>
      <c r="D32" s="141" t="s">
        <v>287</v>
      </c>
      <c r="E32" s="139">
        <v>4.2478609027105518</v>
      </c>
      <c r="F32" s="10">
        <f t="shared" si="1"/>
        <v>4.4678609027105516</v>
      </c>
    </row>
    <row r="33" spans="3:6">
      <c r="C33" s="139"/>
      <c r="D33" s="141" t="s">
        <v>472</v>
      </c>
      <c r="E33" s="139">
        <v>3.9245284493029238</v>
      </c>
      <c r="F33" s="10">
        <f t="shared" si="1"/>
        <v>4.144528449302924</v>
      </c>
    </row>
    <row r="34" spans="3:6">
      <c r="C34" s="139" t="s">
        <v>472</v>
      </c>
      <c r="D34" s="141" t="s">
        <v>218</v>
      </c>
      <c r="E34" s="139">
        <v>3.9245284493029238</v>
      </c>
      <c r="F34" s="10">
        <f t="shared" si="1"/>
        <v>4.144528449302924</v>
      </c>
    </row>
    <row r="35" spans="3:6">
      <c r="C35" s="139"/>
      <c r="D35" s="141" t="s">
        <v>212</v>
      </c>
      <c r="E35" s="139">
        <v>2.15</v>
      </c>
      <c r="F35" s="10">
        <f t="shared" si="1"/>
        <v>2.37</v>
      </c>
    </row>
    <row r="36" spans="3:6">
      <c r="C36" s="139" t="s">
        <v>473</v>
      </c>
      <c r="D36" s="141" t="s">
        <v>473</v>
      </c>
      <c r="E36" s="139">
        <v>2.8237743828654409</v>
      </c>
      <c r="F36" s="10">
        <f t="shared" si="1"/>
        <v>3.0437743828654411</v>
      </c>
    </row>
    <row r="37" spans="3:6">
      <c r="C37" s="139"/>
      <c r="D37" s="141" t="s">
        <v>296</v>
      </c>
      <c r="E37" s="139">
        <v>3.83</v>
      </c>
      <c r="F37" s="10">
        <f t="shared" si="1"/>
        <v>4.05</v>
      </c>
    </row>
    <row r="38" spans="3:6">
      <c r="C38" s="139" t="s">
        <v>474</v>
      </c>
      <c r="D38" s="141" t="s">
        <v>249</v>
      </c>
      <c r="E38" s="139">
        <v>1.0006960051174867</v>
      </c>
      <c r="F38" s="10">
        <f t="shared" si="1"/>
        <v>1.2206960051174867</v>
      </c>
    </row>
    <row r="39" spans="3:6">
      <c r="C39" s="139" t="s">
        <v>225</v>
      </c>
      <c r="D39" s="141" t="s">
        <v>226</v>
      </c>
      <c r="E39" s="139">
        <v>1.6066571757018397</v>
      </c>
      <c r="F39" s="10">
        <f t="shared" si="1"/>
        <v>1.8266571757018397</v>
      </c>
    </row>
    <row r="40" spans="3:6">
      <c r="C40" s="139"/>
      <c r="D40" s="141" t="s">
        <v>265</v>
      </c>
      <c r="E40" s="139">
        <v>2.3075605638915779</v>
      </c>
      <c r="F40" s="10">
        <f t="shared" si="1"/>
        <v>2.5275605638915781</v>
      </c>
    </row>
  </sheetData>
  <autoFilter ref="C2:F40" xr:uid="{A6F63973-4C51-4DE2-AEAB-F263ABB8F81B}">
    <sortState xmlns:xlrd2="http://schemas.microsoft.com/office/spreadsheetml/2017/richdata2" ref="C3:F40">
      <sortCondition ref="D2:D40"/>
    </sortState>
  </autoFilter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A67F18-E257-4005-B88E-36B0AB7C31E3}">
          <x14:formula1>
            <xm:f>'Lista PQ PECOM'!$I$3:$I$290</xm:f>
          </x14:formula1>
          <xm:sqref>I31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CA42-F64F-425B-8EA5-608F95660DB5}">
  <dimension ref="A3:I194"/>
  <sheetViews>
    <sheetView showGridLines="0" topLeftCell="A42" workbookViewId="0">
      <selection activeCell="F3" sqref="F3"/>
    </sheetView>
  </sheetViews>
  <sheetFormatPr baseColWidth="10" defaultColWidth="11.42578125" defaultRowHeight="15"/>
  <cols>
    <col min="1" max="1" width="11.42578125" style="7"/>
    <col min="2" max="2" width="16.140625" style="7" customWidth="1"/>
    <col min="3" max="3" width="11.42578125" style="7"/>
    <col min="4" max="4" width="17" style="7" bestFit="1" customWidth="1"/>
    <col min="5" max="5" width="29.7109375" style="7" bestFit="1" customWidth="1"/>
    <col min="6" max="8" width="11.42578125" style="7"/>
    <col min="9" max="9" width="17.42578125" style="7" customWidth="1"/>
    <col min="10" max="16384" width="11.42578125" style="7"/>
  </cols>
  <sheetData>
    <row r="3" spans="1:6">
      <c r="A3" s="7" t="s">
        <v>475</v>
      </c>
      <c r="B3" s="72" t="s">
        <v>476</v>
      </c>
      <c r="C3" s="72" t="s">
        <v>477</v>
      </c>
      <c r="D3" s="72" t="s">
        <v>478</v>
      </c>
      <c r="E3" s="72" t="s">
        <v>1</v>
      </c>
      <c r="F3" s="72" t="s">
        <v>479</v>
      </c>
    </row>
    <row r="4" spans="1:6">
      <c r="A4" s="7">
        <v>1</v>
      </c>
      <c r="B4" s="10" t="s">
        <v>480</v>
      </c>
      <c r="C4" s="10" t="s">
        <v>481</v>
      </c>
      <c r="D4" s="10" t="s">
        <v>167</v>
      </c>
      <c r="E4" s="10" t="s">
        <v>166</v>
      </c>
      <c r="F4" s="10"/>
    </row>
    <row r="5" spans="1:6">
      <c r="A5" s="7">
        <v>17</v>
      </c>
      <c r="B5" s="10" t="s">
        <v>480</v>
      </c>
      <c r="C5" s="10" t="s">
        <v>481</v>
      </c>
      <c r="D5" s="10" t="s">
        <v>482</v>
      </c>
      <c r="E5" s="10" t="s">
        <v>166</v>
      </c>
      <c r="F5" s="10"/>
    </row>
    <row r="6" spans="1:6">
      <c r="A6" s="7">
        <v>18</v>
      </c>
      <c r="B6" s="10" t="s">
        <v>480</v>
      </c>
      <c r="C6" s="10" t="s">
        <v>481</v>
      </c>
      <c r="D6" s="10" t="s">
        <v>483</v>
      </c>
      <c r="E6" s="10" t="s">
        <v>166</v>
      </c>
      <c r="F6" s="10"/>
    </row>
    <row r="7" spans="1:6">
      <c r="A7" s="7">
        <v>6</v>
      </c>
      <c r="B7" s="10" t="s">
        <v>480</v>
      </c>
      <c r="C7" s="10" t="s">
        <v>481</v>
      </c>
      <c r="D7" s="10" t="s">
        <v>484</v>
      </c>
      <c r="E7" s="10" t="s">
        <v>485</v>
      </c>
      <c r="F7" s="10"/>
    </row>
    <row r="8" spans="1:6">
      <c r="A8" s="7">
        <v>16</v>
      </c>
      <c r="B8" s="10" t="s">
        <v>480</v>
      </c>
      <c r="C8" s="10" t="s">
        <v>481</v>
      </c>
      <c r="D8" s="10" t="s">
        <v>486</v>
      </c>
      <c r="E8" s="10" t="s">
        <v>487</v>
      </c>
      <c r="F8" s="10"/>
    </row>
    <row r="9" spans="1:6">
      <c r="A9" s="7">
        <v>9</v>
      </c>
      <c r="B9" s="10" t="s">
        <v>480</v>
      </c>
      <c r="C9" s="10" t="s">
        <v>481</v>
      </c>
      <c r="D9" s="10" t="s">
        <v>488</v>
      </c>
      <c r="E9" s="10" t="s">
        <v>489</v>
      </c>
      <c r="F9" s="10"/>
    </row>
    <row r="10" spans="1:6">
      <c r="A10" s="7">
        <v>10</v>
      </c>
      <c r="B10" s="10" t="s">
        <v>480</v>
      </c>
      <c r="C10" s="10" t="s">
        <v>481</v>
      </c>
      <c r="D10" s="10" t="s">
        <v>490</v>
      </c>
      <c r="E10" s="10" t="s">
        <v>489</v>
      </c>
      <c r="F10" s="10"/>
    </row>
    <row r="11" spans="1:6">
      <c r="A11" s="7">
        <v>3</v>
      </c>
      <c r="B11" s="10" t="s">
        <v>480</v>
      </c>
      <c r="C11" s="10" t="s">
        <v>481</v>
      </c>
      <c r="D11" s="10" t="s">
        <v>491</v>
      </c>
      <c r="E11" s="10" t="s">
        <v>489</v>
      </c>
      <c r="F11" s="10"/>
    </row>
    <row r="12" spans="1:6">
      <c r="A12" s="7">
        <v>11</v>
      </c>
      <c r="B12" s="10" t="s">
        <v>480</v>
      </c>
      <c r="C12" s="10" t="s">
        <v>481</v>
      </c>
      <c r="D12" s="10" t="s">
        <v>13</v>
      </c>
      <c r="E12" s="10" t="s">
        <v>492</v>
      </c>
      <c r="F12" s="10"/>
    </row>
    <row r="13" spans="1:6">
      <c r="A13" s="7">
        <v>20</v>
      </c>
      <c r="B13" s="10" t="s">
        <v>480</v>
      </c>
      <c r="C13" s="10" t="s">
        <v>481</v>
      </c>
      <c r="D13" s="10" t="s">
        <v>493</v>
      </c>
      <c r="E13" s="10" t="s">
        <v>494</v>
      </c>
      <c r="F13" s="10"/>
    </row>
    <row r="14" spans="1:6">
      <c r="A14" s="7">
        <v>13</v>
      </c>
      <c r="B14" s="10" t="s">
        <v>480</v>
      </c>
      <c r="C14" s="10" t="s">
        <v>481</v>
      </c>
      <c r="D14" s="10" t="s">
        <v>495</v>
      </c>
      <c r="E14" s="10" t="s">
        <v>496</v>
      </c>
      <c r="F14" s="10"/>
    </row>
    <row r="15" spans="1:6">
      <c r="A15" s="7">
        <v>8</v>
      </c>
      <c r="B15" s="10" t="s">
        <v>480</v>
      </c>
      <c r="C15" s="10" t="s">
        <v>481</v>
      </c>
      <c r="D15" s="10" t="s">
        <v>497</v>
      </c>
      <c r="E15" s="10" t="s">
        <v>498</v>
      </c>
      <c r="F15" s="10"/>
    </row>
    <row r="16" spans="1:6">
      <c r="A16" s="7">
        <v>5</v>
      </c>
      <c r="B16" s="10" t="s">
        <v>480</v>
      </c>
      <c r="C16" s="10" t="s">
        <v>481</v>
      </c>
      <c r="D16" s="10" t="s">
        <v>499</v>
      </c>
      <c r="E16" s="10"/>
      <c r="F16" s="10"/>
    </row>
    <row r="17" spans="1:6">
      <c r="A17" s="7">
        <v>14</v>
      </c>
      <c r="B17" s="10" t="s">
        <v>480</v>
      </c>
      <c r="C17" s="10" t="s">
        <v>481</v>
      </c>
      <c r="D17" s="10" t="s">
        <v>500</v>
      </c>
      <c r="E17" s="10" t="s">
        <v>494</v>
      </c>
      <c r="F17" s="10"/>
    </row>
    <row r="18" spans="1:6">
      <c r="A18" s="7">
        <v>15</v>
      </c>
      <c r="B18" s="10" t="s">
        <v>480</v>
      </c>
      <c r="C18" s="10" t="s">
        <v>481</v>
      </c>
      <c r="D18" s="10" t="s">
        <v>501</v>
      </c>
      <c r="E18" s="10" t="s">
        <v>494</v>
      </c>
      <c r="F18" s="10"/>
    </row>
    <row r="19" spans="1:6">
      <c r="A19" s="7">
        <v>12</v>
      </c>
      <c r="B19" s="10" t="s">
        <v>480</v>
      </c>
      <c r="C19" s="10" t="s">
        <v>481</v>
      </c>
      <c r="D19" s="10" t="s">
        <v>229</v>
      </c>
      <c r="E19" s="10" t="s">
        <v>502</v>
      </c>
      <c r="F19" s="10"/>
    </row>
    <row r="20" spans="1:6">
      <c r="A20" s="7">
        <v>19</v>
      </c>
      <c r="B20" s="10" t="s">
        <v>480</v>
      </c>
      <c r="C20" s="10" t="s">
        <v>481</v>
      </c>
      <c r="D20" s="10" t="s">
        <v>284</v>
      </c>
      <c r="E20" s="10" t="s">
        <v>498</v>
      </c>
      <c r="F20" s="10"/>
    </row>
    <row r="21" spans="1:6">
      <c r="A21" s="7">
        <v>2</v>
      </c>
      <c r="B21" s="10" t="s">
        <v>480</v>
      </c>
      <c r="C21" s="10" t="s">
        <v>481</v>
      </c>
      <c r="D21" s="10" t="s">
        <v>503</v>
      </c>
      <c r="E21" s="10" t="s">
        <v>504</v>
      </c>
      <c r="F21" s="10"/>
    </row>
    <row r="22" spans="1:6">
      <c r="A22" s="7">
        <v>7</v>
      </c>
      <c r="B22" s="10" t="s">
        <v>480</v>
      </c>
      <c r="C22" s="10" t="s">
        <v>481</v>
      </c>
      <c r="D22" s="10" t="s">
        <v>505</v>
      </c>
      <c r="E22" s="10" t="s">
        <v>494</v>
      </c>
      <c r="F22" s="10"/>
    </row>
    <row r="23" spans="1:6">
      <c r="A23" s="7">
        <v>4</v>
      </c>
      <c r="B23" s="10" t="s">
        <v>480</v>
      </c>
      <c r="C23" s="10" t="s">
        <v>481</v>
      </c>
      <c r="D23" s="10" t="s">
        <v>506</v>
      </c>
      <c r="E23" s="10" t="s">
        <v>507</v>
      </c>
      <c r="F23" s="10"/>
    </row>
    <row r="24" spans="1:6">
      <c r="A24" s="7">
        <v>75</v>
      </c>
      <c r="B24" s="10" t="s">
        <v>253</v>
      </c>
      <c r="C24" s="10" t="s">
        <v>481</v>
      </c>
      <c r="D24" s="10" t="s">
        <v>49</v>
      </c>
      <c r="E24" s="10" t="s">
        <v>489</v>
      </c>
      <c r="F24" s="10">
        <v>10</v>
      </c>
    </row>
    <row r="25" spans="1:6">
      <c r="A25" s="7">
        <v>67</v>
      </c>
      <c r="B25" s="10" t="s">
        <v>253</v>
      </c>
      <c r="C25" s="10" t="s">
        <v>481</v>
      </c>
      <c r="D25" s="10" t="s">
        <v>167</v>
      </c>
      <c r="E25" s="10" t="s">
        <v>508</v>
      </c>
      <c r="F25" s="10">
        <v>20</v>
      </c>
    </row>
    <row r="26" spans="1:6">
      <c r="A26" s="7">
        <v>100</v>
      </c>
      <c r="B26" s="10" t="s">
        <v>253</v>
      </c>
      <c r="C26" s="10" t="s">
        <v>481</v>
      </c>
      <c r="D26" s="10" t="s">
        <v>167</v>
      </c>
      <c r="E26" s="10" t="s">
        <v>508</v>
      </c>
      <c r="F26" s="10">
        <v>3.9</v>
      </c>
    </row>
    <row r="27" spans="1:6">
      <c r="A27" s="7">
        <v>118</v>
      </c>
      <c r="B27" s="10" t="s">
        <v>253</v>
      </c>
      <c r="C27" s="10" t="s">
        <v>481</v>
      </c>
      <c r="D27" s="10" t="s">
        <v>167</v>
      </c>
      <c r="E27" s="10" t="s">
        <v>508</v>
      </c>
      <c r="F27" s="10">
        <v>2.6</v>
      </c>
    </row>
    <row r="28" spans="1:6">
      <c r="A28" s="7">
        <v>135</v>
      </c>
      <c r="B28" s="10" t="s">
        <v>253</v>
      </c>
      <c r="C28" s="10" t="s">
        <v>481</v>
      </c>
      <c r="D28" s="10" t="s">
        <v>167</v>
      </c>
      <c r="E28" s="10" t="s">
        <v>508</v>
      </c>
      <c r="F28" s="10">
        <v>5</v>
      </c>
    </row>
    <row r="29" spans="1:6">
      <c r="A29" s="7">
        <v>23</v>
      </c>
      <c r="B29" s="10" t="s">
        <v>253</v>
      </c>
      <c r="C29" s="10" t="s">
        <v>481</v>
      </c>
      <c r="D29" s="10" t="s">
        <v>13</v>
      </c>
      <c r="E29" s="10" t="s">
        <v>509</v>
      </c>
      <c r="F29" s="10">
        <v>40</v>
      </c>
    </row>
    <row r="30" spans="1:6">
      <c r="A30" s="7">
        <v>37</v>
      </c>
      <c r="B30" s="10" t="s">
        <v>253</v>
      </c>
      <c r="C30" s="10" t="s">
        <v>481</v>
      </c>
      <c r="D30" s="10" t="s">
        <v>13</v>
      </c>
      <c r="E30" s="10" t="s">
        <v>509</v>
      </c>
      <c r="F30" s="10">
        <v>10</v>
      </c>
    </row>
    <row r="31" spans="1:6">
      <c r="A31" s="7">
        <v>39</v>
      </c>
      <c r="B31" s="10" t="s">
        <v>253</v>
      </c>
      <c r="C31" s="10" t="s">
        <v>481</v>
      </c>
      <c r="D31" s="10" t="s">
        <v>13</v>
      </c>
      <c r="E31" s="10" t="s">
        <v>509</v>
      </c>
      <c r="F31" s="10">
        <v>12</v>
      </c>
    </row>
    <row r="32" spans="1:6">
      <c r="A32" s="7">
        <v>40</v>
      </c>
      <c r="B32" s="10" t="s">
        <v>253</v>
      </c>
      <c r="C32" s="10" t="s">
        <v>481</v>
      </c>
      <c r="D32" s="10" t="s">
        <v>13</v>
      </c>
      <c r="E32" s="10" t="s">
        <v>509</v>
      </c>
      <c r="F32" s="10">
        <v>12</v>
      </c>
    </row>
    <row r="33" spans="1:6">
      <c r="A33" s="7">
        <v>42</v>
      </c>
      <c r="B33" s="10" t="s">
        <v>253</v>
      </c>
      <c r="C33" s="10" t="s">
        <v>481</v>
      </c>
      <c r="D33" s="10" t="s">
        <v>13</v>
      </c>
      <c r="E33" s="10" t="s">
        <v>509</v>
      </c>
      <c r="F33" s="10">
        <v>10</v>
      </c>
    </row>
    <row r="34" spans="1:6">
      <c r="A34" s="7">
        <v>43</v>
      </c>
      <c r="B34" s="10" t="s">
        <v>253</v>
      </c>
      <c r="C34" s="10" t="s">
        <v>481</v>
      </c>
      <c r="D34" s="10" t="s">
        <v>13</v>
      </c>
      <c r="E34" s="10" t="s">
        <v>509</v>
      </c>
      <c r="F34" s="10">
        <v>12</v>
      </c>
    </row>
    <row r="35" spans="1:6">
      <c r="A35" s="7">
        <v>45</v>
      </c>
      <c r="B35" s="10" t="s">
        <v>253</v>
      </c>
      <c r="C35" s="10" t="s">
        <v>481</v>
      </c>
      <c r="D35" s="10" t="s">
        <v>13</v>
      </c>
      <c r="E35" s="10" t="s">
        <v>509</v>
      </c>
      <c r="F35" s="10">
        <v>8</v>
      </c>
    </row>
    <row r="36" spans="1:6">
      <c r="A36" s="7">
        <v>46</v>
      </c>
      <c r="B36" s="10" t="s">
        <v>253</v>
      </c>
      <c r="C36" s="10" t="s">
        <v>481</v>
      </c>
      <c r="D36" s="10" t="s">
        <v>13</v>
      </c>
      <c r="E36" s="10" t="s">
        <v>509</v>
      </c>
      <c r="F36" s="10">
        <v>15</v>
      </c>
    </row>
    <row r="37" spans="1:6">
      <c r="A37" s="7">
        <v>47</v>
      </c>
      <c r="B37" s="10" t="s">
        <v>253</v>
      </c>
      <c r="C37" s="10" t="s">
        <v>481</v>
      </c>
      <c r="D37" s="10" t="s">
        <v>13</v>
      </c>
      <c r="E37" s="10" t="s">
        <v>509</v>
      </c>
      <c r="F37" s="10">
        <v>10</v>
      </c>
    </row>
    <row r="38" spans="1:6">
      <c r="A38" s="7">
        <v>82</v>
      </c>
      <c r="B38" s="10" t="s">
        <v>253</v>
      </c>
      <c r="C38" s="10" t="s">
        <v>481</v>
      </c>
      <c r="D38" s="10" t="s">
        <v>13</v>
      </c>
      <c r="E38" s="10" t="s">
        <v>509</v>
      </c>
      <c r="F38" s="10">
        <v>25</v>
      </c>
    </row>
    <row r="39" spans="1:6">
      <c r="A39" s="7">
        <v>83</v>
      </c>
      <c r="B39" s="10" t="s">
        <v>253</v>
      </c>
      <c r="C39" s="10" t="s">
        <v>481</v>
      </c>
      <c r="D39" s="10" t="s">
        <v>13</v>
      </c>
      <c r="E39" s="10" t="s">
        <v>509</v>
      </c>
      <c r="F39" s="10">
        <v>10</v>
      </c>
    </row>
    <row r="40" spans="1:6">
      <c r="A40" s="7">
        <v>92</v>
      </c>
      <c r="B40" s="10" t="s">
        <v>253</v>
      </c>
      <c r="C40" s="10" t="s">
        <v>481</v>
      </c>
      <c r="D40" s="10" t="s">
        <v>13</v>
      </c>
      <c r="E40" s="10" t="s">
        <v>509</v>
      </c>
      <c r="F40" s="10">
        <v>16</v>
      </c>
    </row>
    <row r="41" spans="1:6">
      <c r="A41" s="7">
        <v>97</v>
      </c>
      <c r="B41" s="10" t="s">
        <v>253</v>
      </c>
      <c r="C41" s="10" t="s">
        <v>481</v>
      </c>
      <c r="D41" s="10" t="s">
        <v>13</v>
      </c>
      <c r="E41" s="10" t="s">
        <v>509</v>
      </c>
      <c r="F41" s="10">
        <v>20</v>
      </c>
    </row>
    <row r="42" spans="1:6">
      <c r="A42" s="7">
        <v>105</v>
      </c>
      <c r="B42" s="10" t="s">
        <v>253</v>
      </c>
      <c r="C42" s="10" t="s">
        <v>481</v>
      </c>
      <c r="D42" s="10" t="s">
        <v>13</v>
      </c>
      <c r="E42" s="10" t="s">
        <v>509</v>
      </c>
      <c r="F42" s="10">
        <v>15</v>
      </c>
    </row>
    <row r="43" spans="1:6">
      <c r="A43" s="7">
        <v>123</v>
      </c>
      <c r="B43" s="10" t="s">
        <v>253</v>
      </c>
      <c r="C43" s="10" t="s">
        <v>481</v>
      </c>
      <c r="D43" s="10" t="s">
        <v>13</v>
      </c>
      <c r="E43" s="10" t="s">
        <v>509</v>
      </c>
      <c r="F43" s="10">
        <v>15</v>
      </c>
    </row>
    <row r="44" spans="1:6">
      <c r="A44" s="7">
        <v>129</v>
      </c>
      <c r="B44" s="10" t="s">
        <v>253</v>
      </c>
      <c r="C44" s="10" t="s">
        <v>481</v>
      </c>
      <c r="D44" s="10" t="s">
        <v>13</v>
      </c>
      <c r="E44" s="10" t="s">
        <v>509</v>
      </c>
      <c r="F44" s="10">
        <v>15</v>
      </c>
    </row>
    <row r="45" spans="1:6">
      <c r="A45" s="7">
        <v>131</v>
      </c>
      <c r="B45" s="10" t="s">
        <v>253</v>
      </c>
      <c r="C45" s="10" t="s">
        <v>481</v>
      </c>
      <c r="D45" s="10" t="s">
        <v>13</v>
      </c>
      <c r="E45" s="10" t="s">
        <v>509</v>
      </c>
      <c r="F45" s="10">
        <v>15</v>
      </c>
    </row>
    <row r="46" spans="1:6">
      <c r="A46" s="7">
        <v>139</v>
      </c>
      <c r="B46" s="10" t="s">
        <v>253</v>
      </c>
      <c r="C46" s="10" t="s">
        <v>481</v>
      </c>
      <c r="D46" s="10" t="s">
        <v>13</v>
      </c>
      <c r="E46" s="10" t="s">
        <v>509</v>
      </c>
      <c r="F46" s="10">
        <v>20</v>
      </c>
    </row>
    <row r="47" spans="1:6">
      <c r="A47" s="7">
        <v>153</v>
      </c>
      <c r="B47" s="10" t="s">
        <v>253</v>
      </c>
      <c r="C47" s="10" t="s">
        <v>481</v>
      </c>
      <c r="D47" s="10" t="s">
        <v>13</v>
      </c>
      <c r="E47" s="10" t="s">
        <v>509</v>
      </c>
      <c r="F47" s="10">
        <v>9</v>
      </c>
    </row>
    <row r="48" spans="1:6">
      <c r="A48" s="7">
        <v>154</v>
      </c>
      <c r="B48" s="10" t="s">
        <v>253</v>
      </c>
      <c r="C48" s="10" t="s">
        <v>481</v>
      </c>
      <c r="D48" s="10" t="s">
        <v>13</v>
      </c>
      <c r="E48" s="10" t="s">
        <v>509</v>
      </c>
      <c r="F48" s="10">
        <v>14</v>
      </c>
    </row>
    <row r="49" spans="1:9">
      <c r="A49" s="7">
        <v>155</v>
      </c>
      <c r="B49" s="10" t="s">
        <v>253</v>
      </c>
      <c r="C49" s="10" t="s">
        <v>481</v>
      </c>
      <c r="D49" s="10" t="s">
        <v>13</v>
      </c>
      <c r="E49" s="10" t="s">
        <v>509</v>
      </c>
      <c r="F49" s="10">
        <v>8</v>
      </c>
    </row>
    <row r="50" spans="1:9">
      <c r="A50" s="7">
        <v>156</v>
      </c>
      <c r="B50" s="10" t="s">
        <v>253</v>
      </c>
      <c r="C50" s="10" t="s">
        <v>481</v>
      </c>
      <c r="D50" s="10" t="s">
        <v>13</v>
      </c>
      <c r="E50" s="10" t="s">
        <v>509</v>
      </c>
      <c r="F50" s="10">
        <v>10</v>
      </c>
    </row>
    <row r="51" spans="1:9">
      <c r="A51" s="7">
        <v>157</v>
      </c>
      <c r="B51" s="10" t="s">
        <v>253</v>
      </c>
      <c r="C51" s="10" t="s">
        <v>481</v>
      </c>
      <c r="D51" s="10" t="s">
        <v>13</v>
      </c>
      <c r="E51" s="10" t="s">
        <v>509</v>
      </c>
      <c r="F51" s="10">
        <v>10</v>
      </c>
      <c r="I51"/>
    </row>
    <row r="52" spans="1:9">
      <c r="A52" s="7">
        <v>183</v>
      </c>
      <c r="B52" s="10" t="s">
        <v>253</v>
      </c>
      <c r="C52" s="10" t="s">
        <v>481</v>
      </c>
      <c r="D52" s="10" t="s">
        <v>13</v>
      </c>
      <c r="E52" s="10" t="s">
        <v>509</v>
      </c>
      <c r="F52" s="10">
        <v>15</v>
      </c>
      <c r="I52"/>
    </row>
    <row r="53" spans="1:9">
      <c r="A53" s="7">
        <v>52</v>
      </c>
      <c r="B53" s="10" t="s">
        <v>253</v>
      </c>
      <c r="C53" s="10" t="s">
        <v>481</v>
      </c>
      <c r="D53" s="10" t="s">
        <v>493</v>
      </c>
      <c r="E53" s="10" t="s">
        <v>494</v>
      </c>
      <c r="F53" s="10">
        <v>8</v>
      </c>
      <c r="I53"/>
    </row>
    <row r="54" spans="1:9">
      <c r="A54" s="7">
        <v>69</v>
      </c>
      <c r="B54" s="10" t="s">
        <v>253</v>
      </c>
      <c r="C54" s="10" t="s">
        <v>481</v>
      </c>
      <c r="D54" s="10" t="s">
        <v>493</v>
      </c>
      <c r="E54" s="10" t="s">
        <v>494</v>
      </c>
      <c r="F54" s="10">
        <v>9</v>
      </c>
      <c r="I54"/>
    </row>
    <row r="55" spans="1:9">
      <c r="A55" s="7">
        <v>104</v>
      </c>
      <c r="B55" s="10" t="s">
        <v>253</v>
      </c>
      <c r="C55" s="10" t="s">
        <v>481</v>
      </c>
      <c r="D55" s="10" t="s">
        <v>493</v>
      </c>
      <c r="E55" s="10" t="s">
        <v>494</v>
      </c>
      <c r="F55" s="10">
        <v>6</v>
      </c>
      <c r="I55"/>
    </row>
    <row r="56" spans="1:9">
      <c r="A56" s="7">
        <v>116</v>
      </c>
      <c r="B56" s="10" t="s">
        <v>253</v>
      </c>
      <c r="C56" s="10" t="s">
        <v>481</v>
      </c>
      <c r="D56" s="10" t="s">
        <v>493</v>
      </c>
      <c r="E56" s="10" t="s">
        <v>494</v>
      </c>
      <c r="F56" s="10">
        <v>7</v>
      </c>
      <c r="I56"/>
    </row>
    <row r="57" spans="1:9">
      <c r="A57" s="7">
        <v>136</v>
      </c>
      <c r="B57" s="10" t="s">
        <v>253</v>
      </c>
      <c r="C57" s="10" t="s">
        <v>481</v>
      </c>
      <c r="D57" s="10" t="s">
        <v>493</v>
      </c>
      <c r="E57" s="10" t="s">
        <v>494</v>
      </c>
      <c r="F57" s="10">
        <v>6</v>
      </c>
      <c r="I57"/>
    </row>
    <row r="58" spans="1:9">
      <c r="A58" s="7">
        <v>149</v>
      </c>
      <c r="B58" s="10" t="s">
        <v>253</v>
      </c>
      <c r="C58" s="10" t="s">
        <v>481</v>
      </c>
      <c r="D58" s="10" t="s">
        <v>493</v>
      </c>
      <c r="E58" s="10" t="s">
        <v>494</v>
      </c>
      <c r="F58" s="10">
        <v>8</v>
      </c>
      <c r="I58"/>
    </row>
    <row r="59" spans="1:9">
      <c r="A59" s="7">
        <v>140</v>
      </c>
      <c r="B59" s="10" t="s">
        <v>253</v>
      </c>
      <c r="C59" s="10" t="s">
        <v>481</v>
      </c>
      <c r="D59" s="10" t="s">
        <v>51</v>
      </c>
      <c r="E59" s="10" t="s">
        <v>494</v>
      </c>
      <c r="F59" s="10">
        <v>6</v>
      </c>
      <c r="I59"/>
    </row>
    <row r="60" spans="1:9">
      <c r="A60" s="7">
        <v>24</v>
      </c>
      <c r="B60" s="10" t="s">
        <v>253</v>
      </c>
      <c r="C60" s="10" t="s">
        <v>481</v>
      </c>
      <c r="D60" s="10" t="s">
        <v>255</v>
      </c>
      <c r="E60" s="10" t="s">
        <v>510</v>
      </c>
      <c r="F60" s="10">
        <v>25</v>
      </c>
      <c r="I60"/>
    </row>
    <row r="61" spans="1:9">
      <c r="A61" s="7">
        <v>32</v>
      </c>
      <c r="B61" s="10" t="s">
        <v>253</v>
      </c>
      <c r="C61" s="10" t="s">
        <v>481</v>
      </c>
      <c r="D61" s="10" t="s">
        <v>255</v>
      </c>
      <c r="E61" s="10" t="s">
        <v>510</v>
      </c>
      <c r="F61" s="10">
        <v>30</v>
      </c>
      <c r="I61"/>
    </row>
    <row r="62" spans="1:9">
      <c r="A62" s="7">
        <v>33</v>
      </c>
      <c r="B62" s="10" t="s">
        <v>253</v>
      </c>
      <c r="C62" s="10" t="s">
        <v>481</v>
      </c>
      <c r="D62" s="10" t="s">
        <v>255</v>
      </c>
      <c r="E62" s="10" t="s">
        <v>510</v>
      </c>
      <c r="F62" s="10">
        <v>30</v>
      </c>
      <c r="I62"/>
    </row>
    <row r="63" spans="1:9">
      <c r="A63" s="7">
        <v>35</v>
      </c>
      <c r="B63" s="10" t="s">
        <v>253</v>
      </c>
      <c r="C63" s="10" t="s">
        <v>481</v>
      </c>
      <c r="D63" s="10" t="s">
        <v>255</v>
      </c>
      <c r="E63" s="10" t="s">
        <v>510</v>
      </c>
      <c r="F63" s="10">
        <v>30</v>
      </c>
      <c r="I63"/>
    </row>
    <row r="64" spans="1:9">
      <c r="A64" s="7">
        <v>50</v>
      </c>
      <c r="B64" s="10" t="s">
        <v>253</v>
      </c>
      <c r="C64" s="10" t="s">
        <v>481</v>
      </c>
      <c r="D64" s="10" t="s">
        <v>255</v>
      </c>
      <c r="E64" s="10" t="s">
        <v>510</v>
      </c>
      <c r="F64" s="10">
        <v>10</v>
      </c>
      <c r="I64"/>
    </row>
    <row r="65" spans="1:9">
      <c r="A65" s="7">
        <v>73</v>
      </c>
      <c r="B65" s="10" t="s">
        <v>253</v>
      </c>
      <c r="C65" s="10" t="s">
        <v>481</v>
      </c>
      <c r="D65" s="10" t="s">
        <v>255</v>
      </c>
      <c r="E65" s="10" t="s">
        <v>510</v>
      </c>
      <c r="F65" s="10">
        <v>15</v>
      </c>
      <c r="I65"/>
    </row>
    <row r="66" spans="1:9">
      <c r="A66" s="7">
        <v>78</v>
      </c>
      <c r="B66" s="10" t="s">
        <v>253</v>
      </c>
      <c r="C66" s="10" t="s">
        <v>481</v>
      </c>
      <c r="D66" s="10" t="s">
        <v>255</v>
      </c>
      <c r="E66" s="10" t="s">
        <v>510</v>
      </c>
      <c r="F66" s="10">
        <v>10</v>
      </c>
      <c r="I66"/>
    </row>
    <row r="67" spans="1:9">
      <c r="A67" s="7">
        <v>81</v>
      </c>
      <c r="B67" s="10" t="s">
        <v>253</v>
      </c>
      <c r="C67" s="10" t="s">
        <v>481</v>
      </c>
      <c r="D67" s="10" t="s">
        <v>255</v>
      </c>
      <c r="E67" s="10" t="s">
        <v>510</v>
      </c>
      <c r="F67" s="10">
        <v>10</v>
      </c>
      <c r="I67"/>
    </row>
    <row r="68" spans="1:9">
      <c r="A68" s="7">
        <v>110</v>
      </c>
      <c r="B68" s="10" t="s">
        <v>253</v>
      </c>
      <c r="C68" s="10" t="s">
        <v>481</v>
      </c>
      <c r="D68" s="10" t="s">
        <v>255</v>
      </c>
      <c r="E68" s="10" t="s">
        <v>510</v>
      </c>
      <c r="F68" s="10">
        <v>10</v>
      </c>
      <c r="I68"/>
    </row>
    <row r="69" spans="1:9">
      <c r="A69" s="7">
        <v>120</v>
      </c>
      <c r="B69" s="10" t="s">
        <v>253</v>
      </c>
      <c r="C69" s="10" t="s">
        <v>481</v>
      </c>
      <c r="D69" s="10" t="s">
        <v>255</v>
      </c>
      <c r="E69" s="10" t="s">
        <v>510</v>
      </c>
      <c r="F69" s="10">
        <v>15</v>
      </c>
      <c r="I69"/>
    </row>
    <row r="70" spans="1:9">
      <c r="A70" s="7">
        <v>145</v>
      </c>
      <c r="B70" s="10" t="s">
        <v>253</v>
      </c>
      <c r="C70" s="10" t="s">
        <v>481</v>
      </c>
      <c r="D70" s="10" t="s">
        <v>255</v>
      </c>
      <c r="E70" s="10" t="s">
        <v>510</v>
      </c>
      <c r="F70" s="10">
        <v>8</v>
      </c>
      <c r="I70"/>
    </row>
    <row r="71" spans="1:9">
      <c r="A71" s="7">
        <v>164</v>
      </c>
      <c r="B71" s="10" t="s">
        <v>253</v>
      </c>
      <c r="C71" s="10" t="s">
        <v>481</v>
      </c>
      <c r="D71" s="10" t="s">
        <v>255</v>
      </c>
      <c r="E71" s="10" t="s">
        <v>510</v>
      </c>
      <c r="F71" s="10">
        <v>10</v>
      </c>
      <c r="I71"/>
    </row>
    <row r="72" spans="1:9">
      <c r="A72" s="7">
        <v>171</v>
      </c>
      <c r="B72" s="10" t="s">
        <v>253</v>
      </c>
      <c r="C72" s="10" t="s">
        <v>481</v>
      </c>
      <c r="D72" s="10" t="s">
        <v>255</v>
      </c>
      <c r="E72" s="10" t="s">
        <v>510</v>
      </c>
      <c r="F72" s="10">
        <v>15</v>
      </c>
      <c r="I72"/>
    </row>
    <row r="73" spans="1:9">
      <c r="A73" s="7">
        <v>51</v>
      </c>
      <c r="B73" s="10" t="s">
        <v>253</v>
      </c>
      <c r="C73" s="10" t="s">
        <v>481</v>
      </c>
      <c r="D73" s="10" t="s">
        <v>40</v>
      </c>
      <c r="E73" s="10" t="s">
        <v>508</v>
      </c>
      <c r="F73" s="10">
        <v>12</v>
      </c>
      <c r="I73"/>
    </row>
    <row r="74" spans="1:9">
      <c r="A74" s="7">
        <v>68</v>
      </c>
      <c r="B74" s="10" t="s">
        <v>253</v>
      </c>
      <c r="C74" s="10" t="s">
        <v>481</v>
      </c>
      <c r="D74" s="10" t="s">
        <v>40</v>
      </c>
      <c r="E74" s="10" t="s">
        <v>508</v>
      </c>
      <c r="F74" s="10">
        <v>11</v>
      </c>
      <c r="I74"/>
    </row>
    <row r="75" spans="1:9">
      <c r="A75" s="7">
        <v>77</v>
      </c>
      <c r="B75" s="10" t="s">
        <v>253</v>
      </c>
      <c r="C75" s="10" t="s">
        <v>481</v>
      </c>
      <c r="D75" s="10" t="s">
        <v>40</v>
      </c>
      <c r="E75" s="10" t="s">
        <v>508</v>
      </c>
      <c r="F75" s="10">
        <v>15</v>
      </c>
      <c r="I75"/>
    </row>
    <row r="76" spans="1:9">
      <c r="A76" s="7">
        <v>95</v>
      </c>
      <c r="B76" s="10" t="s">
        <v>253</v>
      </c>
      <c r="C76" s="10" t="s">
        <v>481</v>
      </c>
      <c r="D76" s="10" t="s">
        <v>40</v>
      </c>
      <c r="E76" s="10" t="s">
        <v>508</v>
      </c>
      <c r="F76" s="10">
        <v>15</v>
      </c>
      <c r="I76"/>
    </row>
    <row r="77" spans="1:9">
      <c r="A77" s="7">
        <v>96</v>
      </c>
      <c r="B77" s="10" t="s">
        <v>253</v>
      </c>
      <c r="C77" s="10" t="s">
        <v>481</v>
      </c>
      <c r="D77" s="10" t="s">
        <v>40</v>
      </c>
      <c r="E77" s="10" t="s">
        <v>508</v>
      </c>
      <c r="F77" s="10">
        <v>15</v>
      </c>
      <c r="I77"/>
    </row>
    <row r="78" spans="1:9">
      <c r="A78" s="7">
        <v>102</v>
      </c>
      <c r="B78" s="10" t="s">
        <v>253</v>
      </c>
      <c r="C78" s="10" t="s">
        <v>481</v>
      </c>
      <c r="D78" s="10" t="s">
        <v>40</v>
      </c>
      <c r="E78" s="10" t="s">
        <v>508</v>
      </c>
      <c r="F78" s="10">
        <v>2.6</v>
      </c>
      <c r="I78"/>
    </row>
    <row r="79" spans="1:9">
      <c r="A79" s="7">
        <v>117</v>
      </c>
      <c r="B79" s="10" t="s">
        <v>253</v>
      </c>
      <c r="C79" s="10" t="s">
        <v>481</v>
      </c>
      <c r="D79" s="10" t="s">
        <v>40</v>
      </c>
      <c r="E79" s="10" t="s">
        <v>508</v>
      </c>
      <c r="F79" s="10">
        <v>3.9</v>
      </c>
      <c r="I79"/>
    </row>
    <row r="80" spans="1:9">
      <c r="A80" s="7">
        <v>137</v>
      </c>
      <c r="B80" s="10" t="s">
        <v>253</v>
      </c>
      <c r="C80" s="10" t="s">
        <v>481</v>
      </c>
      <c r="D80" s="10" t="s">
        <v>40</v>
      </c>
      <c r="E80" s="10" t="s">
        <v>508</v>
      </c>
      <c r="F80" s="10">
        <v>2.6</v>
      </c>
      <c r="I80"/>
    </row>
    <row r="81" spans="1:9">
      <c r="A81" s="7">
        <v>147</v>
      </c>
      <c r="B81" s="10" t="s">
        <v>253</v>
      </c>
      <c r="C81" s="10" t="s">
        <v>481</v>
      </c>
      <c r="D81" s="10" t="s">
        <v>40</v>
      </c>
      <c r="E81" s="10" t="s">
        <v>508</v>
      </c>
      <c r="F81" s="10">
        <v>3</v>
      </c>
      <c r="I81"/>
    </row>
    <row r="82" spans="1:9">
      <c r="A82" s="7">
        <v>151</v>
      </c>
      <c r="B82" s="10" t="s">
        <v>253</v>
      </c>
      <c r="C82" s="10" t="s">
        <v>481</v>
      </c>
      <c r="D82" s="10" t="s">
        <v>40</v>
      </c>
      <c r="E82" s="10" t="s">
        <v>508</v>
      </c>
      <c r="F82" s="10">
        <v>3</v>
      </c>
      <c r="I82"/>
    </row>
    <row r="83" spans="1:9">
      <c r="A83" s="7">
        <v>121</v>
      </c>
      <c r="B83" s="10" t="s">
        <v>253</v>
      </c>
      <c r="C83" s="10" t="s">
        <v>481</v>
      </c>
      <c r="D83" s="10" t="s">
        <v>511</v>
      </c>
      <c r="E83" s="10"/>
      <c r="F83" s="10">
        <v>15</v>
      </c>
      <c r="I83"/>
    </row>
    <row r="84" spans="1:9">
      <c r="A84" s="7">
        <v>122</v>
      </c>
      <c r="B84" s="10" t="s">
        <v>253</v>
      </c>
      <c r="C84" s="10" t="s">
        <v>481</v>
      </c>
      <c r="D84" s="10" t="s">
        <v>511</v>
      </c>
      <c r="E84" s="10"/>
      <c r="F84" s="10">
        <v>15</v>
      </c>
      <c r="I84"/>
    </row>
    <row r="85" spans="1:9">
      <c r="A85" s="7">
        <v>127</v>
      </c>
      <c r="B85" s="10" t="s">
        <v>253</v>
      </c>
      <c r="C85" s="10" t="s">
        <v>481</v>
      </c>
      <c r="D85" s="10" t="s">
        <v>511</v>
      </c>
      <c r="E85" s="10"/>
      <c r="F85" s="10">
        <v>20</v>
      </c>
      <c r="I85"/>
    </row>
    <row r="86" spans="1:9">
      <c r="A86" s="7">
        <v>170</v>
      </c>
      <c r="B86" s="10" t="s">
        <v>253</v>
      </c>
      <c r="C86" s="10" t="s">
        <v>481</v>
      </c>
      <c r="D86" s="10" t="s">
        <v>512</v>
      </c>
      <c r="E86" s="10" t="s">
        <v>485</v>
      </c>
      <c r="F86" s="10">
        <v>10</v>
      </c>
      <c r="I86"/>
    </row>
    <row r="87" spans="1:9">
      <c r="A87" s="7">
        <v>65</v>
      </c>
      <c r="B87" s="10" t="s">
        <v>253</v>
      </c>
      <c r="C87" s="10" t="s">
        <v>481</v>
      </c>
      <c r="D87" s="10" t="s">
        <v>43</v>
      </c>
      <c r="E87" s="10" t="s">
        <v>485</v>
      </c>
      <c r="F87" s="10">
        <v>10</v>
      </c>
      <c r="I87"/>
    </row>
    <row r="88" spans="1:9">
      <c r="A88" s="7">
        <v>99</v>
      </c>
      <c r="B88" s="10" t="s">
        <v>253</v>
      </c>
      <c r="C88" s="10" t="s">
        <v>481</v>
      </c>
      <c r="D88" s="10" t="s">
        <v>43</v>
      </c>
      <c r="E88" s="10" t="s">
        <v>485</v>
      </c>
      <c r="F88" s="10">
        <v>15</v>
      </c>
      <c r="I88"/>
    </row>
    <row r="89" spans="1:9">
      <c r="A89" s="7">
        <v>119</v>
      </c>
      <c r="B89" s="10" t="s">
        <v>253</v>
      </c>
      <c r="C89" s="10" t="s">
        <v>481</v>
      </c>
      <c r="D89" s="10" t="s">
        <v>43</v>
      </c>
      <c r="E89" s="10" t="s">
        <v>485</v>
      </c>
      <c r="F89" s="10">
        <v>12</v>
      </c>
      <c r="I89"/>
    </row>
    <row r="90" spans="1:9">
      <c r="A90" s="7">
        <v>128</v>
      </c>
      <c r="B90" s="10" t="s">
        <v>253</v>
      </c>
      <c r="C90" s="10" t="s">
        <v>481</v>
      </c>
      <c r="D90" s="10" t="s">
        <v>43</v>
      </c>
      <c r="E90" s="10" t="s">
        <v>485</v>
      </c>
      <c r="F90" s="10">
        <v>18</v>
      </c>
      <c r="I90"/>
    </row>
    <row r="91" spans="1:9">
      <c r="A91" s="7">
        <v>133</v>
      </c>
      <c r="B91" s="10" t="s">
        <v>253</v>
      </c>
      <c r="C91" s="10" t="s">
        <v>481</v>
      </c>
      <c r="D91" s="10" t="s">
        <v>43</v>
      </c>
      <c r="E91" s="10" t="s">
        <v>485</v>
      </c>
      <c r="F91" s="10">
        <v>25</v>
      </c>
      <c r="I91"/>
    </row>
    <row r="92" spans="1:9">
      <c r="A92" s="7">
        <v>138</v>
      </c>
      <c r="B92" s="10" t="s">
        <v>253</v>
      </c>
      <c r="C92" s="10" t="s">
        <v>481</v>
      </c>
      <c r="D92" s="10" t="s">
        <v>43</v>
      </c>
      <c r="E92" s="10" t="s">
        <v>485</v>
      </c>
      <c r="F92" s="10">
        <v>25</v>
      </c>
      <c r="I92"/>
    </row>
    <row r="93" spans="1:9">
      <c r="A93" s="7">
        <v>144</v>
      </c>
      <c r="B93" s="10" t="s">
        <v>253</v>
      </c>
      <c r="C93" s="10" t="s">
        <v>481</v>
      </c>
      <c r="D93" s="10" t="s">
        <v>43</v>
      </c>
      <c r="E93" s="10" t="s">
        <v>485</v>
      </c>
      <c r="F93" s="10">
        <v>15</v>
      </c>
      <c r="I93"/>
    </row>
    <row r="94" spans="1:9">
      <c r="A94" s="7">
        <v>74</v>
      </c>
      <c r="B94" s="10" t="s">
        <v>253</v>
      </c>
      <c r="C94" s="10" t="s">
        <v>481</v>
      </c>
      <c r="D94" s="10" t="s">
        <v>44</v>
      </c>
      <c r="E94" s="10" t="s">
        <v>513</v>
      </c>
      <c r="F94" s="10">
        <v>12</v>
      </c>
      <c r="I94"/>
    </row>
    <row r="95" spans="1:9">
      <c r="A95" s="7">
        <v>176</v>
      </c>
      <c r="B95" s="10" t="s">
        <v>253</v>
      </c>
      <c r="C95" s="10" t="s">
        <v>481</v>
      </c>
      <c r="D95" s="10" t="s">
        <v>44</v>
      </c>
      <c r="E95" s="10" t="s">
        <v>513</v>
      </c>
      <c r="F95" s="10">
        <v>20</v>
      </c>
      <c r="I95"/>
    </row>
    <row r="96" spans="1:9">
      <c r="A96" s="7">
        <v>177</v>
      </c>
      <c r="B96" s="10" t="s">
        <v>253</v>
      </c>
      <c r="C96" s="10" t="s">
        <v>481</v>
      </c>
      <c r="D96" s="10" t="s">
        <v>44</v>
      </c>
      <c r="E96" s="10" t="s">
        <v>513</v>
      </c>
      <c r="F96" s="10">
        <v>35</v>
      </c>
      <c r="I96"/>
    </row>
    <row r="97" spans="1:9">
      <c r="A97" s="7">
        <v>178</v>
      </c>
      <c r="B97" s="10" t="s">
        <v>253</v>
      </c>
      <c r="C97" s="10" t="s">
        <v>481</v>
      </c>
      <c r="D97" s="10" t="s">
        <v>44</v>
      </c>
      <c r="E97" s="10" t="s">
        <v>513</v>
      </c>
      <c r="F97" s="10">
        <v>35</v>
      </c>
      <c r="I97"/>
    </row>
    <row r="98" spans="1:9">
      <c r="A98" s="7">
        <v>172</v>
      </c>
      <c r="B98" s="10" t="s">
        <v>253</v>
      </c>
      <c r="C98" s="10" t="s">
        <v>481</v>
      </c>
      <c r="D98" s="10" t="s">
        <v>52</v>
      </c>
      <c r="E98" s="10" t="s">
        <v>513</v>
      </c>
      <c r="F98" s="10">
        <v>20</v>
      </c>
      <c r="I98"/>
    </row>
    <row r="99" spans="1:9">
      <c r="A99" s="7">
        <v>175</v>
      </c>
      <c r="B99" s="10" t="s">
        <v>253</v>
      </c>
      <c r="C99" s="10" t="s">
        <v>481</v>
      </c>
      <c r="D99" s="10" t="s">
        <v>52</v>
      </c>
      <c r="E99" s="10" t="s">
        <v>513</v>
      </c>
      <c r="F99" s="10">
        <v>16</v>
      </c>
      <c r="I99"/>
    </row>
    <row r="100" spans="1:9">
      <c r="A100" s="7">
        <v>103</v>
      </c>
      <c r="B100" s="10" t="s">
        <v>253</v>
      </c>
      <c r="C100" s="10" t="s">
        <v>481</v>
      </c>
      <c r="D100" s="10" t="s">
        <v>514</v>
      </c>
      <c r="E100" s="10" t="s">
        <v>498</v>
      </c>
      <c r="F100" s="10">
        <v>12</v>
      </c>
      <c r="I100"/>
    </row>
    <row r="101" spans="1:9">
      <c r="A101" s="7">
        <v>106</v>
      </c>
      <c r="B101" s="10" t="s">
        <v>253</v>
      </c>
      <c r="C101" s="10" t="s">
        <v>481</v>
      </c>
      <c r="D101" s="10" t="s">
        <v>514</v>
      </c>
      <c r="E101" s="10" t="s">
        <v>498</v>
      </c>
      <c r="F101" s="10">
        <v>12</v>
      </c>
      <c r="I101"/>
    </row>
    <row r="102" spans="1:9">
      <c r="A102" s="7">
        <v>108</v>
      </c>
      <c r="B102" s="10" t="s">
        <v>253</v>
      </c>
      <c r="C102" s="10" t="s">
        <v>481</v>
      </c>
      <c r="D102" s="10" t="s">
        <v>514</v>
      </c>
      <c r="E102" s="10" t="s">
        <v>498</v>
      </c>
      <c r="F102" s="10">
        <v>12</v>
      </c>
      <c r="I102"/>
    </row>
    <row r="103" spans="1:9">
      <c r="A103" s="7">
        <v>143</v>
      </c>
      <c r="B103" s="10" t="s">
        <v>253</v>
      </c>
      <c r="C103" s="10" t="s">
        <v>481</v>
      </c>
      <c r="D103" s="10" t="s">
        <v>514</v>
      </c>
      <c r="E103" s="10" t="s">
        <v>498</v>
      </c>
      <c r="F103" s="10">
        <v>12</v>
      </c>
      <c r="I103"/>
    </row>
    <row r="104" spans="1:9">
      <c r="A104" s="7">
        <v>152</v>
      </c>
      <c r="B104" s="10" t="s">
        <v>253</v>
      </c>
      <c r="C104" s="10" t="s">
        <v>481</v>
      </c>
      <c r="D104" s="10" t="s">
        <v>514</v>
      </c>
      <c r="E104" s="10" t="s">
        <v>498</v>
      </c>
      <c r="F104" s="10">
        <v>9</v>
      </c>
      <c r="I104"/>
    </row>
    <row r="105" spans="1:9">
      <c r="A105" s="7">
        <v>162</v>
      </c>
      <c r="B105" s="10" t="s">
        <v>253</v>
      </c>
      <c r="C105" s="10" t="s">
        <v>481</v>
      </c>
      <c r="D105" s="10" t="s">
        <v>514</v>
      </c>
      <c r="E105" s="10" t="s">
        <v>498</v>
      </c>
      <c r="F105" s="10">
        <v>25</v>
      </c>
      <c r="I105"/>
    </row>
    <row r="106" spans="1:9">
      <c r="A106" s="7">
        <v>168</v>
      </c>
      <c r="B106" s="10" t="s">
        <v>253</v>
      </c>
      <c r="C106" s="10" t="s">
        <v>481</v>
      </c>
      <c r="D106" s="10" t="s">
        <v>514</v>
      </c>
      <c r="E106" s="10" t="s">
        <v>498</v>
      </c>
      <c r="F106" s="10">
        <v>60</v>
      </c>
      <c r="I106"/>
    </row>
    <row r="107" spans="1:9">
      <c r="A107" s="7">
        <v>71</v>
      </c>
      <c r="B107" s="10" t="s">
        <v>253</v>
      </c>
      <c r="C107" s="10" t="s">
        <v>481</v>
      </c>
      <c r="D107" s="10" t="s">
        <v>19</v>
      </c>
      <c r="E107" s="10" t="s">
        <v>515</v>
      </c>
      <c r="F107" s="10">
        <v>50</v>
      </c>
      <c r="I107"/>
    </row>
    <row r="108" spans="1:9">
      <c r="A108" s="7">
        <v>72</v>
      </c>
      <c r="B108" s="10" t="s">
        <v>253</v>
      </c>
      <c r="C108" s="10" t="s">
        <v>481</v>
      </c>
      <c r="D108" s="10" t="s">
        <v>19</v>
      </c>
      <c r="E108" s="10" t="s">
        <v>515</v>
      </c>
      <c r="F108" s="10">
        <v>9</v>
      </c>
      <c r="I108"/>
    </row>
    <row r="109" spans="1:9">
      <c r="A109" s="7">
        <v>84</v>
      </c>
      <c r="B109" s="10" t="s">
        <v>253</v>
      </c>
      <c r="C109" s="10" t="s">
        <v>481</v>
      </c>
      <c r="D109" s="10" t="s">
        <v>19</v>
      </c>
      <c r="E109" s="10" t="s">
        <v>515</v>
      </c>
      <c r="F109" s="10">
        <v>15</v>
      </c>
      <c r="I109"/>
    </row>
    <row r="110" spans="1:9">
      <c r="A110" s="7">
        <v>85</v>
      </c>
      <c r="B110" s="10" t="s">
        <v>253</v>
      </c>
      <c r="C110" s="10" t="s">
        <v>481</v>
      </c>
      <c r="D110" s="10" t="s">
        <v>19</v>
      </c>
      <c r="E110" s="10" t="s">
        <v>515</v>
      </c>
      <c r="F110" s="10">
        <v>20</v>
      </c>
      <c r="I110"/>
    </row>
    <row r="111" spans="1:9">
      <c r="A111" s="7">
        <v>86</v>
      </c>
      <c r="B111" s="10" t="s">
        <v>253</v>
      </c>
      <c r="C111" s="10" t="s">
        <v>481</v>
      </c>
      <c r="D111" s="10" t="s">
        <v>19</v>
      </c>
      <c r="E111" s="10" t="s">
        <v>515</v>
      </c>
      <c r="F111" s="10">
        <v>18</v>
      </c>
      <c r="I111"/>
    </row>
    <row r="112" spans="1:9">
      <c r="A112" s="7">
        <v>87</v>
      </c>
      <c r="B112" s="10" t="s">
        <v>253</v>
      </c>
      <c r="C112" s="10" t="s">
        <v>481</v>
      </c>
      <c r="D112" s="10" t="s">
        <v>19</v>
      </c>
      <c r="E112" s="10" t="s">
        <v>515</v>
      </c>
      <c r="F112" s="10">
        <v>18</v>
      </c>
      <c r="I112"/>
    </row>
    <row r="113" spans="1:9">
      <c r="A113" s="7">
        <v>88</v>
      </c>
      <c r="B113" s="10" t="s">
        <v>253</v>
      </c>
      <c r="C113" s="10" t="s">
        <v>481</v>
      </c>
      <c r="D113" s="10" t="s">
        <v>19</v>
      </c>
      <c r="E113" s="10" t="s">
        <v>515</v>
      </c>
      <c r="F113" s="10">
        <v>15</v>
      </c>
      <c r="I113"/>
    </row>
    <row r="114" spans="1:9">
      <c r="A114" s="7">
        <v>89</v>
      </c>
      <c r="B114" s="10" t="s">
        <v>253</v>
      </c>
      <c r="C114" s="10" t="s">
        <v>481</v>
      </c>
      <c r="D114" s="10" t="s">
        <v>19</v>
      </c>
      <c r="E114" s="10" t="s">
        <v>515</v>
      </c>
      <c r="F114" s="10">
        <v>12</v>
      </c>
      <c r="I114"/>
    </row>
    <row r="115" spans="1:9">
      <c r="A115" s="7">
        <v>90</v>
      </c>
      <c r="B115" s="10" t="s">
        <v>253</v>
      </c>
      <c r="C115" s="10" t="s">
        <v>481</v>
      </c>
      <c r="D115" s="10" t="s">
        <v>19</v>
      </c>
      <c r="E115" s="10" t="s">
        <v>515</v>
      </c>
      <c r="F115" s="10">
        <v>12</v>
      </c>
      <c r="I115"/>
    </row>
    <row r="116" spans="1:9">
      <c r="A116" s="7">
        <v>91</v>
      </c>
      <c r="B116" s="10" t="s">
        <v>253</v>
      </c>
      <c r="C116" s="10" t="s">
        <v>481</v>
      </c>
      <c r="D116" s="10" t="s">
        <v>19</v>
      </c>
      <c r="E116" s="10" t="s">
        <v>515</v>
      </c>
      <c r="F116" s="10">
        <v>10</v>
      </c>
      <c r="I116"/>
    </row>
    <row r="117" spans="1:9">
      <c r="A117" s="7">
        <v>115</v>
      </c>
      <c r="B117" s="10" t="s">
        <v>253</v>
      </c>
      <c r="C117" s="10" t="s">
        <v>481</v>
      </c>
      <c r="D117" s="10" t="s">
        <v>19</v>
      </c>
      <c r="E117" s="10" t="s">
        <v>515</v>
      </c>
      <c r="F117" s="10">
        <v>9</v>
      </c>
      <c r="I117"/>
    </row>
    <row r="118" spans="1:9">
      <c r="A118" s="7">
        <v>186</v>
      </c>
      <c r="B118" s="10" t="s">
        <v>253</v>
      </c>
      <c r="C118" s="10" t="s">
        <v>481</v>
      </c>
      <c r="D118" s="10" t="s">
        <v>19</v>
      </c>
      <c r="E118" s="10" t="s">
        <v>515</v>
      </c>
      <c r="F118" s="10">
        <v>6</v>
      </c>
      <c r="I118"/>
    </row>
    <row r="119" spans="1:9">
      <c r="A119" s="7">
        <v>189</v>
      </c>
      <c r="B119" s="10" t="s">
        <v>253</v>
      </c>
      <c r="C119" s="10" t="s">
        <v>481</v>
      </c>
      <c r="D119" s="10" t="s">
        <v>19</v>
      </c>
      <c r="E119" s="10" t="s">
        <v>515</v>
      </c>
      <c r="F119" s="10">
        <v>12</v>
      </c>
      <c r="I119"/>
    </row>
    <row r="120" spans="1:9">
      <c r="A120" s="7">
        <v>53</v>
      </c>
      <c r="B120" s="10" t="s">
        <v>253</v>
      </c>
      <c r="C120" s="10" t="s">
        <v>481</v>
      </c>
      <c r="D120" s="10" t="s">
        <v>32</v>
      </c>
      <c r="E120" s="10" t="s">
        <v>515</v>
      </c>
      <c r="F120" s="10">
        <v>15</v>
      </c>
      <c r="I120"/>
    </row>
    <row r="121" spans="1:9">
      <c r="A121" s="7">
        <v>61</v>
      </c>
      <c r="B121" s="10" t="s">
        <v>253</v>
      </c>
      <c r="C121" s="10" t="s">
        <v>481</v>
      </c>
      <c r="D121" s="10" t="s">
        <v>32</v>
      </c>
      <c r="E121" s="10" t="s">
        <v>515</v>
      </c>
      <c r="F121" s="10">
        <v>20</v>
      </c>
      <c r="I121"/>
    </row>
    <row r="122" spans="1:9">
      <c r="A122" s="7">
        <v>80</v>
      </c>
      <c r="B122" s="10" t="s">
        <v>253</v>
      </c>
      <c r="C122" s="10" t="s">
        <v>481</v>
      </c>
      <c r="D122" s="10" t="s">
        <v>32</v>
      </c>
      <c r="E122" s="10" t="s">
        <v>515</v>
      </c>
      <c r="F122" s="10">
        <v>15</v>
      </c>
      <c r="I122"/>
    </row>
    <row r="123" spans="1:9">
      <c r="A123" s="7">
        <v>98</v>
      </c>
      <c r="B123" s="10" t="s">
        <v>253</v>
      </c>
      <c r="C123" s="10" t="s">
        <v>481</v>
      </c>
      <c r="D123" s="10" t="s">
        <v>32</v>
      </c>
      <c r="E123" s="10" t="s">
        <v>515</v>
      </c>
      <c r="F123" s="10">
        <v>20</v>
      </c>
      <c r="I123"/>
    </row>
    <row r="124" spans="1:9">
      <c r="A124" s="7">
        <v>181</v>
      </c>
      <c r="B124" s="10" t="s">
        <v>253</v>
      </c>
      <c r="C124" s="10" t="s">
        <v>481</v>
      </c>
      <c r="D124" s="10" t="s">
        <v>32</v>
      </c>
      <c r="E124" s="10" t="s">
        <v>515</v>
      </c>
      <c r="F124" s="10">
        <v>22</v>
      </c>
      <c r="I124"/>
    </row>
    <row r="125" spans="1:9">
      <c r="A125" s="7">
        <v>28</v>
      </c>
      <c r="B125" s="10" t="s">
        <v>253</v>
      </c>
      <c r="C125" s="10" t="s">
        <v>481</v>
      </c>
      <c r="D125" s="10" t="s">
        <v>57</v>
      </c>
      <c r="E125" s="10" t="s">
        <v>516</v>
      </c>
      <c r="F125" s="10">
        <v>15</v>
      </c>
      <c r="I125"/>
    </row>
    <row r="126" spans="1:9">
      <c r="A126" s="7">
        <v>34</v>
      </c>
      <c r="B126" s="10" t="s">
        <v>253</v>
      </c>
      <c r="C126" s="10" t="s">
        <v>481</v>
      </c>
      <c r="D126" s="10" t="s">
        <v>57</v>
      </c>
      <c r="E126" s="10" t="s">
        <v>516</v>
      </c>
      <c r="F126" s="10">
        <v>16</v>
      </c>
      <c r="I126"/>
    </row>
    <row r="127" spans="1:9">
      <c r="A127" s="7">
        <v>41</v>
      </c>
      <c r="B127" s="10" t="s">
        <v>253</v>
      </c>
      <c r="C127" s="10" t="s">
        <v>481</v>
      </c>
      <c r="D127" s="10" t="s">
        <v>57</v>
      </c>
      <c r="E127" s="10" t="s">
        <v>516</v>
      </c>
      <c r="F127" s="10">
        <v>10</v>
      </c>
      <c r="I127"/>
    </row>
    <row r="128" spans="1:9">
      <c r="A128" s="7">
        <v>179</v>
      </c>
      <c r="B128" s="10" t="s">
        <v>253</v>
      </c>
      <c r="C128" s="10" t="s">
        <v>481</v>
      </c>
      <c r="D128" s="10" t="s">
        <v>192</v>
      </c>
      <c r="E128" s="10"/>
      <c r="F128" s="10">
        <v>3</v>
      </c>
      <c r="I128"/>
    </row>
    <row r="129" spans="1:9">
      <c r="A129" s="7">
        <v>158</v>
      </c>
      <c r="B129" s="10" t="s">
        <v>253</v>
      </c>
      <c r="C129" s="10" t="s">
        <v>481</v>
      </c>
      <c r="D129" s="10" t="s">
        <v>517</v>
      </c>
      <c r="E129" s="10" t="s">
        <v>518</v>
      </c>
      <c r="F129" s="10">
        <v>12</v>
      </c>
      <c r="I129"/>
    </row>
    <row r="130" spans="1:9">
      <c r="A130" s="7">
        <v>112</v>
      </c>
      <c r="B130" s="10" t="s">
        <v>253</v>
      </c>
      <c r="C130" s="10" t="s">
        <v>481</v>
      </c>
      <c r="D130" s="10" t="s">
        <v>519</v>
      </c>
      <c r="E130" s="10" t="s">
        <v>518</v>
      </c>
      <c r="F130" s="10">
        <v>45</v>
      </c>
      <c r="I130"/>
    </row>
    <row r="131" spans="1:9">
      <c r="A131" s="7">
        <v>62</v>
      </c>
      <c r="B131" s="10" t="s">
        <v>253</v>
      </c>
      <c r="C131" s="10" t="s">
        <v>481</v>
      </c>
      <c r="D131" s="10" t="s">
        <v>186</v>
      </c>
      <c r="E131" s="10" t="s">
        <v>518</v>
      </c>
      <c r="F131" s="10">
        <v>25</v>
      </c>
      <c r="I131"/>
    </row>
    <row r="132" spans="1:9">
      <c r="A132" s="7">
        <v>64</v>
      </c>
      <c r="B132" s="10" t="s">
        <v>253</v>
      </c>
      <c r="C132" s="10" t="s">
        <v>481</v>
      </c>
      <c r="D132" s="10" t="s">
        <v>186</v>
      </c>
      <c r="E132" s="10" t="s">
        <v>518</v>
      </c>
      <c r="F132" s="10">
        <v>15</v>
      </c>
      <c r="I132"/>
    </row>
    <row r="133" spans="1:9">
      <c r="A133" s="7">
        <v>70</v>
      </c>
      <c r="B133" s="10" t="s">
        <v>253</v>
      </c>
      <c r="C133" s="10" t="s">
        <v>481</v>
      </c>
      <c r="D133" s="10" t="s">
        <v>186</v>
      </c>
      <c r="E133" s="10" t="s">
        <v>518</v>
      </c>
      <c r="F133" s="10">
        <v>30</v>
      </c>
      <c r="I133"/>
    </row>
    <row r="134" spans="1:9">
      <c r="A134" s="7">
        <v>76</v>
      </c>
      <c r="B134" s="10" t="s">
        <v>253</v>
      </c>
      <c r="C134" s="10" t="s">
        <v>481</v>
      </c>
      <c r="D134" s="10" t="s">
        <v>186</v>
      </c>
      <c r="E134" s="10" t="s">
        <v>518</v>
      </c>
      <c r="F134" s="10">
        <v>15</v>
      </c>
      <c r="I134"/>
    </row>
    <row r="135" spans="1:9">
      <c r="A135" s="7">
        <v>107</v>
      </c>
      <c r="B135" s="10" t="s">
        <v>253</v>
      </c>
      <c r="C135" s="10" t="s">
        <v>481</v>
      </c>
      <c r="D135" s="10" t="s">
        <v>186</v>
      </c>
      <c r="E135" s="10" t="s">
        <v>518</v>
      </c>
      <c r="F135" s="10">
        <v>12</v>
      </c>
      <c r="I135"/>
    </row>
    <row r="136" spans="1:9">
      <c r="A136" s="7">
        <v>111</v>
      </c>
      <c r="B136" s="10" t="s">
        <v>253</v>
      </c>
      <c r="C136" s="10" t="s">
        <v>481</v>
      </c>
      <c r="D136" s="10" t="s">
        <v>186</v>
      </c>
      <c r="E136" s="10" t="s">
        <v>518</v>
      </c>
      <c r="F136" s="10">
        <v>35</v>
      </c>
      <c r="I136"/>
    </row>
    <row r="137" spans="1:9">
      <c r="A137" s="7">
        <v>113</v>
      </c>
      <c r="B137" s="10" t="s">
        <v>253</v>
      </c>
      <c r="C137" s="10" t="s">
        <v>481</v>
      </c>
      <c r="D137" s="10" t="s">
        <v>520</v>
      </c>
      <c r="E137" s="10" t="s">
        <v>518</v>
      </c>
      <c r="F137" s="10">
        <v>6</v>
      </c>
      <c r="I137"/>
    </row>
    <row r="138" spans="1:9">
      <c r="A138" s="7">
        <v>114</v>
      </c>
      <c r="B138" s="10" t="s">
        <v>253</v>
      </c>
      <c r="C138" s="10" t="s">
        <v>481</v>
      </c>
      <c r="D138" s="10" t="s">
        <v>520</v>
      </c>
      <c r="E138" s="10" t="s">
        <v>518</v>
      </c>
      <c r="F138" s="10">
        <v>9</v>
      </c>
      <c r="I138"/>
    </row>
    <row r="139" spans="1:9">
      <c r="A139" s="7">
        <v>125</v>
      </c>
      <c r="B139" s="10" t="s">
        <v>253</v>
      </c>
      <c r="C139" s="10" t="s">
        <v>481</v>
      </c>
      <c r="D139" s="10" t="s">
        <v>520</v>
      </c>
      <c r="E139" s="10" t="s">
        <v>518</v>
      </c>
      <c r="F139" s="10">
        <v>12</v>
      </c>
      <c r="I139"/>
    </row>
    <row r="140" spans="1:9">
      <c r="A140" s="7">
        <v>126</v>
      </c>
      <c r="B140" s="10" t="s">
        <v>253</v>
      </c>
      <c r="C140" s="10" t="s">
        <v>481</v>
      </c>
      <c r="D140" s="10" t="s">
        <v>520</v>
      </c>
      <c r="E140" s="10" t="s">
        <v>518</v>
      </c>
      <c r="F140" s="10">
        <v>15</v>
      </c>
      <c r="I140"/>
    </row>
    <row r="141" spans="1:9">
      <c r="A141" s="7">
        <v>132</v>
      </c>
      <c r="B141" s="10" t="s">
        <v>253</v>
      </c>
      <c r="C141" s="10" t="s">
        <v>481</v>
      </c>
      <c r="D141" s="10" t="s">
        <v>520</v>
      </c>
      <c r="E141" s="10" t="s">
        <v>518</v>
      </c>
      <c r="F141" s="10">
        <v>30</v>
      </c>
      <c r="I141"/>
    </row>
    <row r="142" spans="1:9">
      <c r="A142" s="7">
        <v>141</v>
      </c>
      <c r="B142" s="10" t="s">
        <v>253</v>
      </c>
      <c r="C142" s="10" t="s">
        <v>481</v>
      </c>
      <c r="D142" s="10" t="s">
        <v>520</v>
      </c>
      <c r="E142" s="10" t="s">
        <v>518</v>
      </c>
      <c r="F142" s="10">
        <v>8</v>
      </c>
      <c r="I142"/>
    </row>
    <row r="143" spans="1:9">
      <c r="A143" s="7">
        <v>182</v>
      </c>
      <c r="B143" s="10" t="s">
        <v>253</v>
      </c>
      <c r="C143" s="10" t="s">
        <v>481</v>
      </c>
      <c r="D143" s="10" t="s">
        <v>521</v>
      </c>
      <c r="E143" s="10" t="s">
        <v>518</v>
      </c>
      <c r="F143" s="10">
        <v>30</v>
      </c>
      <c r="I143"/>
    </row>
    <row r="144" spans="1:9">
      <c r="A144" s="7">
        <v>161</v>
      </c>
      <c r="B144" s="10" t="s">
        <v>253</v>
      </c>
      <c r="C144" s="10" t="s">
        <v>481</v>
      </c>
      <c r="D144" s="10" t="s">
        <v>522</v>
      </c>
      <c r="E144" s="10" t="s">
        <v>518</v>
      </c>
      <c r="F144" s="10">
        <v>20</v>
      </c>
      <c r="I144"/>
    </row>
    <row r="145" spans="1:9">
      <c r="A145" s="7">
        <v>163</v>
      </c>
      <c r="B145" s="10" t="s">
        <v>253</v>
      </c>
      <c r="C145" s="10" t="s">
        <v>481</v>
      </c>
      <c r="D145" s="10" t="s">
        <v>523</v>
      </c>
      <c r="E145" s="10" t="s">
        <v>518</v>
      </c>
      <c r="F145" s="10">
        <v>8</v>
      </c>
      <c r="I145"/>
    </row>
    <row r="146" spans="1:9">
      <c r="A146" s="7">
        <v>165</v>
      </c>
      <c r="B146" s="10" t="s">
        <v>253</v>
      </c>
      <c r="C146" s="10" t="s">
        <v>481</v>
      </c>
      <c r="D146" s="10" t="s">
        <v>30</v>
      </c>
      <c r="E146" s="10" t="s">
        <v>518</v>
      </c>
      <c r="F146" s="10">
        <v>5</v>
      </c>
      <c r="I146"/>
    </row>
    <row r="147" spans="1:9">
      <c r="A147" s="7">
        <v>166</v>
      </c>
      <c r="B147" s="10" t="s">
        <v>253</v>
      </c>
      <c r="C147" s="10" t="s">
        <v>481</v>
      </c>
      <c r="D147" s="10" t="s">
        <v>30</v>
      </c>
      <c r="E147" s="10" t="s">
        <v>518</v>
      </c>
      <c r="F147" s="10">
        <v>5</v>
      </c>
      <c r="I147"/>
    </row>
    <row r="148" spans="1:9">
      <c r="A148" s="7">
        <v>167</v>
      </c>
      <c r="B148" s="10" t="s">
        <v>253</v>
      </c>
      <c r="C148" s="10" t="s">
        <v>481</v>
      </c>
      <c r="D148" s="10" t="s">
        <v>30</v>
      </c>
      <c r="E148" s="10" t="s">
        <v>518</v>
      </c>
      <c r="F148" s="10">
        <v>10</v>
      </c>
      <c r="I148"/>
    </row>
    <row r="149" spans="1:9">
      <c r="A149" s="7">
        <v>169</v>
      </c>
      <c r="B149" s="10" t="s">
        <v>253</v>
      </c>
      <c r="C149" s="10" t="s">
        <v>481</v>
      </c>
      <c r="D149" s="10" t="s">
        <v>30</v>
      </c>
      <c r="E149" s="10" t="s">
        <v>518</v>
      </c>
      <c r="F149" s="10">
        <v>30</v>
      </c>
      <c r="I149"/>
    </row>
    <row r="150" spans="1:9">
      <c r="A150" s="7">
        <v>174</v>
      </c>
      <c r="B150" s="10" t="s">
        <v>253</v>
      </c>
      <c r="C150" s="10" t="s">
        <v>481</v>
      </c>
      <c r="D150" s="10" t="s">
        <v>30</v>
      </c>
      <c r="E150" s="10" t="s">
        <v>518</v>
      </c>
      <c r="F150" s="10">
        <v>15</v>
      </c>
      <c r="I150"/>
    </row>
    <row r="151" spans="1:9">
      <c r="A151" s="7">
        <v>48</v>
      </c>
      <c r="B151" s="10" t="s">
        <v>253</v>
      </c>
      <c r="C151" s="10" t="s">
        <v>481</v>
      </c>
      <c r="D151" s="10" t="s">
        <v>25</v>
      </c>
      <c r="E151" s="10" t="s">
        <v>518</v>
      </c>
      <c r="F151" s="10">
        <v>25</v>
      </c>
      <c r="I151"/>
    </row>
    <row r="152" spans="1:9">
      <c r="A152" s="7">
        <v>58</v>
      </c>
      <c r="B152" s="10" t="s">
        <v>253</v>
      </c>
      <c r="C152" s="10" t="s">
        <v>481</v>
      </c>
      <c r="D152" s="10" t="s">
        <v>25</v>
      </c>
      <c r="E152" s="10" t="s">
        <v>518</v>
      </c>
      <c r="F152" s="10">
        <v>10</v>
      </c>
      <c r="I152"/>
    </row>
    <row r="153" spans="1:9">
      <c r="A153" s="7">
        <v>59</v>
      </c>
      <c r="B153" s="10" t="s">
        <v>253</v>
      </c>
      <c r="C153" s="10" t="s">
        <v>481</v>
      </c>
      <c r="D153" s="10" t="s">
        <v>25</v>
      </c>
      <c r="E153" s="10" t="s">
        <v>518</v>
      </c>
      <c r="F153" s="10">
        <v>6</v>
      </c>
      <c r="I153"/>
    </row>
    <row r="154" spans="1:9">
      <c r="A154" s="7">
        <v>60</v>
      </c>
      <c r="B154" s="10" t="s">
        <v>253</v>
      </c>
      <c r="C154" s="10" t="s">
        <v>481</v>
      </c>
      <c r="D154" s="10" t="s">
        <v>25</v>
      </c>
      <c r="E154" s="10" t="s">
        <v>518</v>
      </c>
      <c r="F154" s="10">
        <v>15</v>
      </c>
      <c r="I154"/>
    </row>
    <row r="155" spans="1:9">
      <c r="A155" s="7">
        <v>109</v>
      </c>
      <c r="B155" s="10" t="s">
        <v>253</v>
      </c>
      <c r="C155" s="10" t="s">
        <v>481</v>
      </c>
      <c r="D155" s="10" t="s">
        <v>25</v>
      </c>
      <c r="E155" s="10" t="s">
        <v>518</v>
      </c>
      <c r="F155" s="10">
        <v>8</v>
      </c>
      <c r="I155"/>
    </row>
    <row r="156" spans="1:9">
      <c r="A156" s="7">
        <v>180</v>
      </c>
      <c r="B156" s="10" t="s">
        <v>253</v>
      </c>
      <c r="C156" s="10" t="s">
        <v>481</v>
      </c>
      <c r="D156" s="10" t="s">
        <v>25</v>
      </c>
      <c r="E156" s="10" t="s">
        <v>518</v>
      </c>
      <c r="F156" s="10">
        <v>40</v>
      </c>
      <c r="I156"/>
    </row>
    <row r="157" spans="1:9">
      <c r="A157" s="7">
        <v>184</v>
      </c>
      <c r="B157" s="10" t="s">
        <v>253</v>
      </c>
      <c r="C157" s="10" t="s">
        <v>481</v>
      </c>
      <c r="D157" s="10" t="s">
        <v>25</v>
      </c>
      <c r="E157" s="10" t="s">
        <v>518</v>
      </c>
      <c r="F157" s="10">
        <v>40</v>
      </c>
      <c r="I157"/>
    </row>
    <row r="158" spans="1:9">
      <c r="A158" s="7">
        <v>185</v>
      </c>
      <c r="B158" s="10" t="s">
        <v>253</v>
      </c>
      <c r="C158" s="10" t="s">
        <v>481</v>
      </c>
      <c r="D158" s="10" t="s">
        <v>25</v>
      </c>
      <c r="E158" s="10" t="s">
        <v>518</v>
      </c>
      <c r="F158" s="10">
        <v>40</v>
      </c>
      <c r="I158"/>
    </row>
    <row r="159" spans="1:9">
      <c r="A159" s="7">
        <v>44</v>
      </c>
      <c r="B159" s="10" t="s">
        <v>253</v>
      </c>
      <c r="C159" s="10" t="s">
        <v>481</v>
      </c>
      <c r="D159" s="10" t="s">
        <v>524</v>
      </c>
      <c r="E159" s="10" t="s">
        <v>518</v>
      </c>
      <c r="F159" s="10">
        <v>12</v>
      </c>
      <c r="I159"/>
    </row>
    <row r="160" spans="1:9">
      <c r="A160" s="7">
        <v>134</v>
      </c>
      <c r="B160" s="10" t="s">
        <v>253</v>
      </c>
      <c r="C160" s="10" t="s">
        <v>481</v>
      </c>
      <c r="D160" s="10" t="s">
        <v>525</v>
      </c>
      <c r="E160" s="10" t="s">
        <v>518</v>
      </c>
      <c r="F160" s="10">
        <v>15</v>
      </c>
      <c r="I160"/>
    </row>
    <row r="161" spans="1:9">
      <c r="A161" s="7">
        <v>29</v>
      </c>
      <c r="B161" s="10" t="s">
        <v>253</v>
      </c>
      <c r="C161" s="10" t="s">
        <v>481</v>
      </c>
      <c r="D161" s="10" t="s">
        <v>526</v>
      </c>
      <c r="E161" s="10" t="s">
        <v>502</v>
      </c>
      <c r="F161" s="10">
        <v>40</v>
      </c>
      <c r="I161"/>
    </row>
    <row r="162" spans="1:9">
      <c r="A162" s="7">
        <v>30</v>
      </c>
      <c r="B162" s="10" t="s">
        <v>253</v>
      </c>
      <c r="C162" s="10" t="s">
        <v>481</v>
      </c>
      <c r="D162" s="10" t="s">
        <v>526</v>
      </c>
      <c r="E162" s="10" t="s">
        <v>502</v>
      </c>
      <c r="F162" s="10">
        <v>45</v>
      </c>
      <c r="I162"/>
    </row>
    <row r="163" spans="1:9">
      <c r="A163" s="7">
        <v>31</v>
      </c>
      <c r="B163" s="10" t="s">
        <v>253</v>
      </c>
      <c r="C163" s="10" t="s">
        <v>481</v>
      </c>
      <c r="D163" s="10" t="s">
        <v>526</v>
      </c>
      <c r="E163" s="10" t="s">
        <v>502</v>
      </c>
      <c r="F163" s="10">
        <v>45</v>
      </c>
      <c r="I163"/>
    </row>
    <row r="164" spans="1:9">
      <c r="A164" s="7">
        <v>173</v>
      </c>
      <c r="B164" s="10" t="s">
        <v>253</v>
      </c>
      <c r="C164" s="10" t="s">
        <v>481</v>
      </c>
      <c r="D164" s="10" t="s">
        <v>527</v>
      </c>
      <c r="E164" s="10" t="s">
        <v>502</v>
      </c>
      <c r="F164" s="10">
        <v>55</v>
      </c>
      <c r="I164"/>
    </row>
    <row r="165" spans="1:9">
      <c r="A165" s="7">
        <v>190</v>
      </c>
      <c r="B165" s="10" t="s">
        <v>253</v>
      </c>
      <c r="C165" s="10" t="s">
        <v>481</v>
      </c>
      <c r="D165" s="10" t="s">
        <v>527</v>
      </c>
      <c r="E165" s="10" t="s">
        <v>502</v>
      </c>
      <c r="F165" s="10">
        <v>15</v>
      </c>
      <c r="I165"/>
    </row>
    <row r="166" spans="1:9">
      <c r="A166" s="7">
        <v>49</v>
      </c>
      <c r="B166" s="10" t="s">
        <v>253</v>
      </c>
      <c r="C166" s="10" t="s">
        <v>481</v>
      </c>
      <c r="D166" s="10" t="s">
        <v>284</v>
      </c>
      <c r="E166" s="10" t="s">
        <v>498</v>
      </c>
      <c r="F166" s="10">
        <v>6</v>
      </c>
      <c r="I166"/>
    </row>
    <row r="167" spans="1:9">
      <c r="A167" s="7">
        <v>63</v>
      </c>
      <c r="B167" s="10" t="s">
        <v>253</v>
      </c>
      <c r="C167" s="10" t="s">
        <v>481</v>
      </c>
      <c r="D167" s="10" t="s">
        <v>284</v>
      </c>
      <c r="E167" s="10" t="s">
        <v>498</v>
      </c>
      <c r="F167" s="10">
        <v>8</v>
      </c>
      <c r="I167"/>
    </row>
    <row r="168" spans="1:9">
      <c r="A168" s="7">
        <v>79</v>
      </c>
      <c r="B168" s="10" t="s">
        <v>253</v>
      </c>
      <c r="C168" s="10" t="s">
        <v>481</v>
      </c>
      <c r="D168" s="10" t="s">
        <v>284</v>
      </c>
      <c r="E168" s="10" t="s">
        <v>498</v>
      </c>
      <c r="F168" s="10">
        <v>10</v>
      </c>
      <c r="I168"/>
    </row>
    <row r="169" spans="1:9">
      <c r="A169" s="7">
        <v>94</v>
      </c>
      <c r="B169" s="10" t="s">
        <v>253</v>
      </c>
      <c r="C169" s="10" t="s">
        <v>481</v>
      </c>
      <c r="D169" s="10" t="s">
        <v>284</v>
      </c>
      <c r="E169" s="10" t="s">
        <v>498</v>
      </c>
      <c r="F169" s="10">
        <v>6</v>
      </c>
      <c r="I169"/>
    </row>
    <row r="170" spans="1:9">
      <c r="A170" s="7">
        <v>101</v>
      </c>
      <c r="B170" s="10" t="s">
        <v>253</v>
      </c>
      <c r="C170" s="10" t="s">
        <v>481</v>
      </c>
      <c r="D170" s="10" t="s">
        <v>284</v>
      </c>
      <c r="E170" s="10" t="s">
        <v>498</v>
      </c>
      <c r="F170" s="10">
        <v>6</v>
      </c>
      <c r="I170"/>
    </row>
    <row r="171" spans="1:9">
      <c r="A171" s="7">
        <v>130</v>
      </c>
      <c r="B171" s="10" t="s">
        <v>253</v>
      </c>
      <c r="C171" s="10" t="s">
        <v>481</v>
      </c>
      <c r="D171" s="10" t="s">
        <v>284</v>
      </c>
      <c r="E171" s="10" t="s">
        <v>498</v>
      </c>
      <c r="F171" s="10"/>
      <c r="I171"/>
    </row>
    <row r="172" spans="1:9">
      <c r="A172" s="7">
        <v>187</v>
      </c>
      <c r="B172" s="10" t="s">
        <v>253</v>
      </c>
      <c r="C172" s="10" t="s">
        <v>481</v>
      </c>
      <c r="D172" s="10" t="s">
        <v>284</v>
      </c>
      <c r="E172" s="10" t="s">
        <v>498</v>
      </c>
      <c r="F172" s="10">
        <v>5</v>
      </c>
      <c r="I172"/>
    </row>
    <row r="173" spans="1:9">
      <c r="A173" s="7">
        <v>38</v>
      </c>
      <c r="B173" s="10" t="s">
        <v>253</v>
      </c>
      <c r="C173" s="10" t="s">
        <v>481</v>
      </c>
      <c r="D173" s="10" t="s">
        <v>290</v>
      </c>
      <c r="E173" s="10" t="s">
        <v>528</v>
      </c>
      <c r="F173" s="10">
        <v>10</v>
      </c>
      <c r="I173"/>
    </row>
    <row r="174" spans="1:9">
      <c r="A174" s="7">
        <v>54</v>
      </c>
      <c r="B174" s="10" t="s">
        <v>253</v>
      </c>
      <c r="C174" s="10" t="s">
        <v>481</v>
      </c>
      <c r="D174" s="10" t="s">
        <v>290</v>
      </c>
      <c r="E174" s="10" t="s">
        <v>528</v>
      </c>
      <c r="F174" s="10">
        <v>8</v>
      </c>
      <c r="I174"/>
    </row>
    <row r="175" spans="1:9">
      <c r="A175" s="7">
        <v>55</v>
      </c>
      <c r="B175" s="10" t="s">
        <v>253</v>
      </c>
      <c r="C175" s="10" t="s">
        <v>481</v>
      </c>
      <c r="D175" s="10" t="s">
        <v>290</v>
      </c>
      <c r="E175" s="10" t="s">
        <v>528</v>
      </c>
      <c r="F175" s="10">
        <v>10</v>
      </c>
      <c r="I175"/>
    </row>
    <row r="176" spans="1:9">
      <c r="A176" s="7">
        <v>56</v>
      </c>
      <c r="B176" s="10" t="s">
        <v>253</v>
      </c>
      <c r="C176" s="10" t="s">
        <v>481</v>
      </c>
      <c r="D176" s="10" t="s">
        <v>290</v>
      </c>
      <c r="E176" s="10" t="s">
        <v>528</v>
      </c>
      <c r="F176" s="10">
        <v>10</v>
      </c>
      <c r="I176"/>
    </row>
    <row r="177" spans="1:9">
      <c r="A177" s="7">
        <v>57</v>
      </c>
      <c r="B177" s="10" t="s">
        <v>253</v>
      </c>
      <c r="C177" s="10" t="s">
        <v>481</v>
      </c>
      <c r="D177" s="10" t="s">
        <v>290</v>
      </c>
      <c r="E177" s="10" t="s">
        <v>528</v>
      </c>
      <c r="F177" s="10">
        <v>15</v>
      </c>
      <c r="I177"/>
    </row>
    <row r="178" spans="1:9">
      <c r="A178" s="7">
        <v>66</v>
      </c>
      <c r="B178" s="10" t="s">
        <v>253</v>
      </c>
      <c r="C178" s="10" t="s">
        <v>481</v>
      </c>
      <c r="D178" s="10" t="s">
        <v>290</v>
      </c>
      <c r="E178" s="10" t="s">
        <v>528</v>
      </c>
      <c r="F178" s="10">
        <v>30</v>
      </c>
      <c r="I178"/>
    </row>
    <row r="179" spans="1:9">
      <c r="A179" s="7">
        <v>93</v>
      </c>
      <c r="B179" s="10" t="s">
        <v>253</v>
      </c>
      <c r="C179" s="10" t="s">
        <v>481</v>
      </c>
      <c r="D179" s="10" t="s">
        <v>290</v>
      </c>
      <c r="E179" s="10" t="s">
        <v>528</v>
      </c>
      <c r="F179" s="10">
        <v>8</v>
      </c>
      <c r="I179"/>
    </row>
    <row r="180" spans="1:9">
      <c r="A180" s="7">
        <v>124</v>
      </c>
      <c r="B180" s="10" t="s">
        <v>253</v>
      </c>
      <c r="C180" s="10" t="s">
        <v>481</v>
      </c>
      <c r="D180" s="10" t="s">
        <v>290</v>
      </c>
      <c r="E180" s="10" t="s">
        <v>528</v>
      </c>
      <c r="F180" s="10">
        <v>9</v>
      </c>
      <c r="I180"/>
    </row>
    <row r="181" spans="1:9">
      <c r="A181" s="7">
        <v>142</v>
      </c>
      <c r="B181" s="10" t="s">
        <v>253</v>
      </c>
      <c r="C181" s="10" t="s">
        <v>481</v>
      </c>
      <c r="D181" s="10" t="s">
        <v>290</v>
      </c>
      <c r="E181" s="10" t="s">
        <v>528</v>
      </c>
      <c r="F181" s="10">
        <v>8</v>
      </c>
      <c r="I181"/>
    </row>
    <row r="182" spans="1:9">
      <c r="A182" s="7">
        <v>148</v>
      </c>
      <c r="B182" s="10" t="s">
        <v>253</v>
      </c>
      <c r="C182" s="10" t="s">
        <v>481</v>
      </c>
      <c r="D182" s="10" t="s">
        <v>290</v>
      </c>
      <c r="E182" s="10" t="s">
        <v>528</v>
      </c>
      <c r="F182" s="10">
        <v>10</v>
      </c>
      <c r="I182"/>
    </row>
    <row r="183" spans="1:9">
      <c r="A183" s="7">
        <v>159</v>
      </c>
      <c r="B183" s="10" t="s">
        <v>253</v>
      </c>
      <c r="C183" s="10" t="s">
        <v>481</v>
      </c>
      <c r="D183" s="10" t="s">
        <v>290</v>
      </c>
      <c r="E183" s="10" t="s">
        <v>528</v>
      </c>
      <c r="F183" s="10">
        <v>10</v>
      </c>
      <c r="I183"/>
    </row>
    <row r="184" spans="1:9">
      <c r="A184" s="7">
        <v>160</v>
      </c>
      <c r="B184" s="10" t="s">
        <v>253</v>
      </c>
      <c r="C184" s="10" t="s">
        <v>481</v>
      </c>
      <c r="D184" s="10" t="s">
        <v>290</v>
      </c>
      <c r="E184" s="10" t="s">
        <v>528</v>
      </c>
      <c r="F184" s="10">
        <v>10</v>
      </c>
      <c r="I184"/>
    </row>
    <row r="185" spans="1:9">
      <c r="A185" s="7">
        <v>188</v>
      </c>
      <c r="B185" s="10" t="s">
        <v>253</v>
      </c>
      <c r="C185" s="10" t="s">
        <v>481</v>
      </c>
      <c r="D185" s="10" t="s">
        <v>290</v>
      </c>
      <c r="E185" s="10" t="s">
        <v>528</v>
      </c>
      <c r="F185" s="10">
        <v>10</v>
      </c>
      <c r="I185"/>
    </row>
    <row r="186" spans="1:9">
      <c r="A186" s="7">
        <v>21</v>
      </c>
      <c r="B186" s="10" t="s">
        <v>253</v>
      </c>
      <c r="C186" s="10" t="s">
        <v>481</v>
      </c>
      <c r="D186" s="10" t="s">
        <v>529</v>
      </c>
      <c r="E186" s="10" t="s">
        <v>528</v>
      </c>
      <c r="F186" s="10">
        <v>30</v>
      </c>
      <c r="I186"/>
    </row>
    <row r="187" spans="1:9">
      <c r="A187" s="7">
        <v>22</v>
      </c>
      <c r="B187" s="10" t="s">
        <v>253</v>
      </c>
      <c r="C187" s="10" t="s">
        <v>481</v>
      </c>
      <c r="D187" s="10" t="s">
        <v>529</v>
      </c>
      <c r="E187" s="10" t="s">
        <v>528</v>
      </c>
      <c r="F187" s="10">
        <v>30</v>
      </c>
      <c r="I187"/>
    </row>
    <row r="188" spans="1:9">
      <c r="A188" s="7">
        <v>25</v>
      </c>
      <c r="B188" s="10" t="s">
        <v>253</v>
      </c>
      <c r="C188" s="10" t="s">
        <v>481</v>
      </c>
      <c r="D188" s="10" t="s">
        <v>529</v>
      </c>
      <c r="E188" s="10" t="s">
        <v>528</v>
      </c>
      <c r="F188" s="10">
        <v>50</v>
      </c>
      <c r="I188"/>
    </row>
    <row r="189" spans="1:9">
      <c r="A189" s="7">
        <v>26</v>
      </c>
      <c r="B189" s="10" t="s">
        <v>253</v>
      </c>
      <c r="C189" s="10" t="s">
        <v>481</v>
      </c>
      <c r="D189" s="10" t="s">
        <v>529</v>
      </c>
      <c r="E189" s="10" t="s">
        <v>528</v>
      </c>
      <c r="F189" s="10">
        <v>20</v>
      </c>
      <c r="I189"/>
    </row>
    <row r="190" spans="1:9">
      <c r="A190" s="7">
        <v>27</v>
      </c>
      <c r="B190" s="10" t="s">
        <v>253</v>
      </c>
      <c r="C190" s="10" t="s">
        <v>481</v>
      </c>
      <c r="D190" s="10" t="s">
        <v>529</v>
      </c>
      <c r="E190" s="10" t="s">
        <v>528</v>
      </c>
      <c r="F190" s="10">
        <v>40</v>
      </c>
      <c r="I190"/>
    </row>
    <row r="191" spans="1:9">
      <c r="A191" s="7">
        <v>36</v>
      </c>
      <c r="B191" s="10" t="s">
        <v>253</v>
      </c>
      <c r="C191" s="10" t="s">
        <v>481</v>
      </c>
      <c r="D191" s="10" t="s">
        <v>529</v>
      </c>
      <c r="E191" s="10" t="s">
        <v>528</v>
      </c>
      <c r="F191" s="10">
        <v>25</v>
      </c>
      <c r="I191"/>
    </row>
    <row r="192" spans="1:9">
      <c r="A192" s="7">
        <v>146</v>
      </c>
      <c r="B192" s="10" t="s">
        <v>253</v>
      </c>
      <c r="C192" s="10" t="s">
        <v>481</v>
      </c>
      <c r="D192" s="10" t="s">
        <v>529</v>
      </c>
      <c r="E192" s="10" t="s">
        <v>528</v>
      </c>
      <c r="F192" s="10">
        <v>30</v>
      </c>
      <c r="I192"/>
    </row>
    <row r="193" spans="1:9">
      <c r="A193" s="7">
        <v>150</v>
      </c>
      <c r="B193" s="10" t="s">
        <v>253</v>
      </c>
      <c r="C193" s="10" t="s">
        <v>481</v>
      </c>
      <c r="D193" s="10" t="s">
        <v>529</v>
      </c>
      <c r="E193" s="10" t="s">
        <v>528</v>
      </c>
      <c r="F193" s="10">
        <v>20</v>
      </c>
      <c r="I193"/>
    </row>
    <row r="194" spans="1:9">
      <c r="F194" s="7">
        <f>+SUM(F24:F193)*30.5</f>
        <v>84716.800000000003</v>
      </c>
    </row>
  </sheetData>
  <autoFilter ref="A3:F193" xr:uid="{8A75CA42-F64F-425B-8EA5-608F95660DB5}">
    <sortState xmlns:xlrd2="http://schemas.microsoft.com/office/spreadsheetml/2017/richdata2" ref="A4:F193">
      <sortCondition ref="B3:B193"/>
    </sortState>
  </autoFilter>
  <sortState xmlns:xlrd2="http://schemas.microsoft.com/office/spreadsheetml/2017/richdata2" ref="I4:I54">
    <sortCondition ref="I4:I54"/>
  </sortState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3 8 a 7 3 e 2 - 6 f 7 8 - 4 4 c c - 8 c 0 9 - f 9 d 4 6 4 7 a 5 1 9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 1 0 . 3 8 3 7 1 4 4 5 4 9 9 5 3 3 5 < / L a t i t u d e > < L o n g i t u d e > - 6 6 . 2 8 5 1 6 6 9 5 6 7 9 8 1 < / L o n g i t u d e > < R o t a t i o n > 0 < / R o t a t i o n > < P i v o t A n g l e > 0 < / P i v o t A n g l e > < D i s t a n c e > 3 . 2 3 3 9 7 0 6 8 1 0 2 3 4 8 1 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B i Q S U R B V H h e 7 Z 3 5 c x v Z c c d 7 c B M g e F 8 S S Y m i t N q V t L J X q / X a e 8 u W 7 S Q V n 7 + k 4 q y d H 5 z K p u z / K l W p u C q / x L G 9 t t f e Q 7 t a X R Q l 6 p Y o k Z R 4 i C d 4 4 p z B D J D u f j M 4 S J A E y S E l 2 / 1 B t Q Y Y H B Q G 8 5 1 v v 3 5 v 3 m j / 9 / n l P A i C 4 A o e e y k I g g t o v / n i i j i U I L i E O J Q g u I g I S h B c B F O + P k n 5 B M E l t N + e F 0 E J g l t I y i c I L o I O d V U c S h B c Q v v d l y I o Q X A L S f k E w U V E U I L g I t r v L v R L y i c I L q F 9 K I I S B N e Q l E 8 Q X A Q d 6 p o 4 l C C 4 h P b h R R G U I L i F 9 n s R l C C 4 B g r q u g h K E F x C + / 0 l E Z Q g u I X 2 B x G U I L i G l M 0 F w U W 0 P 1 w e E I c S B J c Q h x I E F 9 H + K A 7 1 3 B G q a 4 O 8 B e A N 7 4 d D 9 W n Q T S 8 E f T l o D p v g 9 3 n x V / N A X A e Y n p u F p 7 F l s C z T f q f w r E F B 3 R B B P W M a W r r h q 1 0 R u D 0 B Y O Z y U B + y o L v e h F w + j 4 8 1 6 B v 1 o 6 g 0 + 9 U A p 7 s M a I r k Q d M 0 D o / H A / 0 T I U h b f s g l H q A Y U W 3 C M 0 H 7 4 x U R 1 L P g R O 8 h a I t 4 I G n k Y T G V h 2 j A g o A 3 D x 4 N R Y T u l A M N P h 8 K Q D i Q h 9 e 6 D X 5 u c s U L 9 6 b 9 / P 4 X 2 0 w 4 0 I g v t M n l N T g 3 X F M Q W C D g B 4 / x C C w j b b 9 C 2 A t E U H v M 2 y / 3 g g / N x r I s y J o 5 F h C 5 j 5 l D x 8 H n L z 0 J Q l u t B R l c l 9 A 1 s F A o B x t N T v m G 5 v z 8 2 K G j z o K X O 7 J 8 / + O H I V 6 S o I j 2 a B 6 W d R + 2 k v 3 g h 3 m w 0 l O 8 X t h d t I + u 3 B R B 7 Q H f P P U i m E Y G L E z p k h k L Q r 4 8 u o o H E o Y G P k + e h U T k M c 1 z + P b R D C 8 t X P X Z o x A 0 e a Z g I b e P 1 5 F u S l 4 K A d R O 1 i q K j S h N C X 0 + H z T 4 Z i G R i N n P C r u B 9 l G f C G o 3 8 f i j 8 O 5 L r Z D N Z l k s O R T U 7 S k / d G E b y e c B q A 3 m Y H z R B 4 N z q I h V 9 G B K d 6 R V O Z D D x J I X H s y q t G 8 j H K c i H G F 5 v R 7 w + z A V z N y 1 n x H c R g S 1 i / g i L 8 I b B 9 G V M L 3 L Y U q H n q K e Q E h c 9 K j c U w A G Z 3 0 w l / D C 6 w d V u 4 l e c w c F e K R h B Y y c D + o j f n Q 1 D / S N B t D h 1 H s 2 o p K w D r d p M L m Q A S 0 7 b j 8 j u I X 2 p 7 5 b V f w s w p b Q v G A G j s K 7 h + J g m i b v x C Q g Z z m f 8 s J s 3 A P H 2 s v d h x i K + S C d 1 a A + l C s U H a w c A J o L u 1 s + n 8 P 7 + P m 4 8 t x I h J + v B k d Y B V G 1 5 L D t l o f F x S e 8 X n A H 7 U 9 X R V B u 4 g t 3 Q N K o h 3 d 6 E q p i Z 2 Y x 1 f K x k E q x 0 F 6 o D e V H F 6 q G u a Q H h m P o T j q 2 i V A b 9 H E t E Q v X e + 1 X V E e p s K h t B T k L w t p j X i f s H B k p 4 S L B p h O 4 w 9 f B S y 0 J T O X I T f I s p q W 0 c q Z S v K i K p + O j 8 P G d D P z m m i o + E I a x t g 8 p F j e h u c a E 2 g B a F U K p H v V F 9 T S Z c K r T 4 H X V 4 v w / a M m O p 3 n g 9 K E O 8 G V T v F 7 Y G e J Q L h F s O g n L y z p 0 1 u l w M J o A f y B Q J q J E f A V 8 f j / k c S e u C U d Q O N h G w t d k T Q s e x k J w t f 8 6 f P 2 1 U 3 C s w w Q L 0 0 S 0 E M h i m 8 n U 4 1 B b W 8 u v t 7 Q g p 4 T H O 7 J c 9 d s J q 1 P A l 9 v i M L + 8 B C v 6 1 g Q q l I P H S b n t 9 O Y J t r O Y A p 4 s H G k 2 1 o i J q I 3 W Q S h U A 6 G a M D u D w x e P Q 3 A C B d L d f Y D F l E z p 8 O c b C + h s X g j 5 8 y z A q 2 M B + N / L i / z 6 m b h 3 x 2 I i 6 P 9 X G s t G C L o b g y X f S m 7 b u v 2 5 / 7 Y 4 1 A 4 I 1 O 6 H 5 V Q E m y I W F y H I X S z c s K G A K m 1 T U Y L 6 g F Z j 6 D p o P j + 2 p T w o H I B P U E Q N E Q 9 8 p S e C 6 a A H P C i o V C o J C 0 Z d V W X y n c A u h S k q t f t u j p m Y B q 7 Y z w h b R Q S 1 E 3 B H 1 L 1 H u Y / p 7 A t p P t L r m Q w E g k F 2 F o 0 a / c j y 0 i K 7 F v U B 0 T K Z W I F I b R 2 s Y I p V V 9 / A r 1 n N k 1 g O h h b C 9 q P d x U n / O u u z 0 F O X g E / u m d D W k O R 1 w t b A X 5 w 2 p s R 2 w g w c U 2 V x y P O I b x I U i Y k K C 4 6 Y M u k U 1 D c 0 Q h j b T b q u i g 8 k J o L E R C 4 U X 1 n m x z q 6 F n 0 G p Y R 7 I S Z b R / w 3 i a f L f l h Y W o F X u g F m F w K 4 Z u 1 3 l t g 4 t I + v 3 R G H 2 g a e 6 A m I x 1 W n 7 e k u H a K B L D q V D s F g j f 0 K g M X 5 G K R T K W j t 2 M d t I q c A Q F C K S G k d 7 c z J R B y C o R D 4 / b Q T F 8 f l 7 T X 0 f 6 P / T 9 S b h E P 1 S z C + k u U q o F A 9 s r W 2 S S K h s 5 h o B 6 w L Y X q H O i E x k W M 5 N D a 3 Q F 1 D A w r F z 3 0 + j p i o b 4 r E R N B n 1 N S E C 2 J 6 l j h O t a Q H I I j / 5 / Z A c T S 7 U B 2 S 8 m 0 j s p j q l V b q n k 5 O 4 r / 0 H B Q K E A u x W V 5 S d Y 9 w 0 j 1 6 n w / b U k Q a 0 7 3 S g s W j W e 2 Z u V M p H o + X H X U R 2 3 6 h F A 2 m X b s N J C q H h w 6 a E t V H U 9 e L 3 C f E n a J 4 R K f w R 7 t 4 3 f X r A z A 3 N 4 c b F l / X 0 s Z L B + 5 b Q s i p y J W I + Z h 6 L X 4 K f P I o B K N L a s T 5 s 4 b a f 2 n T h w c B A y K R c M X t I L F O f H L 9 r r S h t o D u e 5 G L B 4 5 D k a B q g 3 n 4 x s H y E Q 4 p b D u F w 8 X C A o m I j v o L 8 / M Q r G 2 E I J 1 u g a 5 l G B m 4 M d 8 B W e v 5 y r 7 z p g 6 H Q 8 N c l V x Z i U M m 3 G I / I 2 y E p H x b C M 0 f L Z y G Q d C S x t X V + I v p H 0 F i G x 0 d 4 / v 0 U k r j P h u O w P m R I I y m O + D S a B j O D Y f h w k Q T t r G a I P L s m 0 9 l e P E 7 1 W t z f A C g g b g + b u + V b w u J y i F F i S 1 g a F 2 F V M + B x t X V r O p 3 p b T u 8 O F e v k + p n A O d m U s j z U u h n + F Q 0 / M 1 y Q q d 0 N j Q 1 A K J Z I q 7 A E h Y n q W n 9 r P C R k g b a g t B 7 a R S d 3 J Y S G k w u l g u F B q n d 3 N w w n 6 0 P j c m / J w y P m + M L f k g G q 2 F c C Q C R t b g H W X 1 9 p B Y G + J Q 1 R I 6 W C a i U q I o i C c L a 4 c H z W l H 7 H u V w e 0 P M X S s y 6 P P W c 6 H U I k / G A j y k h w 3 l U 5 D 3 l p 7 / p Z Q j r S h q g z d D K 1 J 9 x y m V r y Q 3 U a X j f N J q + e C e B 4 w M e 8 b G R n B b 6 7 x k K l o N A r L o 4 P 4 z N p t I 1 E M T 4 V 1 E h W C O m w r p X s O 9 L K t c N S e K 6 I t a v F k L H S G 7 n p s 9 b P d g J z p 5 Z N f 4 T T G T 1 O S 4 R 2 u b N r b Q 6 J y U J G q 0 n q J k v A G G g t l 8 v X A r G h D 6 k J 5 F s 6 J d n W + 0 c M 5 l S L O x r 1 c u K D R F v Q 8 z Y Z E s y C V s l a + e 8 O N y Q D / b d o G 1 A 1 A 5 2 W t 3 j Y S 5 S E p X x W R 9 b S v m + 4 5 0 L w P j + b L 2 1 F 1 Q S V C E s j r B 1 Q / 1 d 2 Z 8 v Y S O Q B 9 7 P i S j 8 v r N B + f l d P g q 5 1 Z H i P 4 r K D v u p w C i K / E + b G F X 5 B E l Z i m 7 o C 1 2 0 h C h a R 8 V Y R h V N d A G p 3 3 c l + T A 8 1 c R K 7 z b m 8 a 7 t 2 7 D 5 O z 6 i T B U h y N t k Y s 6 G 5 Q f y d A c / a Z O g y j Q B t q l C j f P K S z e + 0 V J C i 6 k S s 9 f D g E 0 b p a 7 p z W U 4 m K 2 0 h C h X b u 5 o O 9 + 5 X + Q k n k e w s l 8 4 1 c q p T D z S Z P n f w W C u H e 3 X t w + M h h u D E d h b i + 8 8 I q / X a 7 + a P R d 6 Q B v F k j A 9 3 a f R 4 Z X 1 N T A 1 N T U 7 C M j t X 7 2 j v 2 K 4 X V o K A G R V C b E M / 1 F E Z I V C u o I t R 2 0 i G j 6 z z i g A b D 0 t C l 2 0 + S s K T t t 1 + z d X Z T V H R y J A m K h k U 1 J f v B 7 / f x 8 C O P 1 w O J e A J 6 T o u g 1 k P 6 o a p g 6 y I q R Y 0 g f 7 L g h b v o V J c u X e G R B 7 3 d O x s b t 7 s O R e 1 F D B T W l P c 4 t L e 3 w / 7 9 + y C d S s P S s j o Z U q i M t K E 2 i Z w W 2 q G g F B P x W p i r e R 3 e e O P r 7 F K 3 J v 0 8 M + z z B r s w L l U R R o m q / 7 H O Q m p q b o J A T V 3 F 7 S S h Q m Y 9 2 v T m L h 8 / D M L A v T F M A T G l q t C h S 1 U / Y r 9 5 A 9 s u J k T s u f j 2 C h I Q B 4 t J p b j p n B o 1 T + s z V q B k 2 8 h t 9 U 1 S v k 3 g I 7 Y L D l V E g 9 5 D B + G 9 I 5 X n v z v 7 Q g b O 9 C b g + P G X 4 L v H T H i j x 4 C T + 1 S 1 k K C p x V p q L Z 7 k c r c g d 1 J h c U G C l n f m 6 i G d y c B 0 f G s z 1 f 6 t I S n f Z k E L e + k W V 8 e D 8 O j x J H z r S I a D r g e V z 8 z D 1 w 4 o k S 0 u L q q U i x / R t Z 6 U S 5 G o 3 j 6 k w y v 7 s 3 C k x e T 5 z t 2 E B e Q E C 8 k W l q X E d W u K h l 9 Z a 7 e R R C H E o T a F H M q + 6 y K z n q P w 6 V A I h h d 8 M J v w Q r P 5 s D D 8 q L W 1 F a a m p j n F q g Q J k n i v N w W d 9 d s Y R L g B O b v d R F E m M F q H z 5 H Q h P W R N t Q m N 5 + H x v D t X j t m F A V F + P e 9 z k u H z s 7 9 6 I w a X L t 2 H W K x W F n a + b V u H R Y W F n k U O F 3 B o y m Y 5 N E Y 0 Q 3 G A 2 6 E S m t t E d k p H o d z n 5 b Y n q O p 0 m h Z u n 3 k V n 6 T l K + K c O a D 2 E 0 q d f i S o E 6 f f p W H / d D 9 U h o b G 6 C / / x r f z 8 3 d h D N H d D g c m e K 0 s K l m 6 6 d Z U A G C R k K Q e E g 4 f J / F p I T E j 3 E 7 8 B X n V 2 0 f i W J I y l c F t F P t O h u k l X V 1 0 Y J D X b h w E e 7 c u Q t Z 3 L l f e E G d b 9 X W 1 s r L l u Z m 3 v H 9 S z f 4 c T X w 5 2 J Q q g d 5 W 0 R O u s f i s t f Z o s r n n 6 + z i 5 8 3 J O W r 4 m Z Z N E p C p V O r n c I N f J 4 c j 9 V b D x q U m k 6 r q 7 l 3 d H T A s W M v Q c D v 5 / V E S 0 s z D A z c g H O f f Q K f f n o O T p 4 8 C Y e b q 3 Q p W 0 w k H t N U I i L x F J 0 J g 5 z J z G I Y U B s J l W w Z u a 2 + i U N V Q Y 5 2 p u z 2 z l b d r B L n 9 e b h z Q M p H k V R O k m m A w m k q a k J r l 6 9 B t c H B q C 5 u Q m y W V U N 3 L d v H 0 x M T P D s S q d O v Q J n v n k W 3 n r r G / x c a 2 C J l + u j u g P o V h B O m Y B K I 8 t D k U z c B g d 7 u u z 3 C 5 X Q z t 8 d 2 o U a 1 l 8 X N M + 3 b v k h E A y T R d l r 3 e H d w 3 p h x A S N F 7 x 1 6 z a 3 m x y W l 5 e h v r 7 e f l T O 4 k K M r + L R v q / T X q M g w T k z 0 c a S H n g y k 4 E l U 0 2 4 6 e A U I i i N U + 5 D g j H 4 v b w 0 M j w 5 p 5 F J g 5 5 J Q j q Z w F i G n 7 z / j 2 5 v g r 8 q 8 P h p t 6 Y k 1 o 2 2 J r X D 0 d H b b U q H H 5 H b k J g u X b z M 7 R h i c J B O O 6 / M p L 6 P x T R v z 1 L r U D q t c 0 s k B 6 c O e v k i b W / 3 6 t A d X u A R 8 O x Q X N V z 0 j v V X i o 6 F a Z + 5 E 5 0 n 1 1 K C U 2 l v B L r h f b l 3 W F x q C p 4 N J a D Q K g W X a q m c G W N 7 U J v t / U C u Y X 7 8 K 3 X u m B p a R n b Q s U B s + Q g 1 E b K Z H R O 8 9 z A o O m g N Q 9 4 f T 5 u K 3 0 y 6 A M D X Z H S W R P b i c q Z S D g 6 O 5 + h p 9 C d 0 p B J o z s l V l C A O r z / s x / b n y Z U Q s r m V U b I b 2 E 6 p P N O t 1 6 H a 7 X U + I r v f / s r 7 d D X 1 1 8 m J m J k 5 D G M j Y 1 D X V 2 t v W Z 9 U s n K 1 3 I i l 2 M R 2 V A b j f q u S E y z s 9 P w a t s s u 4 9 Z c C E K u 7 3 E j q R E Z q L I s o Y O 3 / v B 2 Y r b R q I Y k v J V G V 3 7 / H z k N k 2 a h n l n q V / S K D q c o d X C m 2 + + Y T 9 S x G L z P F E m V f O q u S o H z Z 1 X C R K B k z r S C Z L B U A 0 7 X y a d g X C 4 F p L x e E n K V x R U U V j K r b L Z D C / r G 6 g t V 3 n 7 S K j Y W e 7 y N w S 1 H U z c Q W k n 5 b Q I d z h q h + y U / v E A 6 K v 0 O T M 9 Z d / b G X S R 7 E C Q T j + h K 3 5 g m k e O R W c e 4 y 2 T T o P p b 1 R u 5 K R 9 J C B + T E J S 6 R 9 / X 3 S 5 2 t q 9 u Z r i X z o y c + w W 4 m B n A H d I E h Q d s Q 0 8 i m 9 / X B t + X I H z I + W X s N n f W S x N r y 6 E z M / N s D D o I m 0 L s T m + r O h K h Z P + 0 u k U e L 1 q W F O K p 1 Q 2 Y C 5 O H b a q s q d 5 / X B 9 T L O d y H E j u m g c i s g J / K 7 q + + r w z + / / s O I 2 k S g P c a g t U B c N g K m n W V C 0 k 1 E a R D s 8 j z b Y I q v f M b l c P C 2 C h h W N j 4 / D / Q e D L A o S A V 0 q p 7 / / O j S 3 t n M 7 i E T Q 1 N L K l x W t q 1 B W p 4 u 4 0 f + L 3 k t X 0 K B l r Y 8 c y O R R F p 8 / 8 u L / n Y R U 3 m 6 y U E i c 2 t o H j q y e g m A Q 0 0 7 c W Y T N 0 S 7 c f y x V v i 2 Q z m T h w V A C A q E w 7 q g h j C B f Q I 2 u S E g X K t s J z j l P p c z P z 0 N z c z P f p 5 l c e 3 v V R Q i I T C Y N I W w X r Y a E R O P / a M g Q C T 6 X o 0 l X T A z 1 + B y K i f q 8 u C D B A i K h 2 Y 5 E f U 9 4 0 N A z K U g n 4 1 z p + + A X P 7 U / W d g M m e h y i x E O + X H H w x Q K d 2 Z q W 3 A b A 4 O O 8 r Q D b 9 W t K E 1 w q H T 1 w s b G R v s e s J j I a a j 6 t 7 y 8 A g E U 8 2 r o e U r v S D i O i J L J J F c C K Y 2 j M r k q j R f D S e + K g s p w u Z x E V R e N V t w O E p V D y u b b i N O v d P B R 3 D D s 9 I 8 r Y W r n V I 5 A 5 w 6 R s D Y X F 7 0 s U G J s 8 6 n y L J z O i y q F 0 r 0 D B 7 q h v r 6 O h e O k d R Q k H h K R 4 0 i z M 9 O 8 1 O j C 0 / i + b N Z k h 6 X 0 T l X z l D M V h M W i o j S P D h Z p P t r + 5 G c / r L g N J C o H b u k K a y U 2 D B + 1 a 7 J q W I 5 z R M / q 6 g j v 7 J x U i m Z R V e F Y p f N o D k w E 2 K l M u 6 u q v l G l e 5 W Y m H g K f X 1 X b T G Z X E A g k W V R L I a R 5 Q 5 o W i o H M i C R i M P F Y c 0 W T 2 n Q + / B 7 U N j u R A e M 7 / 3 w u / h X K m 8 D i c q h X X z w Z P N f X K j I F 1 8 + B H 8 w U m x L + Q N c q v Z 4 f O D 1 U Z v K x 4 5 C O z a 5 h E r v c K O X 5 n k b Q M O S o i t X e O A r u Y 7 j e I 4 r 0 Z I q d u o x B X U + m 5 B K Y R s v E A D L P s e J 2 0 o Y q Y w F f a M e F F S x A M F p I D k T O S 6 K K Z N O g o 5 B Z f J / / f k / 8 d 8 T q k e 7 N C i C 2 i 7 Z r A V f X h p G U d U o U f l J V H 6 u z N H w H k d Q V L B g Q b G w i o K i 4 f 5 8 Y G P 4 U S F J d F a f P Z q B 6 e l p a G t r Y + F Q U E F h 9 M k Y d O x r h / P n L 8 C Z M + + y w K g Q Q U O I 6 E w T S u t o Y G 1 N O M x i o v d c H K b K H o k L B Y V C c t I 8 R 1 D U Z i I x + f B g 8 M E v p R C x H S T l 2 0 H Q j K q d H R H e C Q 3 c G S l N c k r q K v 0 r p o B O W 0 W 1 X T B w x + b 2 F j o I B 1 X k + E Q + d T 4 S 7 / g Y a d 1 E Q c 3 g T m + o y f q T S b h 9 + w 5 0 d n c q 9 8 M b C Y c E w 2 E o 8 V B p n M r l c / N x u D C k Y Z A z F U W k Q q V 5 p W L y Y M P p 5 x / 8 S 8 X v K 7 F 5 o E O N i k P t k P v 3 x 2 B i c h m d i k r p q o z u x S g t p z s u x S J w X K o 0 D e R P K m I n d 3 D m c I Z d a W x s D L q 6 u l B 0 N D 5 P h 3 S a R i 9 E 2 J n I g a h 4 Q W f u U o p H a R + l g B d G v L i k f q Z i X x P d 5 y I K C p Q E r 9 q A 6 h Q N 6 u X / t / 9 4 H 9 P F t V d j F K q D D n G l A p P Y R h w 7 f g D A w s Z 8 O s 5 H e T r a 8 0 6 K w T u s 3 d h X j q D c g Y s H f B 9 3 b F q S c 5 S E c h J q 3 x h w 7 t z n P B 0 y v w f d h w g G g y y q g Y G b u M 7 k / i p d N 9 C t l n j u 9 P N D m B r a f 0 v 9 v a J 4 i i J S r k T t J v o q 3 / 2 H M x A I o p h W f T + J 6 k O 7 / H B M H M o l / v T R Z c h a X m x H B d m p v P 6 A a k / Z Q W 0 o b l O h Y y m X U m 5 l 2 5 S z K I D G B G / 3 Z u D W z d v w 8 s k T q g 1 F x Q c 6 Z R 2 d i S b u n 5 m Z g T g u u 7 u 7 I B Q K o c i S E E u F 4 P G 8 m l y G 0 k c 1 C q J y u 4 l E T n O t n / 3 O e / D i s W K n s b A 9 R F A u c + / u C D w a m g K f X f n z e l X 6 p 6 p + x d B o N g 9 b U C w q P r y p z y i A v 0 x v 6 D H P I 5 G z C x K l g q L 7 N 2 / e g u P H j / F j S v c e z G i w k L B P a + e 2 G l X 5 S E j U x l J t O u V Q G V 7 v 9 / v h g 1 / + j E U l 7 B z t 8 i M R l N s k k 2 n 4 4 x 8 u c 9 X P W 6 j 8 U X v K V 2 h T q f Z U u U s p P R V V R a P C O / K D 0 H N Q X Y H e C R I P O 1 Q y A a F g i E c / L C w s w F C 8 t V D k c M b p 0 X w Y 5 E 7 l 7 a Y 0 / x U q r f / 7 L 3 9 q C 1 p w A + 2 K C G r X + J 9 f f Q R o V S g s T P 1 w 6 a R + S l Q o J C 5 Q O E G a o h 2 7 u H P X B H J w p H 6 F U 7 m C m N i d l K h u P 5 y A w w c 6 I G P k 0 J k 8 7 E a l 5 z a p I o R K 9 Z w 0 j 4 o U X v y 7 B 3 u 6 4 f s / + o 7 9 l w S 3 Q E G N i 6 B 2 k Z H h c b h 8 6 R Y 7 l U r 9 y K 3 s / i l O / R x B 2 a l f i V u 8 1 m 3 A 1 O Q U p n z t J Y L C J a V 3 G L S 8 N u 5 V r k T r b C E V 2 0 3 U e a v c i Y R F s C v 9 4 q e S 4 u 0 S I q g 9 4 l f / 9 W v I W p p y K i q n o 5 h K C x W F 1 A 8 d y t H U q U 5 V 5 a N 2 T q m g 7 k 9 7 I Z N V H b m F P i z b n T j N 4 6 W q E u Y w 9 a P P p T 6 z r 7 5 y E t 5 8 5 z X 1 4 c K u o F 0 Z E k H t J f / 9 n 7 8 G P U t z O 6 B L F U Z T q C K F B 0 V F a u L W l G 1 W J 9 p 1 f k x i W k r T X O g e d i O e s Y i D x E Q i U k t 2 J R R V H t e T U O l M 3 V d e f R n e e F u E t B d o f U M T I q h n w K c f X 4 S h R y P 4 C 6 j U r 1 L 6 R 5 e 5 M V P z 0 N b S A M M x c i U q p S s h K U E V n Y n E R O v o f S Q k a n d 9 / 8 d / j + n i z i 4 9 K m w N E d Q z h p y n 7 / I N u D l w x + 6 0 V d b E N z S s j p o 4 n 0 Q 4 M u 9 V a V 8 u D 0 G f C W n 7 e m 2 O g C j o z N o f / O j v o L V d R P S s 0 P q G R V D P E + Q + s 9 M x d K 8 n M D M 1 C 0 t L K 3 Z q R x O t K F G R i 7 W 2 N U P P o W 4 4 d O Q A R K O b T z U m 7 A 0 o q K c i K E F w C e 2 q C E o Q X E O 7 O i K C E g S 3 Q E F N i q A E w S W 0 f h G U I L i G x 1 4 K g u A C W v 9 j c S h B c A s U 1 J Q I S h B c Q r s m g h I E 1 9 C u P R F B C Y J b o K C m R V C C 4 B J S 5 R M E F 9 G u j 4 p D C Y J b o K B m R F C C 4 B K S 8 g m C i 2 g D 4 l C C 4 B r a w N i s C E o Q X E J S P k F w E R G U I L i I d m N c U j 5 B c A s U 1 J w I S h B c Q g Q l C F u E p r n + 8 4 e / h X f P f g c G 7 9 3 l C U p p X X f P I W l D C c J W W Z y f h 4 V Y D C Z G R 2 H k 4 S D c v n E N R k e G 4 W M U m X Z z I i Y O J Q i u A P D / t J j l X 3 S l a a A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 G u i d = " 1 6 1 a 4 a 0 8 - 0 8 c d - 4 0 d 6 - 8 5 d 1 - 4 5 2 8 3 e 7 d d 7 0 7 "   R e v = " 1 "   R e v G u i d = " 3 e 9 e 7 8 7 7 - 9 8 3 c - 4 5 8 a - a 7 d 3 - 1 6 c d 0 a 6 a 0 d 3 8 " 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3 7 5 8 7 D F 6 - 8 C 4 D - 4 3 4 0 - B A 7 8 - 3 8 F 2 9 E 6 F 8 4 0 D } "   T o u r I d = " a 6 2 2 3 0 a 0 - 0 8 0 b - 4 7 1 5 - 8 7 e 2 - 6 9 5 0 5 f 8 9 0 5 0 3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y U A A A M l A W Z Z 9 g I A A B i Q S U R B V H h e 7 Z 3 5 c x v Z c c d 7 c B M g e F 8 S S Y m i t N q V t L J X q / X a e 8 u W 7 S Q V n 7 + k 4 q y d H 5 z K p u z / K l W p u C q / x L G 9 t t f e Q 7 t a X R Q l 6 p Y o k Z R 4 i C d 4 4 p z B D J D u f j M 4 S J A E y S E l 2 / 1 B t Q Y Y H B Q G 8 5 1 v v 3 5 v 3 m j / 9 / n l P A i C 4 A o e e y k I g g t o v / n i i j i U I L i E O J Q g u I g I S h B c B F O + P k n 5 B M E l t N + e F 0 E J g l t I y i c I L o I O d V U c S h B c Q v v d l y I o Q X A L S f k E w U V E U I L g I t r v L v R L y i c I L q F 9 K I I S B N e Q l E 8 Q X A Q d 6 p o 4 l C C 4 h P b h R R G U I L i F 9 n s R l C C 4 B g r q u g h K E F x C + / 0 l E Z Q g u I X 2 B x G U I L i G l M 0 F w U W 0 P 1 w e E I c S B J c Q h x I E F 9 H + K A 7 1 3 B G q a 4 O 8 B e A N 7 4 d D 9 W n Q T S 8 E f T l o D p v g 9 3 n x V / N A X A e Y n p u F p 7 F l s C z T f q f w r E F B 3 R B B P W M a W r r h q 1 0 R u D 0 B Y O Z y U B + y o L v e h F w + j 4 8 1 6 B v 1 o 6 g 0 + 9 U A p 7 s M a I r k Q d M 0 D o / H A / 0 T I U h b f s g l H q A Y U W 3 C M 0 H 7 4 x U R 1 L P g R O 8 h a I t 4 I G n k Y T G V h 2 j A g o A 3 D x 4 N R Y T u l A M N P h 8 K Q D i Q h 9 e 6 D X 5 u c s U L 9 6 b 9 / P 4 X 2 0 w 4 0 I g v t M n l N T g 3 X F M Q W C D g B 4 / x C C w j b b 9 C 2 A t E U H v M 2 y / 3 g g / N x r I s y J o 5 F h C 5 j 5 l D x 8 H n L z 0 J Q l u t B R l c l 9 A 1 s F A o B x t N T v m G 5 v z 8 2 K G j z o K X O 7 J 8 / + O H I V 6 S o I j 2 a B 6 W d R + 2 k v 3 g h 3 m w 0 l O 8 X t h d t I + u 3 B R B 7 Q H f P P U i m E Y G L E z p k h k L Q r 4 8 u o o H E o Y G P k + e h U T k M c 1 z + P b R D C 8 t X P X Z o x A 0 e a Z g I b e P 1 5 F u S l 4 K A d R O 1 i q K j S h N C X 0 + H z T 4 Z i G R i N n P C r u B 9 l G f C G o 3 8 f i j 8 O 5 L r Z D N Z l k s O R T U 7 S k / d G E b y e c B q A 3 m Y H z R B 4 N z q I h V 9 G B K d 6 R V O Z D D x J I X H s y q t G 8 j H K c i H G F 5 v R 7 w + z A V z N y 1 n x H c R g S 1 i / g i L 8 I b B 9 G V M L 3 L Y U q H n q K e Q E h c 9 K j c U w A G Z 3 0 w l / D C 6 w d V u 4 l e c w c F e K R h B Y y c D + o j f n Q 1 D / S N B t D h 1 H s 2 o p K w D r d p M L m Q A S 0 7 b j 8 j u I X 2 p 7 5 b V f w s w p b Q v G A G j s K 7 h + J g m i b v x C Q g Z z m f 8 s J s 3 A P H 2 s v d h x i K + S C d 1 a A + l C s U H a w c A J o L u 1 s + n 8 P 7 + P m 4 8 t x I h J + v B k d Y B V G 1 5 L D t l o f F x S e 8 X n A H 7 U 9 X R V B u 4 g t 3 Q N K o h 3 d 6 E q p i Z 2 Y x 1 f K x k E q x 0 F 6 o D e V H F 6 q G u a Q H h m P o T j q 2 i V A b 9 H E t E Q v X e + 1 X V E e p s K h t B T k L w t p j X i f s H B k p 4 S L B p h O 4 w 9 f B S y 0 J T O X I T f I s p q W 0 c q Z S v K i K p + O j 8 P G d D P z m m i o + E I a x t g 8 p F j e h u c a E 2 g B a F U K p H v V F 9 T S Z c K r T 4 H X V 4 v w / a M m O p 3 n g 9 K E O 8 G V T v F 7 Y G e J Q L h F s O g n L y z p 0 1 u l w M J o A f y B Q J q J E f A V 8 f j / k c S e u C U d Q O N h G w t d k T Q s e x k J w t f 8 6 f P 2 1 U 3 C s w w Q L 0 0 S 0 E M h i m 8 n U 4 1 B b W 8 u v t 7 Q g p 4 T H O 7 J c 9 d s J q 1 P A l 9 v i M L + 8 B C v 6 1 g Q q l I P H S b n t 9 O Y J t r O Y A p 4 s H G k 2 1 o i J q I 3 W Q S h U A 6 G a M D u D w x e P Q 3 A C B d L d f Y D F l E z p 8 O c b C + h s X g j 5 8 y z A q 2 M B + N / L i / z 6 m b h 3 x 2 I i 6 P 9 X G s t G C L o b g y X f S m 7 b u v 2 5 / 7 Y 4 1 A 4 I 1 O 6 H 5 V Q E m y I W F y H I X S z c s K G A K m 1 T U Y L 6 g F Z j 6 D p o P j + 2 p T w o H I B P U E Q N E Q 9 8 p S e C 6 a A H P C i o V C o J C 0 Z d V W X y n c A u h S k q t f t u j p m Y B q 7 Y z w h b R Q S 1 E 3 B H 1 L 1 H u Y / p 7 A t p P t L r m Q w E g k F 2 F o 0 a / c j y 0 i K 7 F v U B 0 T K Z W I F I b R 2 s Y I p V V 9 / A r 1 n N k 1 g O h h b C 9 q P d x U n / O u u z 0 F O X g E / u m d D W k O R 1 w t b A X 5 w 2 p s R 2 w g w c U 2 V x y P O I b x I U i Y k K C 4 6 Y M u k U 1 D c 0 Q h j b T b q u i g 8 k J o L E R C 4 U X 1 n m x z q 6 F n 0 G p Y R 7 I S Z b R / w 3 i a f L f l h Y W o F X u g F m F w K 4 Z u 1 3 l t g 4 t I + v 3 R G H 2 g a e 6 A m I x 1 W n 7 e k u H a K B L D q V D s F g j f 0 K g M X 5 G K R T K W j t 2 M d t I q c A Q F C K S G k d 7 c z J R B y C o R D 4 / b Q T F 8 f l 7 T X 0 f 6 P / T 9 S b h E P 1 S z C + k u U q o F A 9 s r W 2 S S K h s 5 h o B 6 w L Y X q H O i E x k W M 5 N D a 3 Q F 1 D A w r F z 3 0 + j p i o b 4 r E R N B n 1 N S E C 2 J 6 l j h O t a Q H I I j / 5 / Z A c T S 7 U B 2 S 8 m 0 j s p j q l V b q n k 5 O 4 r / 0 H B Q K E A u x W V 5 S d Y 9 w 0 j 1 6 n w / b U k Q a 0 7 3 S g s W j W e 2 Z u V M p H o + X H X U R 2 3 6 h F A 2 m X b s N J C q H h w 6 a E t V H U 9 e L 3 C f E n a J 4 R K f w R 7 t 4 3 f X r A z A 3 N 4 c b F l / X 0 s Z L B + 5 b Q s i p y J W I + Z h 6 L X 4 K f P I o B K N L a s T 5 s 4 b a f 2 n T h w c B A y K R c M X t I L F O f H L 9 r r S h t o D u e 5 G L B 4 5 D k a B q g 3 n 4 x s H y E Q 4 p b D u F w 8 X C A o m I j v o L 8 / M Q r G 2 E I J 1 u g a 5 l G B m 4 M d 8 B W e v 5 y r 7 z p g 6 H Q 8 N c l V x Z i U M m 3 G I / I 2 y E p H x b C M 0 f L Z y G Q d C S x t X V + I v p H 0 F i G x 0 d 4 / v 0 U k r j P h u O w P m R I I y m O + D S a B j O D Y f h w k Q T t r G a I P L s m 0 9 l e P E 7 1 W t z f A C g g b g + b u + V b w u J y i F F i S 1 g a F 2 F V M + B x t X V r O p 3 p b T u 8 O F e v k + p n A O d m U s j z U u h n + F Q 0 / M 1 y Q q d 0 N j Q 1 A K J Z I q 7 A E h Y n q W n 9 r P C R k g b a g t B 7 a R S d 3 J Y S G k w u l g u F B q n d 3 N w w n 6 0 P j c m / J w y P m + M L f k g G q 2 F c C Q C R t b g H W X 1 9 p B Y G + J Q 1 R I 6 W C a i U q I o i C c L a 4 c H z W l H 7 H u V w e 0 P M X S s y 6 P P W c 6 H U I k / G A j y k h w 3 l U 5 D 3 l p 7 / p Z Q j r S h q g z d D K 1 J 9 x y m V r y Q 3 U a X j f N J q + e C e B 4 w M e 8 b G R n B b 6 7 x k K l o N A r L o 4 P 4 z N p t I 1 E M T 4 V 1 E h W C O m w r p X s O 9 L K t c N S e K 6 I t a v F k L H S G 7 n p s 9 b P d g J z p 5 Z N f 4 T T G T 1 O S 4 R 2 u b N r b Q 6 J y U J G q 0 n q J k v A G G g t l 8 v X A r G h D 6 k J 5 F s 6 J d n W + 0 c M 5 l S L O x r 1 c u K D R F v Q 8 z Y Z E s y C V s l a + e 8 O N y Q D / b d o G 1 A 1 A 5 2 W t 3 j Y S 5 S E p X x W R 9 b S v m + 4 5 0 L w P j + b L 2 1 F 1 Q S V C E s j r B 1 Q / 1 d 2 Z 8 v Y S O Q B 9 7 P i S j 8 v r N B + f l d P g q 5 1 Z H i P 4 r K D v u p w C i K / E + b G F X 5 B E l Z i m 7 o C 1 2 0 h C h a R 8 V Y R h V N d A G p 3 3 c l + T A 8 1 c R K 7 z b m 8 a 7 t 2 7 D 5 O z 6 i T B U h y N t k Y s 6 G 5 Q f y d A c / a Z O g y j Q B t q l C j f P K S z e + 0 V J C i 6 k S s 9 f D g E 0 b p a 7 p z W U 4 m K 2 0 h C h X b u 5 o O 9 + 5 X + Q k n k e w s l 8 4 1 c q p T D z S Z P n f w W C u H e 3 X t w + M h h u D E d h b i + 8 8 I q / X a 7 + a P R d 6 Q B v F k j A 9 3 a f R 4 Z X 1 N T A 1 N T U 7 C M j t X 7 2 j v 2 K 4 X V o K A G R V C b E M / 1 F E Z I V C u o I t R 2 0 i G j 6 z z i g A b D 0 t C l 2 0 + S s K T t t 1 + z d X Z T V H R y J A m K h k U 1 J f v B 7 / f x 8 C O P 1 w O J e A J 6 T o u g 1 k P 6 o a p g 6 y I q R Y 0 g f 7 L g h b v o V J c u X e G R B 7 3 d O x s b t 7 s O R e 1 F D B T W l P c 4 t L e 3 w / 7 9 + y C d S s P S s j o Z U q i M t K E 2 i Z w W 2 q G g F B P x W p i r e R 3 e e O P r 7 F K 3 J v 0 8 M + z z B r s w L l U R R o m q / 7 H O Q m p q b o J A T V 3 F 7 S S h Q m Y 9 2 v T m L h 8 / D M L A v T F M A T G l q t C h S 1 U / Y r 9 5 A 9 s u J k T s u f j 2 C h I Q B 4 t J p b j p n B o 1 T + s z V q B k 2 8 h t 9 U 1 S v k 3 g I 7 Y L D l V E g 9 5 D B + G 9 I 5 X n v z v 7 Q g b O 9 C b g + P G X 4 L v H T H i j x 4 C T + 1 S 1 k K C p x V p q L Z 7 k c r c g d 1 J h c U G C l n f m 6 i G d y c B 0 f G s z 1 f 6 t I S n f Z k E L e + k W V 8 e D 8 O j x J H z r S I a D r g e V z 8 z D 1 w 4 o k S 0 u L q q U i x / R t Z 6 U S 5 G o 3 j 6 k w y v 7 s 3 C k x e T 5 z t 2 E B e Q E C 8 k W l q X E d W u K h l 9 Z a 7 e R R C H E o T a F H M q + 6 y K z n q P w 6 V A I h h d 8 M J v w Q r P 5 s D D 8 q L W 1 F a a m p j n F q g Q J k n i v N w W d 9 d s Y R L g B O b v d R F E m M F q H z 5 H Q h P W R N t Q m N 5 + H x v D t X j t m F A V F + P e 9 z k u H z s 7 9 6 I w a X L t 2 H W K x W F n a + b V u H R Y W F n k U O F 3 B o y m Y 5 N E Y 0 Q 3 G A 2 6 E S m t t E d k p H o d z n 5 b Y n q O p 0 m h Z u n 3 k V n 6 T l K + K c O a D 2 E 0 q d f i S o E 6 f f p W H / d D 9 U h o b G 6 C / / x r f z 8 3 d h D N H d D g c m e K 0 s K l m 6 6 d Z U A G C R k K Q e E g 4 f J / F p I T E j 3 E 7 8 B X n V 2 0 f i W J I y l c F t F P t O h u k l X V 1 0 Y J D X b h w E e 7 c u Q t Z 3 L l f e E G d b 9 X W 1 s r L l u Z m 3 v H 9 S z f 4 c T X w 5 2 J Q q g d 5 W 0 R O u s f i s t f Z o s r n n 6 + z i 5 8 3 J O W r 4 m Z Z N E p C p V O r n c I N f J 4 c j 9 V b D x q U m k 6 r q 7 l 3 d H T A s W M v Q c D v 5 / V E S 0 s z D A z c g H O f f Q K f f n o O T p 4 8 C Y e b q 3 Q p W 0 w k H t N U I i L x F J 0 J g 5 z J z G I Y U B s J l W w Z u a 2 + i U N V Q Y 5 2 p u z 2 z l b d r B L n 9 e b h z Q M p H k V R O k m m A w m k q a k J r l 6 9 B t c H B q C 5 u Q m y W V U N 3 L d v H 0 x M T P D s S q d O v Q J n v n k W 3 n r r G / x c a 2 C J l + u j u g P o V h B O m Y B K I 8 t D k U z c B g d 7 u u z 3 C 5 X Q z t 8 d 2 o U a 1 l 8 X N M + 3 b v k h E A y T R d l r 3 e H d w 3 p h x A S N F 7 x 1 6 z a 3 m x y W l 5 e h v r 7 e f l T O 4 k K M r + L R v q / T X q M g w T k z 0 c a S H n g y k 4 E l U 0 2 4 6 e A U I i i N U + 5 D g j H 4 v b w 0 M j w 5 p 5 F J g 5 5 J Q j q Z w F i G n 7 z / j 2 5 v g r 8 q 8 P h p t 6 Y k 1 o 2 2 J r X D 0 d H b b U q H H 5 H b k J g u X b z M 7 R h i c J B O O 6 / M p L 6 P x T R v z 1 L r U D q t c 0 s k B 6 c O e v k i b W / 3 6 t A d X u A R 8 O x Q X N V z 0 j v V X i o 6 F a Z + 5 E 5 0 n 1 1 K C U 2 l v B L r h f b l 3 W F x q C p 4 N J a D Q K g W X a q m c G W N 7 U J v t / U C u Y X 7 8 K 3 X u m B p a R n b Q s U B s + Q g 1 E b K Z H R O 8 9 z A o O m g N Q 9 4 f T 5 u K 3 0 y 6 A M D X Z H S W R P b i c q Z S D g 6 O 5 + h p 9 C d 0 p B J o z s l V l C A O r z / s x / b n y Z U Q s r m V U b I b 2 E 6 p P N O t 1 6 H a 7 X U + I r v f / s r 7 d D X 1 1 8 m J m J k 5 D G M j Y 1 D X V 2 t v W Z 9 U s n K 1 3 I i l 2 M R 2 V A b j f q u S E y z s 9 P w a t s s u 4 9 Z c C E K u 7 3 E j q R E Z q L I s o Y O 3 / v B 2 Y r b R q I Y k v J V G V 3 7 / H z k N k 2 a h n l n q V / S K D q c o d X C m 2 + + Y T 9 S x G L z P F E m V f O q u S o H z Z 1 X C R K B k z r S C Z L B U A 0 7 X y a d g X C 4 F p L x e E n K V x R U U V j K r b L Z D C / r G 6 g t V 3 n 7 S K j Y W e 7 y N w S 1 H U z c Q W k n 5 b Q I d z h q h + y U / v E A 6 K v 0 O T M 9 Z d / b G X S R 7 E C Q T j + h K 3 5 g m k e O R W c e 4 y 2 T T o P p b 1 R u 5 K R 9 J C B + T E J S 6 R 9 / X 3 S 5 2 t q 9 u Z r i X z o y c + w W 4 m B n A H d I E h Q d s Q 0 8 i m 9 / X B t + X I H z I + W X s N n f W S x N r y 6 E z M / N s D D o I m 0 L s T m + r O h K h Z P + 0 u k U e L 1 q W F O K p 1 Q 2 Y C 5 O H b a q s q d 5 / X B 9 T L O d y H E j u m g c i s g J / K 7 q + + r w z + / / s O I 2 k S g P c a g t U B c N g K m n W V C 0 k 1 E a R D s 8 j z b Y I q v f M b l c P C 2 C h h W N j 4 / D / Q e D L A o S A V 0 q p 7 / / O j S 3 t n M 7 i E T Q 1 N L K l x W t q 1 B W p 4 u 4 0 f + L 3 k t X 0 K B l r Y 8 c y O R R F p 8 / 8 u L / n Y R U 3 m 6 y U E i c 2 t o H j q y e g m A Q 0 0 7 c W Y T N 0 S 7 c f y x V v i 2 Q z m T h w V A C A q E w 7 q g h j C B f Q I 2 u S E g X K t s J z j l P p c z P z 0 N z c z P f p 5 l c e 3 v V R Q i I T C Y N I W w X r Y a E R O P / a M g Q C T 6 X o 0 l X T A z 1 + B y K i f q 8 u C D B A i K h 2 Y 5 E f U 9 4 0 N A z K U g n 4 1 z p + + A X P 7 U / W d g M m e h y i x E O + X H H w x Q K d 2 Z q W 3 A b A 4 O O 8 r Q D b 9 W t K E 1 w q H T 1 w s b G R v s e s J j I a a j 6 t 7 y 8 A g E U 8 2 r o e U r v S D i O i J L J J F c C K Y 2 j M r k q j R f D S e + K g s p w u Z x E V R e N V t w O E p V D y u b b i N O v d P B R 3 D D s 9 I 8 r Y W r n V I 5 A 5 w 6 R s D Y X F 7 0 s U G J s 8 6 n y L J z O i y q F 0 r 0 D B 7 q h v r 6 O h e O k d R Q k H h K R 4 0 i z M 9 O 8 1 O j C 0 / i + b N Z k h 6 X 0 T l X z l D M V h M W i o j S P D h Z p P t r + 5 G c / r L g N J C o H b u k K a y U 2 D B + 1 a 7 J q W I 5 z R M / q 6 g j v 7 J x U i m Z R V e F Y p f N o D k w E 2 K l M u 6 u q v l G l e 5 W Y m H g K f X 1 X b T G Z X E A g k W V R L I a R 5 Q 5 o W i o H M i C R i M P F Y c 0 W T 2 n Q + / B 7 U N j u R A e M 7 / 3 w u / h X K m 8 D i c q h X X z w Z P N f X K j I F 1 8 + B H 8 w U m x L + Q N c q v Z 4 f O D 1 U Z v K x 4 5 C O z a 5 h E r v c K O X 5 n k b Q M O S o i t X e O A r u Y 7 j e I 4 r 0 Z I q d u o x B X U + m 5 B K Y R s v E A D L P s e J 2 0 o Y q Y w F f a M e F F S x A M F p I D k T O S 6 K K Z N O g o 5 B Z f J / / f k / 8 d 8 T q k e 7 N C i C 2 i 7 Z r A V f X h p G U d U o U f l J V H 6 u z N H w H k d Q V L B g Q b G w i o K i 4 f 5 8 Y G P 4 U S F J d F a f P Z q B 6 e l p a G t r Y + F Q U E F h 9 M k Y d O x r h / P n L 8 C Z M + + y w K g Q Q U O I 6 E w T S u t o Y G 1 N O M x i o v d c H K b K H o k L B Y V C c t I 8 R 1 D U Z i I x + f B g 8 M E v p R C x H S T l 2 0 H Q j K q d H R H e C Q 3 c G S l N c k r q K v 0 r p o B O W 0 W 1 X T B w x + b 2 F j o I B 1 X k + E Q + d T 4 S 7 / g Y a d 1 E Q c 3 g T m + o y f q T S b h 9 + w 5 0 d n c q 9 8 M b C Y c E w 2 E o 8 V B p n M r l c / N x u D C k Y Z A z F U W k Q q V 5 p W L y Y M P p 5 x / 8 S 8 X v K 7 F 5 o E O N i k P t k P v 3 x 2 B i c h m d i k r p q o z u x S g t p z s u x S J w X K o 0 D e R P K m I n d 3 D m c I Z d a W x s D L q 6 u l B 0 N D 5 P h 3 S a R i 9 E 2 J n I g a h 4 Q W f u U o p H a R + l g B d G v L i k f q Z i X x P d 5 y I K C p Q E r 9 q A 6 h Q N 6 u X / t / 9 4 H 9 P F t V d j F K q D D n G l A p P Y R h w 7 f g D A w s Z 8 O s 5 H e T r a 8 0 6 K w T u s 3 d h X j q D c g Y s H f B 9 3 b F q S c 5 S E c h J q 3 x h w 7 t z n P B 0 y v w f d h w g G g y y q g Y G b u M 7 k / i p d N 9 C t l n j u 9 P N D m B r a f 0 v 9 v a J 4 i i J S r k T t J v o q 3 / 2 H M x A I o p h W f T + J 6 k O 7 / H B M H M o l / v T R Z c h a X m x H B d m p v P 6 A a k / Z Q W 0 o b l O h Y y m X U m 5 l 2 5 S z K I D G B G / 3 Z u D W z d v w 8 s k T q g 1 F x Q c 6 Z R 2 d i S b u n 5 m Z g T g u u 7 u 7 I B Q K o c i S E E u F 4 P G 8 m l y G 0 k c 1 C q J y u 4 l E T n O t n / 3 O e / D i s W K n s b A 9 R F A u c + / u C D w a m g K f X f n z e l X 6 p 6 p + x d B o N g 9 b U C w q P r y p z y i A v 0 x v 6 D H P I 5 G z C x K l g q L 7 N 2 / e g u P H j / F j S v c e z G i w k L B P a + e 2 G l X 5 S E j U x l J t O u V Q G V 7 v 9 / v h g 1 / + j E U l 7 B z t 8 i M R l N s k k 2 n 4 4 x 8 u c 9 X P W 6 j 8 U X v K V 2 h T q f Z U u U s p P R V V R a P C O / K D 0 H N Q X Y H e C R I P O 1 Q y A a F g i E c / L C w s w F C 8 t V D k c M b p 0 X w Y 5 E 7 l 7 a Y 0 / x U q r f / 7 L 3 9 q C 1 p w A + 2 K C G r X + J 9 f f Q R o V S g s T P 1 w 6 a R + S l Q o J C 5 Q O E G a o h 2 7 u H P X B H J w p H 6 F U 7 m C m N i d l K h u P 5 y A w w c 6 I G P k 0 J k 8 7 E a l 5 z a p I o R K 9 Z w 0 j 4 o U X v y 7 B 3 u 6 4 f s / + o 7 9 l w S 3 Q E G N i 6 B 2 k Z H h c b h 8 6 R Y 7 l U r 9 y K 3 s / i l O / R x B 2 a l f i V u 8 1 m 3 A 1 O Q U p n z t J Y L C J a V 3 G L S 8 N u 5 V r k T r b C E V 2 0 3 U e a v c i Y R F s C v 9 4 q e S 4 u 0 S I q g 9 4 l f / 9 W v I W p p y K i q n o 5 h K C x W F 1 A 8 d y t H U q U 5 V 5 a N 2 T q m g 7 k 9 7 I Z N V H b m F P i z b n T j N 4 6 W q E u Y w 9 a P P p T 6 z r 7 5 y E t 5 8 5 z X 1 4 c K u o F 0 Z E k H t J f / 9 n 7 8 G P U t z O 6 B L F U Z T q C K F B 0 V F a u L W l G 1 W J 9 p 1 f k x i W k r T X O g e d i O e s Y i D x E Q i U k t 2 J R R V H t e T U O l M 3 V d e f R n e e F u E t B d o f U M T I q h n w K c f X 4 S h R y P 4 C 6 j U r 1 L 6 R 5 e 5 M V P z 0 N b S A M M x c i U q p S s h K U E V n Y n E R O v o f S Q k a n d 9 / 8 d / j + n i z i 4 9 K m w N E d Q z h p y n 7 / I N u D l w x + 6 0 V d b E N z S s j p o 4 n 0 Q 4 M u 9 V a V 8 u D 0 G f C W n 7 e m 2 O g C j o z N o f / O j v o L V d R P S s 0 P q G R V D P E + Q + s 9 M x d K 8 n M D M 1 C 0 t L K 3 Z q R x O t K F G R i 7 W 2 N U P P o W 4 4 d O Q A R K O b T z U m 7 A 0 o q K c i K E F w C e 2 q C E o Q X E O 7 O i K C E g S 3 Q E F N i q A E w S W 0 f h G U I L i G x 1 4 K g u A C W v 9 j c S h B c A s U 1 J Q I S h B c Q r s m g h I E 1 9 C u P R F B C Y J b o K C m R V C C 4 B J S 5 R M E F 9 G u j 4 p D C Y J b o K B m R F C C 4 B K S 8 g m C i 2 g D 4 l C C 4 B r a w N i s C E o Q X E J S P k F w E R G U I L i I d m N c U j 5 B c A s U 1 J w I S h B c Q g Q l C F u E p r n + 8 4 e / h X f P f g c G 7 9 3 l C U p p X X f P I W l D C c J W W Z y f h 4 V Y D C Z G R 2 H k 4 S D c v n E N R k e G 4 W M U m X Z z I i Y O J Q i u A P D / t J j l X 3 S l a a A A A A A A S U V O R K 5 C Y I I = < / I m a g e > < / T o u r > < / T o u r s > < / V i s u a l i z a t i o n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N I D A A B Q S w M E F A A C A A g A I 3 1 o W N K 9 K 8 G k A A A A 9 w A A A B I A H A B D b 2 5 m a W c v U G F j a 2 F n Z S 5 4 b W w g o h g A K K A U A A A A A A A A A A A A A A A A A A A A A A A A A A A A h Y 9 N D o I w G E S v Q r q n f 7 g w 5 K P E u J X E a G L c N r V C I x R D i + V u L j y S V x C j q D u X 8 + Y t Z u 7 X G + R D U 0 c X 3 T n T 2 g w x T F G k r W o P x p Y Z 6 v 0 x n q N c w F q q k y x 1 N M r W p Y M 7 Z K j y / p w S E k L A I c F t V x J O K S P 7 Y r V V l W 4 k + s j m v x w b 6 7 y 0 S i M B u 9 c Y w T F j M 8 w 5 T z A F M l E o j P 0 a f B z 8 b H 8 g L P v a 9 5 0 W 2 s W L D Z A p A n m f E A 9 Q S w M E F A A C A A g A I 3 1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N 9 a F j i i M h 0 z A A A A A 8 B A A A T A B w A R m 9 y b X V s Y X M v U 2 V j d G l v b j E u b S C i G A A o o B Q A A A A A A A A A A A A A A A A A A A A A A A A A A A B t j j 1 v w j A Q h v d I + Q + W u x A p s o j Y i r I Q o K J L E Q 1 T k u G C L 2 D h L 9 l m q B D / v Q 5 h 5 J a T T u + 9 z + P x F I T R 5 H f a x T J N 0 s R f w C E n e z j j f F 6 Q k k g M a U L i / D h x R h 0 v e z 6 w G n q J f r Y V E l l l d E A d / I x W n + 3 R o / P t 9 2 p z + N o c 2 j X 6 a z C 2 L Z j l A 8 1 y 0 u y U l a h i H E Z m S Q u 2 o F 2 W T 4 i R O j I n 1 L 3 Z 8 Z K + T G j 3 a N Y Q o H t F P 2 g t r C E n U L 0 A b m j 8 e j q x 2 o H 2 g 3 G q M v K m d P 1 n o + e z O L 8 / s j Q R + n 3 B 8 h 9 Q S w E C L Q A U A A I A C A A j f W h Y 0 r 0 r w a Q A A A D 3 A A A A E g A A A A A A A A A A A A A A A A A A A A A A Q 2 9 u Z m l n L 1 B h Y 2 t h Z 2 U u e G 1 s U E s B A i 0 A F A A C A A g A I 3 1 o W A / K 6 a u k A A A A 6 Q A A A B M A A A A A A A A A A A A A A A A A 8 A A A A F t D b 2 5 0 Z W 5 0 X 1 R 5 c G V z X S 5 4 b W x Q S w E C L Q A U A A I A C A A j f W h Y 4 o j I d M w A A A A P A Q A A E w A A A A A A A A A A A A A A A A D h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B g A A A A A A A P o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Y W d l M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h U M T g 6 M T Y 6 M z U u M z k 3 M z g z N F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Q Y W d l M D A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G L 1 0 Q 7 J u + S 5 5 v x f d / 0 k B w A A A A A A I A A A A A A A N m A A D A A A A A E A A A A G 4 K r 4 t t g j q w S j h A c D Y l p P Q A A A A A B I A A A K A A A A A Q A A A A U w L B 7 O 7 v T d P L i b n 8 W k z J e l A A A A C a y 4 6 F + N N P L S Z 2 O F 4 6 Z 7 Q b V 6 p f i q J I S K 2 C a d m x P 1 0 R x N 8 j M Z e C 1 8 U 4 u 6 U s j p r z s c F N 3 T U o e e X G Y Z o f e u B B h H K v 0 0 j n 4 9 S j l Z r 3 9 n j 5 t r 8 q 1 R Q A A A D 0 k r H A u h 5 n b Q t N R I p 0 J A 6 j 3 O n Q B A = = < / D a t a M a s h u p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587DF6-8C4D-4340-BA78-38F29E6F840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08B6E30C-CFEC-4A65-9C3A-49CD5D83637A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ED407AAE-6F81-4D22-8D04-D67F11E1B6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CAE7FBD-40FD-488A-87FE-6511F3F1454E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06393226-6003-422D-BC7F-9BD605528D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</vt:i4>
      </vt:variant>
    </vt:vector>
  </HeadingPairs>
  <TitlesOfParts>
    <vt:vector size="20" baseType="lpstr">
      <vt:lpstr>LP</vt:lpstr>
      <vt:lpstr>EERR Global</vt:lpstr>
      <vt:lpstr>Scio</vt:lpstr>
      <vt:lpstr>PUNTOS DE INYECCIÓN</vt:lpstr>
      <vt:lpstr>Optimización Batch</vt:lpstr>
      <vt:lpstr>Consumos importantes</vt:lpstr>
      <vt:lpstr>Ptos de Inyección 2</vt:lpstr>
      <vt:lpstr>CR</vt:lpstr>
      <vt:lpstr>Recopilación de PQs</vt:lpstr>
      <vt:lpstr>Hoja4</vt:lpstr>
      <vt:lpstr>EMB</vt:lpstr>
      <vt:lpstr>Hoja2</vt:lpstr>
      <vt:lpstr>Lista PQ Comp</vt:lpstr>
      <vt:lpstr>Lista PQ PECOM</vt:lpstr>
      <vt:lpstr>Personal</vt:lpstr>
      <vt:lpstr>Listas aux</vt:lpstr>
      <vt:lpstr>DBM-RT</vt:lpstr>
      <vt:lpstr>FA</vt:lpstr>
      <vt:lpstr>Hoja3</vt:lpstr>
      <vt:lpstr>'Lista PQ Comp'!Área_de_impresión</vt:lpstr>
    </vt:vector>
  </TitlesOfParts>
  <Manager/>
  <Company>YPF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GRAMAGLIA, PIA</dc:creator>
  <cp:keywords/>
  <dc:description/>
  <cp:lastModifiedBy>Bergerat, Juan Gabriel</cp:lastModifiedBy>
  <cp:revision/>
  <dcterms:created xsi:type="dcterms:W3CDTF">2024-02-26T13:40:36Z</dcterms:created>
  <dcterms:modified xsi:type="dcterms:W3CDTF">2024-03-19T20:18:06Z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01c5ec-e5b5-40ab-b632-dbf2eb8611fa_Enabled">
    <vt:lpwstr>true</vt:lpwstr>
  </property>
  <property fmtid="{D5CDD505-2E9C-101B-9397-08002B2CF9AE}" pid="3" name="MSIP_Label_b701c5ec-e5b5-40ab-b632-dbf2eb8611fa_SetDate">
    <vt:lpwstr>2024-02-26T13:50:39Z</vt:lpwstr>
  </property>
  <property fmtid="{D5CDD505-2E9C-101B-9397-08002B2CF9AE}" pid="4" name="MSIP_Label_b701c5ec-e5b5-40ab-b632-dbf2eb8611fa_Method">
    <vt:lpwstr>Privileged</vt:lpwstr>
  </property>
  <property fmtid="{D5CDD505-2E9C-101B-9397-08002B2CF9AE}" pid="5" name="MSIP_Label_b701c5ec-e5b5-40ab-b632-dbf2eb8611fa_Name">
    <vt:lpwstr>YPF - Privado</vt:lpwstr>
  </property>
  <property fmtid="{D5CDD505-2E9C-101B-9397-08002B2CF9AE}" pid="6" name="MSIP_Label_b701c5ec-e5b5-40ab-b632-dbf2eb8611fa_SiteId">
    <vt:lpwstr>038018c3-616c-4b46-ad9b-aa9007f701b5</vt:lpwstr>
  </property>
  <property fmtid="{D5CDD505-2E9C-101B-9397-08002B2CF9AE}" pid="7" name="MSIP_Label_b701c5ec-e5b5-40ab-b632-dbf2eb8611fa_ActionId">
    <vt:lpwstr>1254e466-3455-4426-b6f3-996f6f29a75c</vt:lpwstr>
  </property>
  <property fmtid="{D5CDD505-2E9C-101B-9397-08002B2CF9AE}" pid="8" name="MSIP_Label_b701c5ec-e5b5-40ab-b632-dbf2eb8611fa_ContentBits">
    <vt:lpwstr>3</vt:lpwstr>
  </property>
</Properties>
</file>