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37. YPF. TQ_Pta_Int_ Ttos_Mendoza/"/>
    </mc:Choice>
  </mc:AlternateContent>
  <xr:revisionPtr revIDLastSave="208" documentId="13_ncr:1_{3CC8C643-601B-46AF-8EB4-3B83A7486694}" xr6:coauthVersionLast="47" xr6:coauthVersionMax="47" xr10:uidLastSave="{0F260FDD-E1E1-49B8-86F7-8F392535CEB3}"/>
  <bookViews>
    <workbookView xWindow="-120" yWindow="-120" windowWidth="24240" windowHeight="13140" activeTab="3" xr2:uid="{EE857EC7-C484-4236-8A71-EC374657645B}"/>
  </bookViews>
  <sheets>
    <sheet name="PUNTOS DE INYECCIÓN" sheetId="6" r:id="rId1"/>
    <sheet name="Barr" sheetId="15" r:id="rId2"/>
    <sheet name="Ugar." sheetId="16" r:id="rId3"/>
    <sheet name="Resumen Optimización" sheetId="21" r:id="rId4"/>
    <sheet name="LV" sheetId="17" r:id="rId5"/>
    <sheet name="MGÜE" sheetId="18" r:id="rId6"/>
    <sheet name="Vizca" sheetId="19" r:id="rId7"/>
    <sheet name="PROPUESTA" sheetId="20" r:id="rId8"/>
    <sheet name="Servicio" sheetId="7" r:id="rId9"/>
    <sheet name="Barrancas- Ugarteche" sheetId="8" r:id="rId10"/>
    <sheet name="La Ventana" sheetId="9" r:id="rId11"/>
    <sheet name="Malargüe" sheetId="10" r:id="rId12"/>
    <sheet name="Vizcacheras" sheetId="12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___F">#REF!</definedName>
    <definedName name="________________PAG1">#REF!</definedName>
    <definedName name="________________PAG2">#REF!</definedName>
    <definedName name="________________PAG3">#REF!</definedName>
    <definedName name="_______________F">#REF!</definedName>
    <definedName name="_______________PAG1">#REF!</definedName>
    <definedName name="_______________PAG2">#REF!</definedName>
    <definedName name="_______________PAG3">#REF!</definedName>
    <definedName name="______________F">#REF!</definedName>
    <definedName name="______________PAG1">#REF!</definedName>
    <definedName name="______________PAG2">#REF!</definedName>
    <definedName name="______________PAG3">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_r">#REF!</definedName>
    <definedName name="_____F">#REF!</definedName>
    <definedName name="_____PAG1">#REF!</definedName>
    <definedName name="_____PAG2">#REF!</definedName>
    <definedName name="_____PAG3">#REF!</definedName>
    <definedName name="_____r">#REF!</definedName>
    <definedName name="____F">#REF!</definedName>
    <definedName name="____PAG1">#REF!</definedName>
    <definedName name="____PAG2">#REF!</definedName>
    <definedName name="____PAG3">#REF!</definedName>
    <definedName name="____r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">#REF!</definedName>
    <definedName name="___PAG1">#REF!</definedName>
    <definedName name="___PAG2">#REF!</definedName>
    <definedName name="___PAG3">#REF!</definedName>
    <definedName name="___r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">#REF!</definedName>
    <definedName name="__PAG1">#REF!</definedName>
    <definedName name="__PAG2">#REF!</definedName>
    <definedName name="__PAG3">#REF!</definedName>
    <definedName name="__r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011_01_BASE_INTEGRADA">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Lab1">[4]MiniDB!$D$69</definedName>
    <definedName name="_Lab2">[4]MiniDB!$D$70</definedName>
    <definedName name="_Lab3">[4]MiniDB!$D$71</definedName>
    <definedName name="_Lab4">[4]MiniDB!$D$72</definedName>
    <definedName name="_Lab5">[4]MiniDB!$D$73</definedName>
    <definedName name="_MACRO">#N/A</definedName>
    <definedName name="_MSG2">#REF!</definedName>
    <definedName name="_MTR1">#REF!</definedName>
    <definedName name="_Oil1">[4]MiniDB!$D$22</definedName>
    <definedName name="_Oil2">[4]MiniDB!$D$23</definedName>
    <definedName name="_Oil3">[4]MiniDB!$D$24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'[5]PC97 98'!$A$7</definedName>
    <definedName name="_PCO1">#REF!</definedName>
    <definedName name="_PCO2">#REF!</definedName>
    <definedName name="_PCO3">#REF!</definedName>
    <definedName name="_PCO4">#REF!</definedName>
    <definedName name="_Pdb1">[4]MiniDB!$D$11</definedName>
    <definedName name="_Pdb2">[4]MiniDB!$D$8</definedName>
    <definedName name="_Pdb3">[4]MiniDB!$D$3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">#REF!</definedName>
    <definedName name="_RC5">#REF!</definedName>
    <definedName name="_Regression_Int" hidden="1">1</definedName>
    <definedName name="_Rgo1">[4]MiniDB!$D$52</definedName>
    <definedName name="_Rgo2">[4]MiniDB!$D$53</definedName>
    <definedName name="_Rgo3">[4]MiniDB!$D$54</definedName>
    <definedName name="_Rgo4">[4]MiniDB!$D$55</definedName>
    <definedName name="_Sort" hidden="1">#REF!</definedName>
    <definedName name="_Tdb1">[4]MiniDB!$D$28</definedName>
    <definedName name="_Tdb2">[4]MiniDB!$D$29</definedName>
    <definedName name="_Tdb3">[4]MiniDB!$D$30</definedName>
    <definedName name="_TP">#REF!</definedName>
    <definedName name="_TPF">#REF!</definedName>
    <definedName name="_WO2006">[6]InfRep.11_2003!#REF!</definedName>
    <definedName name="_WTI1">#REF!</definedName>
    <definedName name="_WTI2">#REF!</definedName>
    <definedName name="_WTI3">#REF!</definedName>
    <definedName name="_WTI4">#REF!</definedName>
    <definedName name="_x002">'[7]500'!$A$1:$N$60</definedName>
    <definedName name="_X01">'[7]500'!$A$1:$N$60</definedName>
    <definedName name="_xlcn.WorksheetConnection_Tabla11" hidden="1">Tabla1[]</definedName>
    <definedName name="A">#REF!</definedName>
    <definedName name="A_IMPRESION_IM">#REF!</definedName>
    <definedName name="A_impresión_IM">#REF!</definedName>
    <definedName name="A_IMPRESIÚN_IM">#REF!</definedName>
    <definedName name="A_pozo">[4]MiniDB!$D$39</definedName>
    <definedName name="aa" hidden="1">#REF!</definedName>
    <definedName name="aaaa" hidden="1">#REF!</definedName>
    <definedName name="AbrirImprimir">[8]!AbrirImprimir</definedName>
    <definedName name="ACT">#REF!</definedName>
    <definedName name="Actual">#REF!</definedName>
    <definedName name="Adic">[9]CS!$A$31:$A$38</definedName>
    <definedName name="ADIC_CCT">[10]BD_ADICIONALES.PETROLERO!$A$8:$A$14</definedName>
    <definedName name="ADIC_IMPORTE">[10]BD_ADICIONALES.PETROLERO!$BE$8:$FL$14</definedName>
    <definedName name="Adic_Intern">#REF!</definedName>
    <definedName name="ADIC_ITEM">[10]BD_ADICIONALES.PETROLERO!$BE$6:$FL$6</definedName>
    <definedName name="ADIC_MES">[10]BD_ADICIONALES.PETROLERO!$BE$7:$FL$7</definedName>
    <definedName name="ADIC_PROVINCIA">[11]BD_ADICIONALES!$B$8:$B$16</definedName>
    <definedName name="Administración">#REF!</definedName>
    <definedName name="Afe_Buscado">[12]Cotizaciones!#REF!</definedName>
    <definedName name="Agua">#REF!</definedName>
    <definedName name="AGUA.INY">#REF!</definedName>
    <definedName name="AGUA_ACTUAL_YAC11">'[13]producción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ORT">#N/A</definedName>
    <definedName name="Amperaje">#REF!</definedName>
    <definedName name="Analisis">#REF!</definedName>
    <definedName name="Analisis_Final">#REF!</definedName>
    <definedName name="anioIni">[14]TABLERO!$C$6</definedName>
    <definedName name="anlisis">#REF!</definedName>
    <definedName name="ANSW">#REF!</definedName>
    <definedName name="AOF">[4]MiniDB!$D$43</definedName>
    <definedName name="API">#REF!</definedName>
    <definedName name="APIDB">[15]API!$A$2:$M$102</definedName>
    <definedName name="aqerqwer" hidden="1">#REF!</definedName>
    <definedName name="areaniv">#REF!</definedName>
    <definedName name="ary">#REF!</definedName>
    <definedName name="asd">#REF!</definedName>
    <definedName name="asdf">#REF!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>#REF!</definedName>
    <definedName name="B">#REF!</definedName>
    <definedName name="B_pozo">[4]MiniDB!$D$40</definedName>
    <definedName name="B4450.">#REF!</definedName>
    <definedName name="Bacterias">'[16]Ultima Medicion'!$V$1:$W$5</definedName>
    <definedName name="BAJADAS">#REF!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[17]Dic2001!$A$12:$I$112</definedName>
    <definedName name="Base6">#REF!</definedName>
    <definedName name="Base7">#REF!</definedName>
    <definedName name="BaseDatos">#REF!</definedName>
    <definedName name="_xlnm.Database">#REF!</definedName>
    <definedName name="BaseGastos">#REF!</definedName>
    <definedName name="bb">#REF!</definedName>
    <definedName name="bbaINY">'[16]Impulsion Bomba Inyectora'!$A$4:$U$231</definedName>
    <definedName name="Bbl">[18]Tablas!$I$4</definedName>
    <definedName name="BHP">#REF!</definedName>
    <definedName name="BHT">#REF!</definedName>
    <definedName name="bipp">[19]SPLITS!#REF!</definedName>
    <definedName name="BOLIVARES">#REF!</definedName>
    <definedName name="Bolívares">#REF!</definedName>
    <definedName name="Bolívares_MRIL">#REF!</definedName>
    <definedName name="BOMBAS">#N/A</definedName>
    <definedName name="Bono">[17]Dic2001!$F$12:$F$112</definedName>
    <definedName name="BorrarHoja">[8]!BorrarHoja</definedName>
    <definedName name="BorrarProducc">[20]Production!$C$6:$L$306</definedName>
    <definedName name="brantes">[21]Sheet1!#REF!</definedName>
    <definedName name="brdesp">[21]Sheet1!#REF!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[4]MiniDB!$D$41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'[22]Coef.'!$J$112:$J$115</definedName>
    <definedName name="CANO">#REF!</definedName>
    <definedName name="Cant_CV">#REF!</definedName>
    <definedName name="Cant_turnos">#REF!</definedName>
    <definedName name="CANTESP">#REF!</definedName>
    <definedName name="CARGAR">#REF!</definedName>
    <definedName name="Cargo">#REF!</definedName>
    <definedName name="Carrera">#REF!</definedName>
    <definedName name="cash">#REF!</definedName>
    <definedName name="Categoria">[23]Hoja3!$A$2:$A$9</definedName>
    <definedName name="Catepp">[9]GdP!$F$5:$K$5</definedName>
    <definedName name="Catot">[9]GdP!$F$61:$K$61</definedName>
    <definedName name="CBIOBOMBAS">'[24]CAMBIO DE BOMBA'!$A$1:$J$59</definedName>
    <definedName name="CBIOBOMBASPERDIDA">'[24]CAMBIO DE BOMBA'!$A$136:$J$199</definedName>
    <definedName name="CBIOBOMBASTOTAL">'[24]CAMBIO DE BOMBA'!$A$66:$J$129</definedName>
    <definedName name="cc">#REF!</definedName>
    <definedName name="ccc">#REF!</definedName>
    <definedName name="CCT_1">#REF!</definedName>
    <definedName name="CCT_2">#REF!</definedName>
    <definedName name="Ce">#REF!</definedName>
    <definedName name="Ce35A">[25]Pulling!$C$24</definedName>
    <definedName name="CeCos">[26]CeCos!$D$2:$D$1842</definedName>
    <definedName name="Celdasaborrar">[27]Planilla!$B$9:$C$33,[27]Planilla!$BG$8:$BM$33</definedName>
    <definedName name="CENTENARIO">#REF!</definedName>
    <definedName name="CF">#REF!</definedName>
    <definedName name="cftr">'[28]500'!$A$1:$N$61</definedName>
    <definedName name="CH_DATE">#REF!</definedName>
    <definedName name="CH_PAGE">#REF!</definedName>
    <definedName name="chapa">#REF!</definedName>
    <definedName name="CHECK">#REF!</definedName>
    <definedName name="cia">#REF!</definedName>
    <definedName name="CINCO">"Lista desplegable 1"</definedName>
    <definedName name="Ciudad">#REF!</definedName>
    <definedName name="Clor1">[4]MiniDB!$D$21</definedName>
    <definedName name="Clor2">[4]MiniDB!$D$20</definedName>
    <definedName name="Clor3">[4]MiniDB!$D$19</definedName>
    <definedName name="cmax">#REF!</definedName>
    <definedName name="cmin">#REF!</definedName>
    <definedName name="CNT">#REF!</definedName>
    <definedName name="CNTR">#REF!</definedName>
    <definedName name="Co">#REF!</definedName>
    <definedName name="cober1">[29]Hoja1!$F$3:$F$6</definedName>
    <definedName name="Cobertura">[30]Cobertura!$K$12:$K$13</definedName>
    <definedName name="code">[15]Data!$I$13</definedName>
    <definedName name="coef">'[31]COEF. C'!$A$5:$B$104</definedName>
    <definedName name="Cola_camisa">'[22]Coef.'!$J$117:$J$122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[20]Production!$P$4</definedName>
    <definedName name="cond">[15]Data!$J$13</definedName>
    <definedName name="CONT\Y">[1]Sheet6!#REF!</definedName>
    <definedName name="Contacto">#REF!</definedName>
    <definedName name="CONTADOR">[1]Sheet6!#REF!</definedName>
    <definedName name="continua">[0]!continua</definedName>
    <definedName name="controasist">[32]Hoja1!$H$1:$H$4</definedName>
    <definedName name="Control">#REF!</definedName>
    <definedName name="CONTROLADOR">[1]Sheet6!#REF!</definedName>
    <definedName name="conv1">[15]Data!$AF$3</definedName>
    <definedName name="conv2">[15]Data!$AF$4</definedName>
    <definedName name="conv3">[15]Data!$AF$5</definedName>
    <definedName name="Conyuge">#REF!</definedName>
    <definedName name="Conyuge1">#REF!</definedName>
    <definedName name="CORROSION">#N/A</definedName>
    <definedName name="costos_diectos">'[33]Cuadro de Resultados'!#REF!</definedName>
    <definedName name="COTA">#REF!</definedName>
    <definedName name="Coti">#REF!</definedName>
    <definedName name="Coti_01">[34]Tablas!$D$4</definedName>
    <definedName name="Coti_02">[34]Tablas!$D$5</definedName>
    <definedName name="Coti_03">[34]Tablas!$D$6</definedName>
    <definedName name="Coti_04">[34]Tablas!$D$7</definedName>
    <definedName name="Coti_05">[34]Tablas!$D$8</definedName>
    <definedName name="Coti_06">[34]Tablas!$D$9</definedName>
    <definedName name="Coti_07">[34]Tablas!$D$10</definedName>
    <definedName name="Coti_08">[34]Tablas!$D$11</definedName>
    <definedName name="Coti_09">[34]Tablas!$D$12</definedName>
    <definedName name="Coti_10">[34]Tablas!$D$13</definedName>
    <definedName name="Coti_11">[34]Tablas!$D$14</definedName>
    <definedName name="Coti_12">[34]Tablas!$D$15</definedName>
    <definedName name="cotiz">'[27]WO 1'!$Q$53</definedName>
    <definedName name="CP">#REF!</definedName>
    <definedName name="CPG">#REF!</definedName>
    <definedName name="CPL">#REF!</definedName>
    <definedName name="Criterio">#REF!</definedName>
    <definedName name="CS">#REF!</definedName>
    <definedName name="CSUB2">#REF!</definedName>
    <definedName name="CUAR">[1]Sheet6!#REF!</definedName>
    <definedName name="CUAR2">[1]Sheet5!#REF!</definedName>
    <definedName name="Cuartil1">[4]MiniDB!$D$46</definedName>
    <definedName name="Cuartil2">[4]MiniDB!$D$47</definedName>
    <definedName name="Cuartil3">[4]MiniDB!$D$48</definedName>
    <definedName name="Cuenta">#REF!</definedName>
    <definedName name="Curvaprog">#REF!</definedName>
    <definedName name="CUST">#REF!</definedName>
    <definedName name="D">#REF!</definedName>
    <definedName name="D_pozo">[4]MiniDB!$D$42</definedName>
    <definedName name="DATA_PRES.DIN">#REF!</definedName>
    <definedName name="DATA_PRES_DIN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">#REF!</definedName>
    <definedName name="DATE0">#REF!</definedName>
    <definedName name="datos">[35]RUBROS!$A$2:$B$562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ddd">#REF!</definedName>
    <definedName name="De">#REF!</definedName>
    <definedName name="Ded_Esp">#REF!</definedName>
    <definedName name="Ded_Esp1">#REF!</definedName>
    <definedName name="Deducciones1">#REF!</definedName>
    <definedName name="Deducciones2">#REF!</definedName>
    <definedName name="Desarrollo">#REF!</definedName>
    <definedName name="Desc_Serv1">#REF!</definedName>
    <definedName name="Desc_Serv2">#REF!</definedName>
    <definedName name="Desc_Serv3">#REF!</definedName>
    <definedName name="Desc_Serv4">#REF!</definedName>
    <definedName name="Desc_Serv5">#REF!</definedName>
    <definedName name="Descuento_Bolívares">#REF!</definedName>
    <definedName name="Descuento_Dólares">#REF!</definedName>
    <definedName name="DESENRVBBEO">'[24]PESCA DE V-B'!$A$69:$J$133</definedName>
    <definedName name="det">#REF!</definedName>
    <definedName name="dete">#REF!</definedName>
    <definedName name="dhsl">#REF!</definedName>
    <definedName name="diagrama">#REF!</definedName>
    <definedName name="diam">[15]Data!$E$7</definedName>
    <definedName name="Días_a_cubrir">#REF!</definedName>
    <definedName name="Días_descanso_titular">#REF!</definedName>
    <definedName name="Días_trabajdos_titular">#REF!</definedName>
    <definedName name="DIC">'[36]Informe global'!$A$6:$AA$107</definedName>
    <definedName name="DIFF">#REF!</definedName>
    <definedName name="Dirección">#REF!</definedName>
    <definedName name="dlev">[15]Data!$D$11</definedName>
    <definedName name="Do">#REF!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[15]Data!$H$7</definedName>
    <definedName name="DR_">#REF!</definedName>
    <definedName name="DR_1">#REF!</definedName>
    <definedName name="drf">#REF!</definedName>
    <definedName name="dro">[15]Data!$D$17</definedName>
    <definedName name="drw">[15]Data!$D$19</definedName>
    <definedName name="DTOMAT8">#N/A</definedName>
    <definedName name="DTORMAT">#N/A</definedName>
    <definedName name="DTORSER">#N/A</definedName>
    <definedName name="DTOSER8">#N/A</definedName>
    <definedName name="dyyi">#REF!</definedName>
    <definedName name="E">#REF!</definedName>
    <definedName name="EC_ANtes">#REF!</definedName>
    <definedName name="ec_despues">#REF!</definedName>
    <definedName name="ecant">[21]Sheet1!#REF!</definedName>
    <definedName name="ecdesp">[21]Sheet1!#REF!</definedName>
    <definedName name="EDIT2">#REF!</definedName>
    <definedName name="ee">#REF!</definedName>
    <definedName name="eeeeeee">#REF!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>#REF!</definedName>
    <definedName name="EL__PORVENIR">#REF!</definedName>
    <definedName name="ELAPS">#REF!</definedName>
    <definedName name="Empresa">[37]Hoja1!$B$55:$B$56</definedName>
    <definedName name="EMPRESA_DEL_GRUPO">#REF!</definedName>
    <definedName name="END">[0]!END</definedName>
    <definedName name="entAPI">#REF!</definedName>
    <definedName name="entBAF">'[16]Entrada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cala">#REF!</definedName>
    <definedName name="Escala2">#REF!</definedName>
    <definedName name="ESPA">#REF!</definedName>
    <definedName name="Est">[9]GE!$I$5:$I$36</definedName>
    <definedName name="et">#REF!</definedName>
    <definedName name="ETAPA">[38]MODELO!$D$7</definedName>
    <definedName name="EVI">#REF!</definedName>
    <definedName name="ex_despues">#REF!</definedName>
    <definedName name="exdesp">[21]Sheet1!#REF!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>#REF!</definedName>
    <definedName name="FB">#REF!</definedName>
    <definedName name="FC.DURACION">'[10]FUERA DE CONVENIO'!#REF!</definedName>
    <definedName name="FC.MES">'[10]FUERA DE CONVENIO'!$D$8</definedName>
    <definedName name="Fd">[39]ESPESOR!$C$15</definedName>
    <definedName name="Fecha">#REF!</definedName>
    <definedName name="Fecha_Antes">#REF!</definedName>
    <definedName name="Fecha_Cierre">'[12]Datos Generales'!$C$3</definedName>
    <definedName name="Fecha_despues">#REF!</definedName>
    <definedName name="Fecha1">[4]MiniDB!$D$10</definedName>
    <definedName name="Fecha2">[4]MiniDB!$D$7</definedName>
    <definedName name="Fecha3">[4]MiniDB!$D$2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[21]Sheet1!#REF!</definedName>
    <definedName name="fechdesp">[21]Sheet1!#REF!</definedName>
    <definedName name="ff">#REF!</definedName>
    <definedName name="FG">#REF!</definedName>
    <definedName name="FIEL">#REF!</definedName>
    <definedName name="FIL">#REF!</definedName>
    <definedName name="FixedC">#REF!</definedName>
    <definedName name="FL_ID">[4]MiniDB!$D$36</definedName>
    <definedName name="FL_length">[4]MiniDB!$D$35</definedName>
    <definedName name="Fluido">#REF!</definedName>
    <definedName name="Fono">#REF!</definedName>
    <definedName name="Ford4000">#REF!</definedName>
    <definedName name="FORM">#REF!</definedName>
    <definedName name="FORMAC">#REF!</definedName>
    <definedName name="Format">'[40]Base General'!#REF!</definedName>
    <definedName name="FPDe">[15]Data!$D$13</definedName>
    <definedName name="FPV">#REF!</definedName>
    <definedName name="Frec_1">[4]MiniDB!$D$57</definedName>
    <definedName name="Frec_2">[4]MiniDB!$D$58</definedName>
    <definedName name="Frec_3">[4]MiniDB!$D$59</definedName>
    <definedName name="Frec_4">[4]MiniDB!$D$60</definedName>
    <definedName name="Frec_5">[4]MiniDB!$D$61</definedName>
    <definedName name="Frec_6">[4]MiniDB!$D$62</definedName>
    <definedName name="FS">#REF!</definedName>
    <definedName name="FSDFSD">#N/A</definedName>
    <definedName name="Ft">[39]ESPESOR!$C$16</definedName>
    <definedName name="FTF">#REF!</definedName>
    <definedName name="FU">#REF!</definedName>
    <definedName name="fv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mma">#REF!</definedName>
    <definedName name="Gan_no_Imp">#REF!</definedName>
    <definedName name="Gan_no_imp1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[21]Sheet1!#REF!</definedName>
    <definedName name="gasdesp">[21]Sheet1!#REF!</definedName>
    <definedName name="GassepModelo">[41]DataCombos2!$B$6:$B$88</definedName>
    <definedName name="GAST">#REF!</definedName>
    <definedName name="GC3500_PRICES">'[42]MASTER TABLE'!$I$547:$I$564</definedName>
    <definedName name="GDEP">#REF!</definedName>
    <definedName name="GENERAL">#N/A</definedName>
    <definedName name="GETDAT">#REF!</definedName>
    <definedName name="gf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[21]Sheet1!#REF!</definedName>
    <definedName name="GPM">#REF!</definedName>
    <definedName name="_xlnm.Recorder">#REF!</definedName>
    <definedName name="GRABAR">#REF!</definedName>
    <definedName name="GrabarCambios">[8]!GrabarCambios</definedName>
    <definedName name="GRABARDIAS">[1]Sheet6!#REF!</definedName>
    <definedName name="grade">[15]Data!$K$13</definedName>
    <definedName name="Guardias_por_turno">#REF!</definedName>
    <definedName name="h">#REF!</definedName>
    <definedName name="H2O">#REF!</definedName>
    <definedName name="hdp">[43]WTPO0197!#REF!</definedName>
    <definedName name="HeatValue">#REF!</definedName>
    <definedName name="HERRA">#REF!</definedName>
    <definedName name="herramientas">[44]Equipos!#REF!</definedName>
    <definedName name="hh">#REF!</definedName>
    <definedName name="hi">#REF!</definedName>
    <definedName name="Hijo1">#REF!</definedName>
    <definedName name="Hijos">#REF!</definedName>
    <definedName name="hoja2">#REF!</definedName>
    <definedName name="hoja3">#REF!</definedName>
    <definedName name="hoja4">#REF!</definedName>
    <definedName name="hoja5">'[16]Salida Tk Bafle'!$A$7:$P$500</definedName>
    <definedName name="hoja6">'[16]Impulsion Bomba Inyectora'!$A$4:$U$502</definedName>
    <definedName name="Horas_por_turno">#REF!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">#REF!</definedName>
    <definedName name="IB">#REF!</definedName>
    <definedName name="iff">#REF!</definedName>
    <definedName name="ii">#REF!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>#REF!</definedName>
    <definedName name="Imp_2">#REF!</definedName>
    <definedName name="Impuestos">#REF!</definedName>
    <definedName name="imputa">'[45]Canon Taller '!$I$15:$J$19</definedName>
    <definedName name="Income">#REF!</definedName>
    <definedName name="Indices">[46]Validaciones!$B$79:$B$83</definedName>
    <definedName name="InfoGlob">'[47]Informe global'!$A$6:$AA$90</definedName>
    <definedName name="INI">#REF!</definedName>
    <definedName name="INICIAL">[1]Sheet5!#REF!</definedName>
    <definedName name="inicio">#REF!</definedName>
    <definedName name="InjectionVC">[20]Datos!$F$66</definedName>
    <definedName name="Insumos_Directo_Indirecto">[48]Validaciones!$B$61:$B$63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">#REF!</definedName>
    <definedName name="IVA_AÑO">[49]IVA!$C$6:$G$6</definedName>
    <definedName name="IVA_IMPORTE">[49]IVA!$C$7:$G$90</definedName>
    <definedName name="IVA_JURISDICCION">[49]IVA!$B$7:$B$90</definedName>
    <definedName name="j">#REF!</definedName>
    <definedName name="jj">#REF!</definedName>
    <definedName name="JJJF">'[7]PROD DIA Y MES'!$A$1:$P$55</definedName>
    <definedName name="k">#REF!</definedName>
    <definedName name="KFAC">#REF!</definedName>
    <definedName name="kk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m_inf">[4]MiniDB!$D$51</definedName>
    <definedName name="Lim_sup">[4]MiniDB!$D$56</definedName>
    <definedName name="LIN">#REF!</definedName>
    <definedName name="ListaActividades">[50]Datos!$G$6:$G$29</definedName>
    <definedName name="ListaCombustibles">#REF!</definedName>
    <definedName name="ListaModelos">'[51]Controles procesos'!$B$29:$B$37</definedName>
    <definedName name="ListaNeumaticos">#REF!</definedName>
    <definedName name="ListaSueldos">#REF!</definedName>
    <definedName name="ListaTiemposUnidades">[50]Datos!$K$6:$K$10</definedName>
    <definedName name="ll">#REF!</definedName>
    <definedName name="LOC">#REF!</definedName>
    <definedName name="LTW_Seguimiento_Laboratorio">#REF!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>[0]!Macro1</definedName>
    <definedName name="Macro10">[0]!Macro10</definedName>
    <definedName name="Macro2">[0]!Macro2</definedName>
    <definedName name="Macro20">[0]!Macro20</definedName>
    <definedName name="Macro4">[8]!Macro4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aquina1">[32]Hoja1!$E$1:$E$14</definedName>
    <definedName name="Máquinas">[9]Maq!$A$6:$A$33</definedName>
    <definedName name="mas">#REF!</definedName>
    <definedName name="MATE">'[52]1240-18-P-RI-002'!#REF!</definedName>
    <definedName name="Materiales">[9]Mat!$A$4:$A$305</definedName>
    <definedName name="Maxima">[4]MiniDB!$D$49</definedName>
    <definedName name="MedicinaLaboral">#REF!</definedName>
    <definedName name="Menor">'[45]Sop Dif '!#REF!</definedName>
    <definedName name="menos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in">#REF!</definedName>
    <definedName name="Minima">[4]MiniDB!$D$45</definedName>
    <definedName name="mm">#REF!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[32]Hoja1!$F$1:$F$5</definedName>
    <definedName name="Módulo3.Sector2">[8]!Módulo3.Sector2</definedName>
    <definedName name="Módulo4.Sector3">[8]!Módulo4.Sector3</definedName>
    <definedName name="Módulo5.Sector4">[8]!Módulo5.Sector4</definedName>
    <definedName name="Módulo6.Sector5">[8]!Módulo6.Sector5</definedName>
    <definedName name="MOI">#REF!</definedName>
    <definedName name="Moneda">[12]Resumen!$X$2</definedName>
    <definedName name="MONTO">#REF!</definedName>
    <definedName name="Monto_Descuento_Bolívares">#REF!</definedName>
    <definedName name="Monto_Descuento_Dólares">#REF!</definedName>
    <definedName name="Mopre1">#REF!</definedName>
    <definedName name="movimiento">#REF!</definedName>
    <definedName name="MOVPARAFINA">'[24]PERDIDA DE TBG.'!$A$71:$J$132</definedName>
    <definedName name="MOVTBGACIDO">'[24]PERDIDA DE TBG.'!$A$207:$J$268</definedName>
    <definedName name="MOVTBGARENACARB">'[24]PERDIDA DE TBG.'!$A$139:$J$200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U">#REF!</definedName>
    <definedName name="MW">#REF!</definedName>
    <definedName name="n">#REF!</definedName>
    <definedName name="N°CCT">'[11]MO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[21]Sheet1!#REF!</definedName>
    <definedName name="netdesp">[21]Sheet1!#REF!</definedName>
    <definedName name="Neto_Arg">#REF!</definedName>
    <definedName name="Neto_Arg_T">#REF!</definedName>
    <definedName name="Netos_país">'[36]Netos  país'!$A$6:$I$107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OAMORT">[53]Bases!$H$7:$O$60</definedName>
    <definedName name="NOMBRE">#REF!</definedName>
    <definedName name="Normal">[4]MiniDB!$D$44</definedName>
    <definedName name="nro">#REF!</definedName>
    <definedName name="NROW">#REF!</definedName>
    <definedName name="NROWF">#REF!</definedName>
    <definedName name="NTIME">#REF!</definedName>
    <definedName name="NUEDTO.S">#N/A</definedName>
    <definedName name="NUEDTOA">#N/A</definedName>
    <definedName name="NUEDTOP">#N/A</definedName>
    <definedName name="NUEVA">#REF!</definedName>
    <definedName name="ñ">#REF!</definedName>
    <definedName name="o">#REF!</definedName>
    <definedName name="O_Cargas">#REF!</definedName>
    <definedName name="O_Cargas1">#REF!</definedName>
    <definedName name="obs_Antes">#REF!</definedName>
    <definedName name="obs_despues">#REF!</definedName>
    <definedName name="obsant">[21]Sheet1!#REF!</definedName>
    <definedName name="obsdesp">[21]Sheet1!#REF!</definedName>
    <definedName name="Observation">[4]MiniDB!$D$34</definedName>
    <definedName name="OGRA">#REF!</definedName>
    <definedName name="OGRA_C">#REF!</definedName>
    <definedName name="OILMTR">#REF!</definedName>
    <definedName name="OilReserves">[20]Datos!$F$13</definedName>
    <definedName name="OILT">#REF!</definedName>
    <definedName name="OiltransC">#REF!</definedName>
    <definedName name="OPC_ELEG">[1]Sheet5!#REF!</definedName>
    <definedName name="operador">#REF!</definedName>
    <definedName name="Operadores">#REF!</definedName>
    <definedName name="ORDEN">#REF!</definedName>
    <definedName name="ORID">#REF!</definedName>
    <definedName name="Orif3">[4]MiniDB!$D$5</definedName>
    <definedName name="orifa">[21]Sheet1!#REF!</definedName>
    <definedName name="orifd">[21]Sheet1!#REF!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[9]Otros!$A$4:$A$303</definedName>
    <definedName name="Overhead">#REF!</definedName>
    <definedName name="p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.A.">#N/A</definedName>
    <definedName name="pa">#REF!</definedName>
    <definedName name="Página_Principal">#REF!</definedName>
    <definedName name="pat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b_Comp">[4]MiniDB!$D$38</definedName>
    <definedName name="pdepth">[15]Data!$D$9</definedName>
    <definedName name="PE_Obs">[4]MiniDB!$D$37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>#REF!</definedName>
    <definedName name="Perforador">#REF!</definedName>
    <definedName name="PERICAM">[54]PARAM!$A$3</definedName>
    <definedName name="Personal">[9]MO!$A$3:$A$128</definedName>
    <definedName name="PESOS150">#REF!</definedName>
    <definedName name="pesos600">#REF!</definedName>
    <definedName name="PESOS83">'[55]#¡REF'!$K$28</definedName>
    <definedName name="PESOS85">'[55]RESUMEN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'[16]Pileta Revestida'!$A$7:$P$54</definedName>
    <definedName name="PINCUPLA">'[24]PESCA DE V-B'!$A$135:$J$195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1">[4]MiniDB!$D$15</definedName>
    <definedName name="Plin2">[4]MiniDB!$D$14</definedName>
    <definedName name="Plin3">[4]MiniDB!$D$13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[15]Data!$D$7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rc_T0">[4]MiniDB!$D$63</definedName>
    <definedName name="Porc_T1">[4]MiniDB!$D$64</definedName>
    <definedName name="Porc_T2">[4]MiniDB!$D$65</definedName>
    <definedName name="Porc_T3">[4]MiniDB!$D$66</definedName>
    <definedName name="Porc_T4">[4]MiniDB!$D$67</definedName>
    <definedName name="Porc_T5">[4]MiniDB!$D$68</definedName>
    <definedName name="potencial">#REF!</definedName>
    <definedName name="Pozo">[4]MiniDB!$D$1</definedName>
    <definedName name="Pozos">#REF!</definedName>
    <definedName name="pp">[39]ESPESOR!$C$13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[20]Datos!$F$74</definedName>
    <definedName name="production">#REF!</definedName>
    <definedName name="prof">#REF!</definedName>
    <definedName name="Proveedores">#REF!</definedName>
    <definedName name="PROVINCIA">'[11]MO - Petrolero Privado'!$E$8</definedName>
    <definedName name="PRTR">#REF!</definedName>
    <definedName name="Psep1">[4]MiniDB!$D$18</definedName>
    <definedName name="Psep2">[4]MiniDB!$D$17</definedName>
    <definedName name="Psep3">[4]MiniDB!$D$16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untos_con_telemetria">#REF!</definedName>
    <definedName name="PZ.1">#REF!</definedName>
    <definedName name="PZ.2">#REF!</definedName>
    <definedName name="PZ.3">#REF!</definedName>
    <definedName name="PZ.4">#REF!</definedName>
    <definedName name="q">#REF!</definedName>
    <definedName name="Qab">[56]Datos!$F$48</definedName>
    <definedName name="Qabg">#REF!</definedName>
    <definedName name="Qabo">#REF!</definedName>
    <definedName name="qfh">#REF!</definedName>
    <definedName name="QG">#REF!</definedName>
    <definedName name="Qgas1">[4]MiniDB!$D$12</definedName>
    <definedName name="Qgas2">[4]MiniDB!$D$9</definedName>
    <definedName name="Qgas3">[4]MiniDB!$D$4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_Social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">[4]MiniDB!$D$50</definedName>
    <definedName name="rango_produccion">#REF!</definedName>
    <definedName name="rango_produccion_total">#REF!</definedName>
    <definedName name="RANGOIMPRESION">#REF!</definedName>
    <definedName name="rara">#REF!</definedName>
    <definedName name="Recover">[57]Macro1!$A$314</definedName>
    <definedName name="RECUP">#REF!</definedName>
    <definedName name="RED">#REF!</definedName>
    <definedName name="Refin">#REF!</definedName>
    <definedName name="region2">[32]Hoja1!$G$1:$G$5</definedName>
    <definedName name="renglon">#REF!</definedName>
    <definedName name="Rep">'[45]Sop Dif '!$K$5</definedName>
    <definedName name="reparacion">#REF!</definedName>
    <definedName name="RES">[54]PARAM!$A$1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TTBGYMOVROTTBG">'[24]PERDIDA DE TBG.'!$A$1:$J$63</definedName>
    <definedName name="ROWS">#REF!</definedName>
    <definedName name="Roygas">#REF!</definedName>
    <definedName name="Royoil">#REF!</definedName>
    <definedName name="rpm">[15]Data!$K$9</definedName>
    <definedName name="rr">[15]Data!$H$9</definedName>
    <definedName name="rrrrrrrrrrrrrr">#REF!</definedName>
    <definedName name="RUT">#REF!</definedName>
    <definedName name="S">#REF!</definedName>
    <definedName name="sal">#REF!</definedName>
    <definedName name="SALABA40">[1]Sheet4!#REF!</definedName>
    <definedName name="salAPI">#REF!</definedName>
    <definedName name="SALARIOS">#REF!</definedName>
    <definedName name="salBAF">'[16]Salida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APBEXdnldView" hidden="1">"BDBYBWNAUJ42UM403UEV7H72C"</definedName>
    <definedName name="SAPBEXsysID" hidden="1">"BP2"</definedName>
    <definedName name="SCI_UTE">'[58]CECO - SCI - SCI PESA'!$A$2:$A$44</definedName>
    <definedName name="SCII">'[59]CECO - SCII'!$A$2:$A$45</definedName>
    <definedName name="SCIO">'[60]CECO - SCIO'!$A$2:$A$4</definedName>
    <definedName name="SDAT">#REF!</definedName>
    <definedName name="Sector">#REF!</definedName>
    <definedName name="Sector1">[8]!Sector1</definedName>
    <definedName name="Sector2">#N/A</definedName>
    <definedName name="SectorTanque1">[8]!SectorTanque1</definedName>
    <definedName name="SEG">[1]Sheet6!#REF!</definedName>
    <definedName name="Segurodeobra">[44]MOI!#REF!</definedName>
    <definedName name="SeguroRanger">#REF!</definedName>
    <definedName name="SELECCION">[1]Sheet5!#REF!</definedName>
    <definedName name="SelloModelo">[61]DataCombos2!$D$6:$D$165</definedName>
    <definedName name="Semanas_por_mes">#REF!</definedName>
    <definedName name="SEPAR">#REF!</definedName>
    <definedName name="SERIE">#REF!</definedName>
    <definedName name="sf">[15]Data!$J$14</definedName>
    <definedName name="SH">[62]InfTerm!#REF!</definedName>
    <definedName name="shdf">#REF!</definedName>
    <definedName name="sino">[32]Hoja1!$D$1:$D$3</definedName>
    <definedName name="SINO2">[63]Hoja1!$K$3:$K$6</definedName>
    <definedName name="sl">[15]Data!$J$5</definedName>
    <definedName name="Sp">[39]ESPESOR!$C$14</definedName>
    <definedName name="spm">[15]Data!$L$5</definedName>
    <definedName name="spmt">[15]Data!$K$5</definedName>
    <definedName name="srdata">[15]Data!$R$3:$U$6</definedName>
    <definedName name="Srink">#REF!</definedName>
    <definedName name="srl">[15]Data!$K$16</definedName>
    <definedName name="sry">#REF!</definedName>
    <definedName name="ss">'[64]Informe Mensual'!#REF!</definedName>
    <definedName name="sss">'[64]Informe Mensual'!#REF!</definedName>
    <definedName name="ssssssss">'[65]Informe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bcuenta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">#REF!</definedName>
    <definedName name="T_Actividad">[48]Validaciones!$B$4:$B$8</definedName>
    <definedName name="T_Gremio">[48]Validaciones!$D$4:$D$38</definedName>
    <definedName name="T_Nro_CCT">[48]Validaciones!$F$4:$F$11</definedName>
    <definedName name="T_Provincia">[48]Validaciones!$B$11:$B$17</definedName>
    <definedName name="T_Relac_con_servic">[48]Validaciones!$B$39:$B$42</definedName>
    <definedName name="T_rubro">[48]Validaciones!$F$19:$F$23</definedName>
    <definedName name="T_sino">[48]Validaciones!$B$28:$B$29</definedName>
    <definedName name="T_Situac_actual">[48]Validaciones!$B$34:$B$35</definedName>
    <definedName name="T_Tipo_neumat">[66]Validaciones!$B$46:$B$47</definedName>
    <definedName name="T_UUNN">[48]Validaciones!$B$23:$B$25</definedName>
    <definedName name="TABLA.FC_IMPORTE">[10]BD_ADICIONALES.FC!$B$7:$J$13</definedName>
    <definedName name="TABLA.FC_ITEM">[10]BD_ADICIONALES.FC!$A$7:$A$13</definedName>
    <definedName name="TABLA.FC_MES">[10]BD_ADICIONALES.FC!$B$6:$J$6</definedName>
    <definedName name="TABLA.UOCRA_ADIC.UOCRA">[10]BD_ESCALAS.UOCRA!$K$127:$K$262</definedName>
    <definedName name="TABLA.UOCRA_ADIC.ZONA">[10]BD_ESCALAS.UOCRA!$F$127:$F$262</definedName>
    <definedName name="TABLA.UOCRA_AYUDA.ALIM">[10]BD_ESCALAS.UOCRA!$I$127:$I$262</definedName>
    <definedName name="TABLA.UOCRA_CAMPAMENTO">[10]BD_ESCALAS.UOCRA!$J$127:$J$262</definedName>
    <definedName name="TABLA.UOCRA_CATEGORIA">[10]BD_ESCALAS.UOCRA!$B$127:$B$262</definedName>
    <definedName name="TABLA.UOCRA_HSVIAJE">[10]BD_ESCALAS.UOCRA!$G$127:$G$262</definedName>
    <definedName name="TABLA.UOCRA_IMPORTE">[10]BD_ESCALAS.UOCRA!$E$127:$E$262</definedName>
    <definedName name="TABLA.UOCRA_MES">[10]BD_ESCALAS.UOCRA!$C$127:$C$262</definedName>
    <definedName name="TABLA.UOCRA_VIANDA">[10]BD_ESCALAS.UOCRA!$H$127:$H$262</definedName>
    <definedName name="TABLA.UOCRA_ZONA">[10]BD_ESCALAS.UOCRA!$D$127:$D$262</definedName>
    <definedName name="TABLA_CATEGORIA">[10]BD_ESCALAS.PETROLERO!$A$10:$A$105</definedName>
    <definedName name="TABLA_CCT">[10]BD_ESCALAS.PETROLERO!$BA$7:$CN$7</definedName>
    <definedName name="TABLA_IMPORTE">[10]BD_ESCALAS.PETROLERO!$BA$10:$CN$105</definedName>
    <definedName name="TABLA_MES">[10]BD_ESCALAS.PETROLERO!$BA$9:$CN$9</definedName>
    <definedName name="TABLA_TURNO">[10]BD_ESCALAS.PETROLERO!$B$10:$B$105</definedName>
    <definedName name="TABLA_ZONA">[10]BD_ESCALAS.PETROLERO!$BA$8:$CN$8</definedName>
    <definedName name="tabladatos">#REF!</definedName>
    <definedName name="TableName">"Dummy"</definedName>
    <definedName name="Tanque2">[8]!Tanque2</definedName>
    <definedName name="Tanque3">[8]!Tanque3</definedName>
    <definedName name="Tanque4">[8]!Tanque4</definedName>
    <definedName name="Tanque5">[8]!Tanque5</definedName>
    <definedName name="Tanque6">[8]!Tanque6</definedName>
    <definedName name="TAREAS">#REF!</definedName>
    <definedName name="tarifa">#REF!</definedName>
    <definedName name="Tb">#REF!</definedName>
    <definedName name="TBG">#N/A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[48]Validaciones!$B$69:$B$73</definedName>
    <definedName name="tipo1">[32]Hoja1!$A$1:$A$5</definedName>
    <definedName name="Tipo3">[4]MiniDB!$D$6</definedName>
    <definedName name="tipocliente">[32]Hoja1!$B$1:$B$4</definedName>
    <definedName name="TIPSA">#N/A</definedName>
    <definedName name="TIT_POZOS_PETROLIFEROS">#REF!</definedName>
    <definedName name="Titulo">#REF!</definedName>
    <definedName name="Título">#REF!</definedName>
    <definedName name="Titulo_1">#REF!</definedName>
    <definedName name="_xlnm.Print_Titles">#N/A</definedName>
    <definedName name="Títulos_a_imprimir_IM">#REF!</definedName>
    <definedName name="t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BBA">'[24]RESUMEN ANUAL'!$A$66:$J$94</definedName>
    <definedName name="TOTALCUERPO">'[24]PESCA DE V-B'!$A$1:$J$63</definedName>
    <definedName name="TOTALFAC">#REF!</definedName>
    <definedName name="TOTALPESC">'[24]RESUMEN ANUAL'!$A$34:$J$62</definedName>
    <definedName name="TOTALPUL">'[24]RESUMEN ANUAL'!$A$1:$J$30</definedName>
    <definedName name="TOTALTBGR">'[24]RESUMEN ANUAL'!$A$98:$J$126</definedName>
    <definedName name="TP">#REF!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>#REF!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>[4]MiniDB!$D$31</definedName>
    <definedName name="Tsep2">[4]MiniDB!$D$32</definedName>
    <definedName name="Tsep3">[4]MiniDB!$D$33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">#REF!</definedName>
    <definedName name="UF">#REF!</definedName>
    <definedName name="UIB">[15]Data!$H$5</definedName>
    <definedName name="Unid.">'[52]1240-18-P-RI-002'!#REF!</definedName>
    <definedName name="Unidadgor">[67]Datos!$H$50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[10]UOCRA!$D$8</definedName>
    <definedName name="UOCRA.ZONA">[10]UOCRA!$D$9</definedName>
    <definedName name="US">[68]IPC!$H$9</definedName>
    <definedName name="Utilidad">#REF!</definedName>
    <definedName name="UTS">[15]Data!$K$14</definedName>
    <definedName name="uu">[0]!uu</definedName>
    <definedName name="v">#REF!</definedName>
    <definedName name="V0">#REF!</definedName>
    <definedName name="Valor_Final">#REF!</definedName>
    <definedName name="Valor_Serv1">#REF!</definedName>
    <definedName name="Valor_Serv2">#REF!</definedName>
    <definedName name="Valor_Serv3">#REF!</definedName>
    <definedName name="Valor_Serv4">#REF!</definedName>
    <definedName name="Valor_Serv5">#REF!</definedName>
    <definedName name="varios">#REF!</definedName>
    <definedName name="Vehiculos">[9]Veh!$A$6:$A$23</definedName>
    <definedName name="Vehículos">#REF!</definedName>
    <definedName name="VERGUENZA">#REF!</definedName>
    <definedName name="Vestimenta">#REF!</definedName>
    <definedName name="VfluidC">[20]Datos!$F$62</definedName>
    <definedName name="VgasC">#REF!</definedName>
    <definedName name="Viandas">#REF!</definedName>
    <definedName name="VInjecC">[20]Datos!$F$66</definedName>
    <definedName name="VM">#REF!</definedName>
    <definedName name="VnpozosC">[20]Datos!$F$72</definedName>
    <definedName name="VoilC">#REF!</definedName>
    <definedName name="VOLVER">[69]!VOLVER</definedName>
    <definedName name="vp">[15]Data!$H$16</definedName>
    <definedName name="VtasNetas">#REF!</definedName>
    <definedName name="VwatC">[20]Datos!#REF!</definedName>
    <definedName name="VwellC">#REF!</definedName>
    <definedName name="w">#REF!</definedName>
    <definedName name="Water1">[4]MiniDB!$D$25</definedName>
    <definedName name="Water2">[4]MiniDB!$D$26</definedName>
    <definedName name="Water3">[4]MiniDB!$D$27</definedName>
    <definedName name="wc">[15]Data!$D$15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hidden="1">{#N/A,#N/A,FALSE,"SERIE_150";#N/A,#N/A,FALSE,"SERIE_600 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hidden="1">{#N/A,#N/A,TRUE,"DESARROLLO";#N/A,#N/A,TRUE,"MANTENIMIENTO";#N/A,#N/A,TRUE,"MENSUAL";#N/A,#N/A,TRUE,"PORCUENTA";#N/A,#N/A,TRUE,"DETALLE"}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ull97." hidden="1">{#N/A,#N/A,FALSE,"ENE"}</definedName>
    <definedName name="wrn.pull98." hidden="1">{#N/A,#N/A,FALSE,"ENE"}</definedName>
    <definedName name="wrn.Sale_Local_Q2." hidden="1">{"Sales_Local_Q2",#N/A,FALSE,"Q1_2000"}</definedName>
    <definedName name="wrn.Sale_Local_Q4." hidden="1">{"Sales_Local_Q4",#N/A,FALSE,"Q4_1999"}</definedName>
    <definedName name="WSAL">#REF!</definedName>
    <definedName name="WTI_01">[18]Tablas!$E$4</definedName>
    <definedName name="WTI_02">[18]Tablas!$E$5</definedName>
    <definedName name="WTI_03">[18]Tablas!$E$6</definedName>
    <definedName name="WTI_04">[18]Tablas!$E$7</definedName>
    <definedName name="WTI_05">[18]Tablas!$E$8</definedName>
    <definedName name="WTI_06">[18]Tablas!$E$9</definedName>
    <definedName name="WTI_07">[18]Tablas!$E$10</definedName>
    <definedName name="WTI_08">[18]Tablas!$E$11</definedName>
    <definedName name="WTI_09">[18]Tablas!$E$12</definedName>
    <definedName name="WTI_10">[18]Tablas!$E$13</definedName>
    <definedName name="WTI_11">[18]Tablas!$E$14</definedName>
    <definedName name="WTI_12">[18]Tablas!$E$15</definedName>
    <definedName name="wtrhy">#REF!</definedName>
    <definedName name="ww">#REF!</definedName>
    <definedName name="wwww">#REF!</definedName>
    <definedName name="x">#REF!</definedName>
    <definedName name="xx">[39]ESPESOR!$B$21</definedName>
    <definedName name="xxx">#REF!</definedName>
    <definedName name="xxxx">#REF!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>#REF!</definedName>
    <definedName name="Y_2">#REF!</definedName>
    <definedName name="YACI">#REF!</definedName>
    <definedName name="Yacimiento">[37]Hoja1!$B$57:$B$65</definedName>
    <definedName name="yak">#REF!</definedName>
    <definedName name="yar">#REF!</definedName>
    <definedName name="Yes_No">'[22]Coef.'!$J$112:$J$113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[48]Validaciones!$B$51:$B$57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6" i="20" l="1"/>
  <c r="J114" i="6"/>
  <c r="F26" i="21"/>
  <c r="H26" i="21"/>
  <c r="H22" i="21"/>
  <c r="H17" i="21"/>
  <c r="H13" i="21"/>
  <c r="H6" i="21"/>
  <c r="H3" i="21"/>
  <c r="F23" i="21"/>
  <c r="F24" i="21"/>
  <c r="F25" i="21"/>
  <c r="F22" i="21"/>
  <c r="F19" i="21"/>
  <c r="F20" i="21"/>
  <c r="F21" i="21"/>
  <c r="F18" i="21"/>
  <c r="F17" i="21"/>
  <c r="F14" i="21"/>
  <c r="F15" i="21"/>
  <c r="F16" i="21"/>
  <c r="F13" i="21"/>
  <c r="F7" i="21"/>
  <c r="F8" i="21"/>
  <c r="F9" i="21"/>
  <c r="F10" i="21"/>
  <c r="F11" i="21"/>
  <c r="F12" i="21"/>
  <c r="F6" i="21"/>
  <c r="F4" i="21"/>
  <c r="F5" i="21"/>
  <c r="F3" i="21"/>
  <c r="W6" i="19"/>
  <c r="W7" i="19"/>
  <c r="W8" i="19"/>
  <c r="W5" i="19"/>
  <c r="W6" i="15"/>
  <c r="W7" i="15"/>
  <c r="W8" i="15"/>
  <c r="W9" i="15"/>
  <c r="W10" i="15"/>
  <c r="W11" i="15"/>
  <c r="W5" i="15"/>
  <c r="W6" i="16"/>
  <c r="W7" i="16"/>
  <c r="W5" i="16"/>
  <c r="W6" i="17"/>
  <c r="W7" i="17"/>
  <c r="W8" i="17"/>
  <c r="W5" i="17"/>
  <c r="W13" i="18"/>
  <c r="W14" i="18"/>
  <c r="W15" i="18"/>
  <c r="W16" i="18"/>
  <c r="W6" i="18"/>
  <c r="W7" i="18"/>
  <c r="W5" i="18"/>
  <c r="G23" i="21"/>
  <c r="G24" i="21"/>
  <c r="G25" i="21"/>
  <c r="G22" i="21"/>
  <c r="I22" i="21" s="1"/>
  <c r="G19" i="21"/>
  <c r="G20" i="21"/>
  <c r="G21" i="21"/>
  <c r="G18" i="21"/>
  <c r="G17" i="21"/>
  <c r="G14" i="21"/>
  <c r="G15" i="21"/>
  <c r="G16" i="21"/>
  <c r="G13" i="21"/>
  <c r="I13" i="21" s="1"/>
  <c r="G7" i="21"/>
  <c r="G8" i="21"/>
  <c r="G9" i="21"/>
  <c r="G10" i="21"/>
  <c r="G11" i="21"/>
  <c r="G12" i="21"/>
  <c r="G6" i="21"/>
  <c r="I6" i="21" s="1"/>
  <c r="G4" i="21"/>
  <c r="G5" i="21"/>
  <c r="G3" i="21"/>
  <c r="E23" i="21"/>
  <c r="E24" i="21"/>
  <c r="E25" i="21"/>
  <c r="E22" i="21"/>
  <c r="E19" i="21"/>
  <c r="E20" i="21"/>
  <c r="E21" i="21"/>
  <c r="E18" i="21"/>
  <c r="E17" i="21"/>
  <c r="E14" i="21"/>
  <c r="E15" i="21"/>
  <c r="E16" i="21"/>
  <c r="E13" i="21"/>
  <c r="E7" i="21"/>
  <c r="E8" i="21"/>
  <c r="E9" i="21"/>
  <c r="E10" i="21"/>
  <c r="E11" i="21"/>
  <c r="E12" i="21"/>
  <c r="E6" i="21"/>
  <c r="E4" i="21"/>
  <c r="E5" i="21"/>
  <c r="E3" i="21"/>
  <c r="I17" i="21" l="1"/>
  <c r="I26" i="21" s="1"/>
  <c r="I3" i="21"/>
  <c r="H128" i="20" l="1"/>
  <c r="F118" i="20"/>
  <c r="F117" i="20"/>
  <c r="F113" i="20"/>
  <c r="E113" i="20"/>
  <c r="D106" i="20"/>
  <c r="E106" i="20"/>
  <c r="F106" i="20"/>
  <c r="G106" i="20"/>
  <c r="G109" i="20" s="1"/>
  <c r="H106" i="20"/>
  <c r="D107" i="20"/>
  <c r="E107" i="20"/>
  <c r="F107" i="20"/>
  <c r="G107" i="20"/>
  <c r="H107" i="20"/>
  <c r="H109" i="20" s="1"/>
  <c r="D108" i="20"/>
  <c r="E108" i="20"/>
  <c r="F108" i="20"/>
  <c r="G108" i="20"/>
  <c r="H108" i="20"/>
  <c r="I108" i="20" s="1"/>
  <c r="H105" i="20"/>
  <c r="G105" i="20"/>
  <c r="F105" i="20"/>
  <c r="E105" i="20"/>
  <c r="D105" i="20"/>
  <c r="F95" i="20"/>
  <c r="F94" i="20"/>
  <c r="F93" i="20"/>
  <c r="E89" i="20"/>
  <c r="F89" i="20" s="1"/>
  <c r="X15" i="15"/>
  <c r="X12" i="15"/>
  <c r="Z12" i="15" s="1"/>
  <c r="Z15" i="15" s="1"/>
  <c r="Z20" i="18"/>
  <c r="Y20" i="18"/>
  <c r="X20" i="18"/>
  <c r="G82" i="20"/>
  <c r="H82" i="20"/>
  <c r="G83" i="20"/>
  <c r="I83" i="20" s="1"/>
  <c r="H83" i="20"/>
  <c r="G84" i="20"/>
  <c r="H84" i="20"/>
  <c r="H81" i="20"/>
  <c r="G81" i="20"/>
  <c r="G79" i="20"/>
  <c r="H79" i="20"/>
  <c r="H85" i="20" s="1"/>
  <c r="G80" i="20"/>
  <c r="I80" i="20" s="1"/>
  <c r="H80" i="20"/>
  <c r="H78" i="20"/>
  <c r="G78" i="20"/>
  <c r="E84" i="20"/>
  <c r="F84" i="20"/>
  <c r="E82" i="20"/>
  <c r="F82" i="20"/>
  <c r="E83" i="20"/>
  <c r="F83" i="20"/>
  <c r="E79" i="20"/>
  <c r="F79" i="20"/>
  <c r="E80" i="20"/>
  <c r="F80" i="20"/>
  <c r="F81" i="20"/>
  <c r="F78" i="20"/>
  <c r="E81" i="20"/>
  <c r="E78" i="20"/>
  <c r="D82" i="20"/>
  <c r="D83" i="20"/>
  <c r="D84" i="20"/>
  <c r="D79" i="20"/>
  <c r="D80" i="20"/>
  <c r="D81" i="20"/>
  <c r="D78" i="20"/>
  <c r="I79" i="20"/>
  <c r="F67" i="20"/>
  <c r="F66" i="20"/>
  <c r="E62" i="20"/>
  <c r="D55" i="20"/>
  <c r="E55" i="20"/>
  <c r="F55" i="20"/>
  <c r="G55" i="20"/>
  <c r="H55" i="20"/>
  <c r="D56" i="20"/>
  <c r="E56" i="20"/>
  <c r="F56" i="20"/>
  <c r="G56" i="20"/>
  <c r="H56" i="20"/>
  <c r="D57" i="20"/>
  <c r="E57" i="20"/>
  <c r="F57" i="20"/>
  <c r="G57" i="20"/>
  <c r="H57" i="20"/>
  <c r="H54" i="20"/>
  <c r="I54" i="20" s="1"/>
  <c r="G54" i="20"/>
  <c r="G58" i="20" s="1"/>
  <c r="F54" i="20"/>
  <c r="E54" i="20"/>
  <c r="D54" i="20"/>
  <c r="F43" i="20"/>
  <c r="F20" i="20"/>
  <c r="F42" i="20"/>
  <c r="E38" i="20"/>
  <c r="G32" i="20"/>
  <c r="H32" i="20"/>
  <c r="G33" i="20"/>
  <c r="I33" i="20" s="1"/>
  <c r="H33" i="20"/>
  <c r="H31" i="20"/>
  <c r="H34" i="20" s="1"/>
  <c r="G31" i="20"/>
  <c r="F31" i="20"/>
  <c r="F32" i="20"/>
  <c r="F33" i="20"/>
  <c r="E33" i="20"/>
  <c r="E31" i="20"/>
  <c r="D32" i="20"/>
  <c r="D33" i="20"/>
  <c r="D31" i="20"/>
  <c r="E15" i="20"/>
  <c r="F15" i="20" s="1"/>
  <c r="D15" i="20"/>
  <c r="D38" i="20" s="1"/>
  <c r="F19" i="20"/>
  <c r="A8" i="20"/>
  <c r="B8" i="20"/>
  <c r="C8" i="20"/>
  <c r="D8" i="20"/>
  <c r="E8" i="20"/>
  <c r="F8" i="20"/>
  <c r="G8" i="20"/>
  <c r="H8" i="20"/>
  <c r="A9" i="20"/>
  <c r="B9" i="20"/>
  <c r="C9" i="20"/>
  <c r="D9" i="20"/>
  <c r="E9" i="20"/>
  <c r="F9" i="20"/>
  <c r="G9" i="20"/>
  <c r="H9" i="20"/>
  <c r="A10" i="20"/>
  <c r="B10" i="20"/>
  <c r="C10" i="20"/>
  <c r="D10" i="20"/>
  <c r="E10" i="20"/>
  <c r="F10" i="20"/>
  <c r="G10" i="20"/>
  <c r="H10" i="20"/>
  <c r="A5" i="20"/>
  <c r="B5" i="20"/>
  <c r="C5" i="20"/>
  <c r="D5" i="20"/>
  <c r="E5" i="20"/>
  <c r="F5" i="20"/>
  <c r="G5" i="20"/>
  <c r="H5" i="20"/>
  <c r="A6" i="20"/>
  <c r="B6" i="20"/>
  <c r="C6" i="20"/>
  <c r="D6" i="20"/>
  <c r="E6" i="20"/>
  <c r="F6" i="20"/>
  <c r="G6" i="20"/>
  <c r="H6" i="20"/>
  <c r="A7" i="20"/>
  <c r="B7" i="20"/>
  <c r="C7" i="20"/>
  <c r="D7" i="20"/>
  <c r="E7" i="20"/>
  <c r="F7" i="20"/>
  <c r="G7" i="20"/>
  <c r="H7" i="20"/>
  <c r="H4" i="20"/>
  <c r="G4" i="20"/>
  <c r="G11" i="20" s="1"/>
  <c r="F4" i="20"/>
  <c r="E4" i="20"/>
  <c r="D4" i="20"/>
  <c r="B4" i="20"/>
  <c r="C4" i="20"/>
  <c r="A4" i="20"/>
  <c r="X12" i="19"/>
  <c r="Y7" i="19"/>
  <c r="Y8" i="19"/>
  <c r="Y5" i="19"/>
  <c r="X6" i="19"/>
  <c r="X7" i="19"/>
  <c r="X8" i="19"/>
  <c r="X5" i="19"/>
  <c r="O8" i="19"/>
  <c r="I8" i="19"/>
  <c r="G8" i="19" s="1"/>
  <c r="O7" i="19"/>
  <c r="I7" i="19"/>
  <c r="K7" i="19" s="1"/>
  <c r="O6" i="19"/>
  <c r="Y6" i="19" s="1"/>
  <c r="I6" i="19"/>
  <c r="F6" i="19" s="1"/>
  <c r="L6" i="19" s="1"/>
  <c r="O5" i="19"/>
  <c r="I5" i="19"/>
  <c r="G5" i="19" s="1"/>
  <c r="X16" i="18"/>
  <c r="X15" i="18"/>
  <c r="X14" i="18"/>
  <c r="X13" i="18"/>
  <c r="I15" i="18"/>
  <c r="K15" i="18" s="1"/>
  <c r="X6" i="18"/>
  <c r="X7" i="18"/>
  <c r="X5" i="18"/>
  <c r="I5" i="18"/>
  <c r="J5" i="18" s="1"/>
  <c r="L5" i="18"/>
  <c r="I13" i="18"/>
  <c r="F13" i="18" s="1"/>
  <c r="L13" i="18" s="1"/>
  <c r="O13" i="18"/>
  <c r="Y13" i="18" s="1"/>
  <c r="X17" i="18"/>
  <c r="I14" i="18"/>
  <c r="G14" i="18" s="1"/>
  <c r="O14" i="18"/>
  <c r="Y14" i="18" s="1"/>
  <c r="L15" i="18"/>
  <c r="O15" i="18"/>
  <c r="Y15" i="18" s="1"/>
  <c r="I16" i="18"/>
  <c r="K16" i="18" s="1"/>
  <c r="O16" i="18"/>
  <c r="Y16" i="18" s="1"/>
  <c r="O7" i="18"/>
  <c r="Y7" i="18" s="1"/>
  <c r="I7" i="18"/>
  <c r="G7" i="18" s="1"/>
  <c r="O6" i="18"/>
  <c r="Y6" i="18" s="1"/>
  <c r="I6" i="18"/>
  <c r="G6" i="18" s="1"/>
  <c r="O5" i="18"/>
  <c r="Y5" i="18" s="1"/>
  <c r="Y12" i="17"/>
  <c r="Z13" i="17"/>
  <c r="Z12" i="17"/>
  <c r="X12" i="17"/>
  <c r="X11" i="16"/>
  <c r="Z11" i="15"/>
  <c r="J91" i="6"/>
  <c r="J81" i="6"/>
  <c r="J50" i="6"/>
  <c r="J28" i="6"/>
  <c r="J4" i="6"/>
  <c r="J111" i="6"/>
  <c r="J110" i="6"/>
  <c r="J105" i="6"/>
  <c r="J104" i="6"/>
  <c r="J101" i="6"/>
  <c r="J99" i="6"/>
  <c r="J98" i="6"/>
  <c r="J97" i="6"/>
  <c r="J96" i="6"/>
  <c r="J95" i="6"/>
  <c r="J94" i="6"/>
  <c r="J93" i="6"/>
  <c r="J92" i="6"/>
  <c r="J90" i="6"/>
  <c r="J88" i="6"/>
  <c r="J87" i="6"/>
  <c r="J86" i="6"/>
  <c r="J85" i="6"/>
  <c r="J84" i="6"/>
  <c r="J82" i="6"/>
  <c r="J80" i="6"/>
  <c r="J79" i="6"/>
  <c r="J78" i="6"/>
  <c r="J77" i="6"/>
  <c r="J76" i="6"/>
  <c r="J75" i="6"/>
  <c r="J74" i="6"/>
  <c r="J73" i="6"/>
  <c r="J71" i="6"/>
  <c r="J70" i="6"/>
  <c r="J69" i="6"/>
  <c r="J68" i="6"/>
  <c r="J67" i="6"/>
  <c r="J66" i="6"/>
  <c r="J65" i="6"/>
  <c r="J64" i="6"/>
  <c r="J63" i="6"/>
  <c r="J61" i="6"/>
  <c r="J60" i="6"/>
  <c r="J59" i="6"/>
  <c r="J58" i="6"/>
  <c r="J57" i="6"/>
  <c r="J56" i="6"/>
  <c r="J55" i="6"/>
  <c r="J54" i="6"/>
  <c r="J53" i="6"/>
  <c r="J52" i="6"/>
  <c r="J51" i="6"/>
  <c r="J49" i="6"/>
  <c r="J48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7" i="6"/>
  <c r="J26" i="6"/>
  <c r="J23" i="6"/>
  <c r="J22" i="6"/>
  <c r="J21" i="6"/>
  <c r="J20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O5" i="17"/>
  <c r="I5" i="17"/>
  <c r="F5" i="17" s="1"/>
  <c r="H6" i="9"/>
  <c r="H34" i="9" s="1"/>
  <c r="X5" i="17"/>
  <c r="H26" i="9"/>
  <c r="I7" i="17"/>
  <c r="G7" i="17" s="1"/>
  <c r="X8" i="17"/>
  <c r="O8" i="17"/>
  <c r="Y8" i="17" s="1"/>
  <c r="I8" i="17"/>
  <c r="M8" i="17" s="1"/>
  <c r="X7" i="17"/>
  <c r="O7" i="17"/>
  <c r="Y7" i="17" s="1"/>
  <c r="X6" i="17"/>
  <c r="O6" i="17"/>
  <c r="Y6" i="17" s="1"/>
  <c r="I6" i="17"/>
  <c r="M6" i="17" s="1"/>
  <c r="K5" i="17"/>
  <c r="H23" i="9"/>
  <c r="H7" i="9"/>
  <c r="H8" i="9"/>
  <c r="H9" i="9"/>
  <c r="H13" i="9"/>
  <c r="H15" i="9"/>
  <c r="H14" i="9"/>
  <c r="H10" i="9"/>
  <c r="H11" i="9"/>
  <c r="H12" i="9"/>
  <c r="H17" i="9"/>
  <c r="H4" i="9"/>
  <c r="H16" i="9"/>
  <c r="H21" i="9"/>
  <c r="H18" i="9"/>
  <c r="H19" i="9"/>
  <c r="H20" i="9"/>
  <c r="H22" i="9"/>
  <c r="H24" i="9"/>
  <c r="H25" i="9"/>
  <c r="H5" i="9"/>
  <c r="X6" i="16"/>
  <c r="X7" i="16"/>
  <c r="X8" i="16" s="1"/>
  <c r="X5" i="16"/>
  <c r="O7" i="16"/>
  <c r="Y7" i="16" s="1"/>
  <c r="I7" i="16"/>
  <c r="M7" i="16" s="1"/>
  <c r="O6" i="16"/>
  <c r="Y6" i="16" s="1"/>
  <c r="I6" i="16"/>
  <c r="M6" i="16" s="1"/>
  <c r="O5" i="16"/>
  <c r="Y5" i="16" s="1"/>
  <c r="I5" i="16"/>
  <c r="K5" i="16" s="1"/>
  <c r="G85" i="20" l="1"/>
  <c r="I107" i="20"/>
  <c r="G34" i="20"/>
  <c r="I105" i="20"/>
  <c r="I55" i="20"/>
  <c r="F44" i="20"/>
  <c r="I106" i="20"/>
  <c r="F119" i="20"/>
  <c r="Z16" i="15"/>
  <c r="Y15" i="15"/>
  <c r="I81" i="20"/>
  <c r="I78" i="20"/>
  <c r="I82" i="20"/>
  <c r="I34" i="20"/>
  <c r="H58" i="20"/>
  <c r="I58" i="20" s="1"/>
  <c r="I59" i="20" s="1"/>
  <c r="F62" i="20"/>
  <c r="I84" i="20"/>
  <c r="G15" i="20"/>
  <c r="G38" i="20"/>
  <c r="F38" i="20"/>
  <c r="H15" i="20"/>
  <c r="H38" i="20"/>
  <c r="D62" i="20"/>
  <c r="G62" i="20" s="1"/>
  <c r="I56" i="20"/>
  <c r="I57" i="20"/>
  <c r="F68" i="20"/>
  <c r="E32" i="20"/>
  <c r="I31" i="20"/>
  <c r="I32" i="20"/>
  <c r="I5" i="20"/>
  <c r="F21" i="20"/>
  <c r="H11" i="20"/>
  <c r="I4" i="20"/>
  <c r="I7" i="20"/>
  <c r="I6" i="20"/>
  <c r="I9" i="20"/>
  <c r="I10" i="20"/>
  <c r="I8" i="20"/>
  <c r="X9" i="19"/>
  <c r="K6" i="19"/>
  <c r="M6" i="19"/>
  <c r="T6" i="19" s="1"/>
  <c r="U6" i="19" s="1"/>
  <c r="K8" i="19"/>
  <c r="M8" i="19"/>
  <c r="T8" i="19" s="1"/>
  <c r="G6" i="19"/>
  <c r="M7" i="19"/>
  <c r="T7" i="19" s="1"/>
  <c r="Z6" i="19"/>
  <c r="Z8" i="19"/>
  <c r="Z7" i="19"/>
  <c r="Q6" i="19"/>
  <c r="R6" i="19" s="1"/>
  <c r="M5" i="19"/>
  <c r="T5" i="19" s="1"/>
  <c r="Y9" i="19"/>
  <c r="F8" i="19"/>
  <c r="L8" i="19" s="1"/>
  <c r="Q8" i="19" s="1"/>
  <c r="R8" i="19" s="1"/>
  <c r="F7" i="19"/>
  <c r="L7" i="19" s="1"/>
  <c r="Q7" i="19" s="1"/>
  <c r="R7" i="19" s="1"/>
  <c r="K5" i="19"/>
  <c r="G7" i="19"/>
  <c r="F5" i="19"/>
  <c r="L5" i="19" s="1"/>
  <c r="Q5" i="19" s="1"/>
  <c r="R5" i="19" s="1"/>
  <c r="Z16" i="18"/>
  <c r="Z15" i="18"/>
  <c r="Z13" i="18"/>
  <c r="Z14" i="18"/>
  <c r="J15" i="18"/>
  <c r="Q13" i="18"/>
  <c r="R13" i="18" s="1"/>
  <c r="Z7" i="18"/>
  <c r="F14" i="18"/>
  <c r="L14" i="18" s="1"/>
  <c r="Q14" i="18" s="1"/>
  <c r="R14" i="18" s="1"/>
  <c r="M15" i="18"/>
  <c r="T15" i="18" s="1"/>
  <c r="M14" i="18"/>
  <c r="T14" i="18" s="1"/>
  <c r="U14" i="18" s="1"/>
  <c r="K14" i="18"/>
  <c r="F16" i="18"/>
  <c r="L16" i="18" s="1"/>
  <c r="Q16" i="18" s="1"/>
  <c r="R16" i="18" s="1"/>
  <c r="M13" i="18"/>
  <c r="T13" i="18" s="1"/>
  <c r="K13" i="18"/>
  <c r="M16" i="18"/>
  <c r="T16" i="18" s="1"/>
  <c r="G13" i="18"/>
  <c r="G16" i="18"/>
  <c r="K7" i="18"/>
  <c r="M7" i="18"/>
  <c r="T7" i="18" s="1"/>
  <c r="Y8" i="18"/>
  <c r="Z5" i="18"/>
  <c r="Z6" i="18"/>
  <c r="X8" i="18"/>
  <c r="M5" i="18"/>
  <c r="T5" i="18" s="1"/>
  <c r="F7" i="18"/>
  <c r="L7" i="18" s="1"/>
  <c r="Q7" i="18" s="1"/>
  <c r="R7" i="18" s="1"/>
  <c r="F6" i="18"/>
  <c r="L6" i="18" s="1"/>
  <c r="Q6" i="18" s="1"/>
  <c r="R6" i="18" s="1"/>
  <c r="K6" i="18"/>
  <c r="K5" i="18"/>
  <c r="M6" i="18"/>
  <c r="T6" i="18" s="1"/>
  <c r="Y5" i="17"/>
  <c r="Z5" i="17" s="1"/>
  <c r="M7" i="17"/>
  <c r="T7" i="17" s="1"/>
  <c r="U7" i="17" s="1"/>
  <c r="Z6" i="17"/>
  <c r="X9" i="17"/>
  <c r="F8" i="17"/>
  <c r="L8" i="17" s="1"/>
  <c r="Q8" i="17" s="1"/>
  <c r="R8" i="17" s="1"/>
  <c r="K7" i="17"/>
  <c r="F6" i="17"/>
  <c r="L6" i="17" s="1"/>
  <c r="Q6" i="17" s="1"/>
  <c r="R6" i="17" s="1"/>
  <c r="Z7" i="17"/>
  <c r="M5" i="17"/>
  <c r="Z8" i="17"/>
  <c r="F7" i="17"/>
  <c r="L7" i="17" s="1"/>
  <c r="Q7" i="17" s="1"/>
  <c r="R7" i="17" s="1"/>
  <c r="G8" i="17"/>
  <c r="T8" i="17"/>
  <c r="L5" i="17"/>
  <c r="G6" i="17"/>
  <c r="T6" i="17"/>
  <c r="K8" i="17"/>
  <c r="G5" i="17"/>
  <c r="K6" i="17"/>
  <c r="Z6" i="16"/>
  <c r="Z5" i="16"/>
  <c r="F6" i="16"/>
  <c r="F7" i="16"/>
  <c r="L7" i="16" s="1"/>
  <c r="Q7" i="16" s="1"/>
  <c r="R7" i="16" s="1"/>
  <c r="G7" i="16"/>
  <c r="G5" i="16"/>
  <c r="Z7" i="16"/>
  <c r="L6" i="16"/>
  <c r="Q6" i="16" s="1"/>
  <c r="R6" i="16" s="1"/>
  <c r="F5" i="16"/>
  <c r="L5" i="16" s="1"/>
  <c r="Q5" i="16" s="1"/>
  <c r="R5" i="16" s="1"/>
  <c r="G6" i="16"/>
  <c r="M5" i="16"/>
  <c r="T5" i="16" s="1"/>
  <c r="T7" i="16"/>
  <c r="V7" i="16" s="1"/>
  <c r="T6" i="16"/>
  <c r="K7" i="16"/>
  <c r="K6" i="16"/>
  <c r="Y8" i="16"/>
  <c r="F125" i="20" l="1"/>
  <c r="I109" i="20"/>
  <c r="I85" i="20"/>
  <c r="D89" i="20"/>
  <c r="H62" i="20"/>
  <c r="I62" i="20"/>
  <c r="I63" i="20" s="1"/>
  <c r="I35" i="20"/>
  <c r="H42" i="20"/>
  <c r="H66" i="20"/>
  <c r="I38" i="20"/>
  <c r="I39" i="20" s="1"/>
  <c r="I15" i="20"/>
  <c r="H20" i="20" s="1"/>
  <c r="I11" i="20"/>
  <c r="H19" i="20" s="1"/>
  <c r="V6" i="19"/>
  <c r="V8" i="19"/>
  <c r="U8" i="19"/>
  <c r="U7" i="19"/>
  <c r="V7" i="19"/>
  <c r="U5" i="19"/>
  <c r="V5" i="19"/>
  <c r="Z5" i="19"/>
  <c r="Z9" i="19" s="1"/>
  <c r="U15" i="18"/>
  <c r="V15" i="18"/>
  <c r="V14" i="18"/>
  <c r="Y17" i="18"/>
  <c r="Z17" i="18"/>
  <c r="U13" i="18"/>
  <c r="V13" i="18"/>
  <c r="V16" i="18"/>
  <c r="U16" i="18"/>
  <c r="U7" i="18"/>
  <c r="V7" i="18"/>
  <c r="Z8" i="18"/>
  <c r="V6" i="18"/>
  <c r="U6" i="18"/>
  <c r="V5" i="18"/>
  <c r="U5" i="18"/>
  <c r="T5" i="17"/>
  <c r="V5" i="17" s="1"/>
  <c r="Q5" i="17"/>
  <c r="R5" i="17" s="1"/>
  <c r="V7" i="17"/>
  <c r="U5" i="17"/>
  <c r="U8" i="17"/>
  <c r="V8" i="17"/>
  <c r="V6" i="17"/>
  <c r="U6" i="17"/>
  <c r="Z9" i="17"/>
  <c r="Z10" i="17" s="1"/>
  <c r="Y9" i="17"/>
  <c r="Z8" i="16"/>
  <c r="U7" i="16"/>
  <c r="V6" i="16"/>
  <c r="U6" i="16"/>
  <c r="V5" i="16"/>
  <c r="U5" i="16"/>
  <c r="I110" i="20" l="1"/>
  <c r="H117" i="20"/>
  <c r="F128" i="20"/>
  <c r="I86" i="20"/>
  <c r="H93" i="20"/>
  <c r="D113" i="20"/>
  <c r="H89" i="20"/>
  <c r="G89" i="20"/>
  <c r="I89" i="20" s="1"/>
  <c r="I90" i="20" s="1"/>
  <c r="I93" i="20"/>
  <c r="H67" i="20"/>
  <c r="G67" i="20" s="1"/>
  <c r="H43" i="20"/>
  <c r="I43" i="20" s="1"/>
  <c r="I20" i="20"/>
  <c r="G20" i="20"/>
  <c r="I42" i="20"/>
  <c r="G42" i="20"/>
  <c r="I66" i="20"/>
  <c r="G66" i="20"/>
  <c r="Z9" i="16"/>
  <c r="Z11" i="16"/>
  <c r="G43" i="20"/>
  <c r="I16" i="20"/>
  <c r="I12" i="20"/>
  <c r="I19" i="20"/>
  <c r="G19" i="20"/>
  <c r="Z12" i="19"/>
  <c r="Z10" i="19"/>
  <c r="Z9" i="18"/>
  <c r="Z18" i="18"/>
  <c r="Z6" i="15"/>
  <c r="Z7" i="15"/>
  <c r="Z8" i="15"/>
  <c r="Z5" i="15"/>
  <c r="X6" i="15"/>
  <c r="X7" i="15"/>
  <c r="X8" i="15"/>
  <c r="X9" i="15"/>
  <c r="X10" i="15"/>
  <c r="X11" i="15"/>
  <c r="X5" i="15"/>
  <c r="I117" i="20" l="1"/>
  <c r="G117" i="20"/>
  <c r="H113" i="20"/>
  <c r="G113" i="20"/>
  <c r="G93" i="20"/>
  <c r="G21" i="20"/>
  <c r="H21" i="20" s="1"/>
  <c r="H23" i="20" s="1"/>
  <c r="G68" i="20"/>
  <c r="H68" i="20" s="1"/>
  <c r="H70" i="20" s="1"/>
  <c r="I70" i="20" s="1"/>
  <c r="H94" i="20"/>
  <c r="I67" i="20"/>
  <c r="G44" i="20"/>
  <c r="H44" i="20" s="1"/>
  <c r="H46" i="20" s="1"/>
  <c r="I46" i="20" s="1"/>
  <c r="Z12" i="16"/>
  <c r="Y11" i="16"/>
  <c r="Z13" i="19"/>
  <c r="Y12" i="19"/>
  <c r="Z21" i="18"/>
  <c r="I23" i="20" l="1"/>
  <c r="I113" i="20"/>
  <c r="H118" i="20" s="1"/>
  <c r="I94" i="20"/>
  <c r="G94" i="20"/>
  <c r="I114" i="20" l="1"/>
  <c r="G118" i="20"/>
  <c r="G119" i="20" s="1"/>
  <c r="H119" i="20" s="1"/>
  <c r="H121" i="20" s="1"/>
  <c r="I118" i="20"/>
  <c r="G95" i="20"/>
  <c r="H95" i="20" s="1"/>
  <c r="H97" i="20" s="1"/>
  <c r="I121" i="20" l="1"/>
  <c r="H125" i="20"/>
  <c r="I97" i="20"/>
  <c r="H126" i="20"/>
  <c r="I126" i="20" l="1"/>
  <c r="G126" i="20"/>
  <c r="I125" i="20"/>
  <c r="I128" i="20"/>
  <c r="G125" i="20"/>
  <c r="G128" i="20" s="1"/>
  <c r="O5" i="15" l="1"/>
  <c r="Y5" i="15" s="1"/>
  <c r="I8" i="15"/>
  <c r="F8" i="15" s="1"/>
  <c r="L8" i="15" s="1"/>
  <c r="M8" i="15" l="1"/>
  <c r="K8" i="15"/>
  <c r="I6" i="15"/>
  <c r="M6" i="15" s="1"/>
  <c r="I7" i="15"/>
  <c r="M7" i="15" s="1"/>
  <c r="I9" i="15"/>
  <c r="G8" i="15"/>
  <c r="I10" i="15"/>
  <c r="M10" i="15" s="1"/>
  <c r="I11" i="15"/>
  <c r="M11" i="15" s="1"/>
  <c r="I5" i="15"/>
  <c r="M9" i="15" l="1"/>
  <c r="K9" i="15"/>
  <c r="K5" i="15"/>
  <c r="M5" i="15"/>
  <c r="G6" i="15"/>
  <c r="F6" i="15"/>
  <c r="L6" i="15" s="1"/>
  <c r="K6" i="15"/>
  <c r="G9" i="15"/>
  <c r="F9" i="15"/>
  <c r="L9" i="15" s="1"/>
  <c r="G7" i="15"/>
  <c r="K7" i="15"/>
  <c r="F7" i="15"/>
  <c r="L7" i="15" s="1"/>
  <c r="F5" i="15"/>
  <c r="G10" i="15"/>
  <c r="K10" i="15"/>
  <c r="F10" i="15"/>
  <c r="L10" i="15" s="1"/>
  <c r="G11" i="15"/>
  <c r="K11" i="15"/>
  <c r="F11" i="15"/>
  <c r="L11" i="15" s="1"/>
  <c r="G5" i="15"/>
  <c r="T5" i="15" l="1"/>
  <c r="L5" i="15"/>
  <c r="Q5" i="15" s="1"/>
  <c r="R5" i="15" s="1"/>
  <c r="U5" i="15" l="1"/>
  <c r="V5" i="15"/>
  <c r="O7" i="15" l="1"/>
  <c r="Y7" i="15" s="1"/>
  <c r="O6" i="15"/>
  <c r="Y6" i="15" s="1"/>
  <c r="O9" i="15"/>
  <c r="O8" i="15"/>
  <c r="Y8" i="15" s="1"/>
  <c r="O10" i="15"/>
  <c r="Y10" i="15" s="1"/>
  <c r="Z10" i="15" s="1"/>
  <c r="O11" i="15"/>
  <c r="Y11" i="15" s="1"/>
  <c r="Y9" i="15" l="1"/>
  <c r="Q9" i="15"/>
  <c r="R9" i="15" s="1"/>
  <c r="T9" i="15"/>
  <c r="Q8" i="15"/>
  <c r="R8" i="15" s="1"/>
  <c r="T8" i="15"/>
  <c r="Q6" i="15"/>
  <c r="R6" i="15" s="1"/>
  <c r="T6" i="15"/>
  <c r="T11" i="15"/>
  <c r="Q11" i="15"/>
  <c r="R11" i="15" s="1"/>
  <c r="T10" i="15"/>
  <c r="Q10" i="15"/>
  <c r="R10" i="15" s="1"/>
  <c r="Q7" i="15"/>
  <c r="R7" i="15" s="1"/>
  <c r="T7" i="15"/>
  <c r="Z9" i="15" l="1"/>
  <c r="Z13" i="15" s="1"/>
  <c r="Y12" i="15"/>
  <c r="V8" i="15"/>
  <c r="U8" i="15"/>
  <c r="U10" i="15"/>
  <c r="V10" i="15"/>
  <c r="V9" i="15"/>
  <c r="U9" i="15"/>
  <c r="V11" i="15"/>
  <c r="U11" i="15"/>
  <c r="U7" i="15"/>
  <c r="V7" i="15"/>
  <c r="U6" i="15"/>
  <c r="V6" i="15"/>
  <c r="C6" i="10" l="1"/>
  <c r="C17" i="10"/>
  <c r="C9" i="10"/>
  <c r="E7" i="7"/>
  <c r="H7" i="7" s="1"/>
  <c r="E6" i="7"/>
  <c r="H6" i="7" s="1"/>
  <c r="E5" i="7"/>
  <c r="H5" i="7" s="1"/>
  <c r="E3" i="7"/>
  <c r="H3" i="7" s="1"/>
  <c r="F3" i="7"/>
  <c r="G3" i="7" s="1"/>
  <c r="C56" i="6"/>
  <c r="C55" i="6"/>
  <c r="C54" i="6"/>
  <c r="E4" i="7" l="1"/>
  <c r="H4" i="7" s="1"/>
  <c r="F4" i="7"/>
  <c r="F5" i="7" l="1"/>
  <c r="G4" i="7"/>
  <c r="H8" i="7"/>
  <c r="F6" i="7" l="1"/>
  <c r="G5" i="7"/>
  <c r="F7" i="7" l="1"/>
  <c r="G7" i="7" s="1"/>
  <c r="G6" i="7"/>
  <c r="G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3B70FE-5E4D-4EEF-A61E-92F998056042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E72D632-ED4E-45DD-99E0-1A0A2EE7C762}" name="WorksheetConnection_Tabla1" type="102" refreshedVersion="7" minRefreshableVersion="5">
    <extLst>
      <ext xmlns:x15="http://schemas.microsoft.com/office/spreadsheetml/2010/11/main" uri="{DE250136-89BD-433C-8126-D09CA5730AF9}">
        <x15:connection id="Tabla1">
          <x15:rangePr sourceName="_xlcn.WorksheetConnection_Tabla11"/>
        </x15:connection>
      </ext>
    </extLst>
  </connection>
</connections>
</file>

<file path=xl/sharedStrings.xml><?xml version="1.0" encoding="utf-8"?>
<sst xmlns="http://schemas.openxmlformats.org/spreadsheetml/2006/main" count="947" uniqueCount="222">
  <si>
    <t>Etiquetas de fila</t>
  </si>
  <si>
    <t>Dispersante de Asfaltenos</t>
  </si>
  <si>
    <t>Removedor Incrustaciones</t>
  </si>
  <si>
    <t>Inh Incrustaciones</t>
  </si>
  <si>
    <t>Sec Sulfhídrico</t>
  </si>
  <si>
    <t>Sec. Oxígeno</t>
  </si>
  <si>
    <t>Total general</t>
  </si>
  <si>
    <t>MALARGUE</t>
  </si>
  <si>
    <t>DISOLVENTE DE PARAFINAS Y ASFALTENOS</t>
  </si>
  <si>
    <t>DISPERSANTE DE PARAFINAS Y ASFALTENOS</t>
  </si>
  <si>
    <t>INHIBIDOR DE PARAFINAS</t>
  </si>
  <si>
    <t>INHIBIDOR DE PARAFINAS Y ASFALTENOS</t>
  </si>
  <si>
    <t>REDUCTOR DE FRICCIÓN</t>
  </si>
  <si>
    <t>REDUCTOR DE VISCOSIDAD</t>
  </si>
  <si>
    <t>SECUESTRANTE DE SULFHÍDRICO</t>
  </si>
  <si>
    <t>ANTIESPUMANTE</t>
  </si>
  <si>
    <t>HUMECTANTE DE SOLIDOS</t>
  </si>
  <si>
    <t>Ruptor total</t>
  </si>
  <si>
    <t>DESINCRUSTANTE</t>
  </si>
  <si>
    <t>Dispersante de sólidos orgánicos e inorgánicos</t>
  </si>
  <si>
    <t>Estabilizador de Arcillas</t>
  </si>
  <si>
    <t>INHIBIDOR DE INCRUSTACIONES</t>
  </si>
  <si>
    <t>SECUESTRANTE DE OXIGENO</t>
  </si>
  <si>
    <t>Limpieza de Punzados</t>
  </si>
  <si>
    <t>Mejorador de Fluidez</t>
  </si>
  <si>
    <t>Deshidratador de gas</t>
  </si>
  <si>
    <t>Humectante de Solido</t>
  </si>
  <si>
    <t>Inh. De Incrustaciones</t>
  </si>
  <si>
    <t>BARRANCAS</t>
  </si>
  <si>
    <t>Dispersnate de Parafina/Asfaltenos</t>
  </si>
  <si>
    <t>Humectante/Secante</t>
  </si>
  <si>
    <t xml:space="preserve">Oxidante de solidos </t>
  </si>
  <si>
    <t>LA VENTANA</t>
  </si>
  <si>
    <t>VIZCACHERAS</t>
  </si>
  <si>
    <t>Biocida</t>
  </si>
  <si>
    <t xml:space="preserve">Desemulsionante  </t>
  </si>
  <si>
    <t>Desemulsionante inverso</t>
  </si>
  <si>
    <t>Detergente</t>
  </si>
  <si>
    <t>Dispersante</t>
  </si>
  <si>
    <t>Dispersante de parafinas y/o asfaltenos</t>
  </si>
  <si>
    <t>OXIDANTE</t>
  </si>
  <si>
    <t>Regulador de pH</t>
  </si>
  <si>
    <t xml:space="preserve">Sal </t>
  </si>
  <si>
    <t>Secuestrante de oxígeno</t>
  </si>
  <si>
    <t>UGARTECHE</t>
  </si>
  <si>
    <t>Mejorador de flujo y de Parafinas</t>
  </si>
  <si>
    <t>Reductor de Viscocidad</t>
  </si>
  <si>
    <t>Suma de  Consumo (L/mes)</t>
  </si>
  <si>
    <t xml:space="preserve">Suma de Bacheo B/P </t>
  </si>
  <si>
    <t>Suma de Continua</t>
  </si>
  <si>
    <t>CLARIFICANTE</t>
  </si>
  <si>
    <t>Deshidratación y Calidad de entrega</t>
  </si>
  <si>
    <t>INHIBIDOR DE CORROSIÓN</t>
  </si>
  <si>
    <t>DESEMULSIONANTE</t>
  </si>
  <si>
    <t>INHIBIDOR DE HIDRATOS</t>
  </si>
  <si>
    <t>BACTERICIDA</t>
  </si>
  <si>
    <t>FLOCULANTE</t>
  </si>
  <si>
    <t>Odorizante</t>
  </si>
  <si>
    <t>Producto Químico, Denominación comercial</t>
  </si>
  <si>
    <t>BX707</t>
  </si>
  <si>
    <t>FBS1747</t>
  </si>
  <si>
    <t>DBM4022CT</t>
  </si>
  <si>
    <t>FBS2008</t>
  </si>
  <si>
    <t>DBC4893</t>
  </si>
  <si>
    <t>DS592</t>
  </si>
  <si>
    <t>DPB350</t>
  </si>
  <si>
    <t>DPB52</t>
  </si>
  <si>
    <t>IPB650A</t>
  </si>
  <si>
    <t>BX844</t>
  </si>
  <si>
    <t>IC898</t>
  </si>
  <si>
    <t>CYB589</t>
  </si>
  <si>
    <t>IC5091</t>
  </si>
  <si>
    <t>RFB200</t>
  </si>
  <si>
    <t>BX256</t>
  </si>
  <si>
    <t>IPB935CT</t>
  </si>
  <si>
    <t>SO4353CT</t>
  </si>
  <si>
    <t>BSH8050CT</t>
  </si>
  <si>
    <t>ABC11</t>
  </si>
  <si>
    <t>BX960</t>
  </si>
  <si>
    <t>FBS9558</t>
  </si>
  <si>
    <t>DBC4039</t>
  </si>
  <si>
    <t>DPB52CT</t>
  </si>
  <si>
    <t>IPB530</t>
  </si>
  <si>
    <t>SB14CT</t>
  </si>
  <si>
    <t>BX910CT</t>
  </si>
  <si>
    <t>FBS3511</t>
  </si>
  <si>
    <t>DBC3158</t>
  </si>
  <si>
    <t>DBC4879CT</t>
  </si>
  <si>
    <t>DS592CT</t>
  </si>
  <si>
    <t>SPBC38</t>
  </si>
  <si>
    <t>FBS1409</t>
  </si>
  <si>
    <t>BX844CT</t>
  </si>
  <si>
    <t>IC5087A</t>
  </si>
  <si>
    <t>CYB816</t>
  </si>
  <si>
    <t>IPB658</t>
  </si>
  <si>
    <t>RT20</t>
  </si>
  <si>
    <t>BSH506CT</t>
  </si>
  <si>
    <t>BXC3209</t>
  </si>
  <si>
    <t>DBC4928</t>
  </si>
  <si>
    <t>BSH8050</t>
  </si>
  <si>
    <t/>
  </si>
  <si>
    <t>Precio [USD/litro]</t>
  </si>
  <si>
    <t>Area</t>
  </si>
  <si>
    <t>Puntos en Continua</t>
  </si>
  <si>
    <t>Puntos en Batch</t>
  </si>
  <si>
    <t>Tarifa OYM DOSIF</t>
  </si>
  <si>
    <t>Tarifa SERV. BATCHEO TRAT. QUIM</t>
  </si>
  <si>
    <t>Total ARS</t>
  </si>
  <si>
    <t>Texto breve</t>
  </si>
  <si>
    <t>Unidad medida base</t>
  </si>
  <si>
    <t>Número de servicio</t>
  </si>
  <si>
    <t>TARIFARIO MENDOZA NORTE</t>
  </si>
  <si>
    <t>OYM PTO.DOSIF. TRAT.QUIM. 1A50 P/UNI</t>
  </si>
  <si>
    <t>UNI</t>
  </si>
  <si>
    <t>10000000000003862</t>
  </si>
  <si>
    <t>OYM PTO.DOSIF. TRAT.QUIM. 51A100 P/UNI</t>
  </si>
  <si>
    <t>10000000000003863</t>
  </si>
  <si>
    <t>OYM PTO.DOSIF. TRAT.QUIM. 101A200 P/UNI</t>
  </si>
  <si>
    <t>10000000000003864</t>
  </si>
  <si>
    <t>OYM PTO.DOSIF. TRAT.QUIM. 201A300 P/UNI</t>
  </si>
  <si>
    <t>10000000000003865</t>
  </si>
  <si>
    <t>TTE. P/UNI SKID.DOSIF. TRAT.QUIM.</t>
  </si>
  <si>
    <t>80000000000000620</t>
  </si>
  <si>
    <t>OYM PTO.DOSIF. TRAT.QUIM. 301A400 P/UNI</t>
  </si>
  <si>
    <t>10000000000003866</t>
  </si>
  <si>
    <t>OYM PTO.DOSIF. TRAT.QUIM. &gt;400 P/UNI</t>
  </si>
  <si>
    <t>10000000000003867</t>
  </si>
  <si>
    <t>SERV. BATCHEO TRAT.QUIM. BP≤20KG P/UNI</t>
  </si>
  <si>
    <t>10000000000003860</t>
  </si>
  <si>
    <t>SERV. BATCHEO TRAT.QUIM. AP&gt;70KG P/UNI</t>
  </si>
  <si>
    <t>10000000000003861</t>
  </si>
  <si>
    <t>MONT. SKID.DOSIF. TRAT.QUIM. _ P/UNI</t>
  </si>
  <si>
    <t>10000000000003868</t>
  </si>
  <si>
    <t>Precio feb-24</t>
  </si>
  <si>
    <t>Total Batch [ARS]</t>
  </si>
  <si>
    <t>Total Continuo [ARS]</t>
  </si>
  <si>
    <t>Tratamiento</t>
  </si>
  <si>
    <t>Optimización</t>
  </si>
  <si>
    <t>litros optimizados</t>
  </si>
  <si>
    <t>litros por bacheo B/P</t>
  </si>
  <si>
    <t>litros/día/bba.</t>
  </si>
  <si>
    <t>Litros/mes continua</t>
  </si>
  <si>
    <t>Sin Optimizar</t>
  </si>
  <si>
    <t>Bacheos</t>
  </si>
  <si>
    <t>Continua</t>
  </si>
  <si>
    <t>Total litros/bach</t>
  </si>
  <si>
    <t>Lts continua/día</t>
  </si>
  <si>
    <t>litros/día continua</t>
  </si>
  <si>
    <t>Proporción bach:continua</t>
  </si>
  <si>
    <t>Con optimización</t>
  </si>
  <si>
    <t>SIN</t>
  </si>
  <si>
    <t>CON</t>
  </si>
  <si>
    <t xml:space="preserve">Bacheo B/P </t>
  </si>
  <si>
    <t>lts/bach</t>
  </si>
  <si>
    <t>lts bach/mes</t>
  </si>
  <si>
    <t>lts cont./mes</t>
  </si>
  <si>
    <t>lts/día/bomba</t>
  </si>
  <si>
    <t>APLICACIÓN BACH</t>
  </si>
  <si>
    <t>APLICACIÓN CONTINUA</t>
  </si>
  <si>
    <t>Columna1</t>
  </si>
  <si>
    <t>USD</t>
  </si>
  <si>
    <t>Descuento por optimización</t>
  </si>
  <si>
    <t>PQ</t>
  </si>
  <si>
    <t>USD/lt</t>
  </si>
  <si>
    <t>Consumo</t>
  </si>
  <si>
    <t>Actual</t>
  </si>
  <si>
    <t>Optimizado</t>
  </si>
  <si>
    <t>% Optimización</t>
  </si>
  <si>
    <t>USD Facturados</t>
  </si>
  <si>
    <t>Ahorro</t>
  </si>
  <si>
    <t xml:space="preserve">Aplicación Bach </t>
  </si>
  <si>
    <t>Coti USD</t>
  </si>
  <si>
    <t>Ahorro Servicio</t>
  </si>
  <si>
    <t>Descuento Trat. Integral Agua + Petróleo</t>
  </si>
  <si>
    <t>Ahorro Total</t>
  </si>
  <si>
    <t>Total USD s/ahorro</t>
  </si>
  <si>
    <t>Total USD c/ahorro</t>
  </si>
  <si>
    <t>AHORRO</t>
  </si>
  <si>
    <t>Optimización N° Bacheos</t>
  </si>
  <si>
    <t>Ahorro [$]</t>
  </si>
  <si>
    <t>Bacheos optimizados [$]</t>
  </si>
  <si>
    <t>Total [$]</t>
  </si>
  <si>
    <t>% Descuento</t>
  </si>
  <si>
    <t>Ugarteche</t>
  </si>
  <si>
    <t>AHORRO [USD]</t>
  </si>
  <si>
    <t>La Ventana</t>
  </si>
  <si>
    <t>Malargüe</t>
  </si>
  <si>
    <t>Ahorro Productos Químicos Barrancas</t>
  </si>
  <si>
    <t>Ahorro Productos Químicos en Total</t>
  </si>
  <si>
    <t>Ahorro Productos Químicos Ugarteche</t>
  </si>
  <si>
    <t>Ahorro Productos Químicos La Ventana</t>
  </si>
  <si>
    <t>Ahorro Productos Químicos Malargüe</t>
  </si>
  <si>
    <t>Vizcacheras</t>
  </si>
  <si>
    <t>Ahorro Productos Químicos Vizcacheras</t>
  </si>
  <si>
    <t>Mza Norte</t>
  </si>
  <si>
    <t>Total Mendoza</t>
  </si>
  <si>
    <t>Barrancas</t>
  </si>
  <si>
    <t>Viscacheras</t>
  </si>
  <si>
    <t>Desemulsionates</t>
  </si>
  <si>
    <t>Bactericidas</t>
  </si>
  <si>
    <t>Inhibidor de corrosión</t>
  </si>
  <si>
    <t>Inhibidor de Incrustaciones</t>
  </si>
  <si>
    <t>Desemulsionantes</t>
  </si>
  <si>
    <t>Familia</t>
  </si>
  <si>
    <t>Optimización proyectada</t>
  </si>
  <si>
    <t>Global por area [USD/mes]</t>
  </si>
  <si>
    <t>Ahorro x familia x area [USD/mes]</t>
  </si>
  <si>
    <t>Optimización [litros/mes]</t>
  </si>
  <si>
    <t>Total [USD/mes]</t>
  </si>
  <si>
    <t>Total [lts/mes]</t>
  </si>
  <si>
    <t>Global por area [litros/mes]</t>
  </si>
  <si>
    <t>UGDB</t>
  </si>
  <si>
    <t>UGB</t>
  </si>
  <si>
    <t>UGDP</t>
  </si>
  <si>
    <t>BDB</t>
  </si>
  <si>
    <t>BB</t>
  </si>
  <si>
    <t>BCY</t>
  </si>
  <si>
    <t>BIC</t>
  </si>
  <si>
    <t>BMF</t>
  </si>
  <si>
    <t>BRV</t>
  </si>
  <si>
    <t>BDP</t>
  </si>
  <si>
    <t>LVCY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</si>
</sst>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0.0%"/>
  </numFmts>
  <fonts count="30">
    <font>
      <sz val="11"/>
      <color theme="1"/>
      <name val="Calibri"/>
      <family val="2"/>
      <scheme val="minor"/>
    </font>
    <font>
      <sz val="10"/>
      <color theme="1"/>
      <name val="72 Condensed"/>
      <family val="2"/>
    </font>
    <font>
      <b/>
      <sz val="10"/>
      <color theme="1"/>
      <name val="72 Condensed"/>
      <family val="2"/>
    </font>
    <font>
      <b/>
      <sz val="10"/>
      <color theme="1"/>
      <name val="Exo"/>
    </font>
    <font>
      <sz val="10"/>
      <color theme="1"/>
      <name val="Exo"/>
    </font>
    <font>
      <b/>
      <sz val="10"/>
      <color theme="0" tint="-0.499984740745262"/>
      <name val="Exo"/>
    </font>
    <font>
      <sz val="10"/>
      <color theme="0" tint="-0.499984740745262"/>
      <name val="Exo"/>
    </font>
    <font>
      <b/>
      <sz val="10"/>
      <color theme="0" tint="-4.9989318521683403E-2"/>
      <name val="Exo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72 Condensed"/>
      <family val="2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Exo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>
      <alignment wrapText="1"/>
    </xf>
    <xf numFmtId="9" fontId="9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" fontId="4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4" fontId="4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44" fontId="4" fillId="4" borderId="1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3" fontId="6" fillId="0" borderId="10" xfId="0" applyNumberFormat="1" applyFont="1" applyBorder="1" applyAlignment="1">
      <alignment horizontal="center"/>
    </xf>
    <xf numFmtId="3" fontId="6" fillId="0" borderId="15" xfId="0" applyNumberFormat="1" applyFont="1" applyBorder="1" applyAlignment="1">
      <alignment horizontal="center"/>
    </xf>
    <xf numFmtId="44" fontId="5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0" fillId="0" borderId="11" xfId="0" applyBorder="1" applyAlignment="1">
      <alignment horizontal="center"/>
    </xf>
    <xf numFmtId="0" fontId="0" fillId="5" borderId="11" xfId="0" applyFill="1" applyBorder="1" applyAlignment="1">
      <alignment horizontal="center"/>
    </xf>
    <xf numFmtId="1" fontId="0" fillId="5" borderId="11" xfId="0" applyNumberFormat="1" applyFill="1" applyBorder="1" applyAlignment="1">
      <alignment horizontal="center"/>
    </xf>
    <xf numFmtId="0" fontId="16" fillId="0" borderId="11" xfId="0" applyFont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 vertical="center" wrapText="1"/>
    </xf>
    <xf numFmtId="9" fontId="10" fillId="0" borderId="16" xfId="2" applyFont="1" applyBorder="1" applyAlignment="1">
      <alignment horizontal="center"/>
    </xf>
    <xf numFmtId="9" fontId="10" fillId="0" borderId="27" xfId="2" applyFont="1" applyBorder="1" applyAlignment="1">
      <alignment horizontal="center"/>
    </xf>
    <xf numFmtId="0" fontId="16" fillId="7" borderId="11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/>
    </xf>
    <xf numFmtId="1" fontId="0" fillId="7" borderId="1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" fontId="0" fillId="7" borderId="23" xfId="0" applyNumberFormat="1" applyFill="1" applyBorder="1" applyAlignment="1">
      <alignment horizontal="center"/>
    </xf>
    <xf numFmtId="0" fontId="16" fillId="8" borderId="11" xfId="0" applyFont="1" applyFill="1" applyBorder="1" applyAlignment="1">
      <alignment horizontal="center" vertical="center" wrapText="1"/>
    </xf>
    <xf numFmtId="0" fontId="16" fillId="8" borderId="21" xfId="0" applyFont="1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18" fillId="0" borderId="12" xfId="0" applyFont="1" applyBorder="1" applyAlignment="1">
      <alignment horizontal="center" vertical="center" wrapText="1"/>
    </xf>
    <xf numFmtId="9" fontId="10" fillId="0" borderId="12" xfId="2" applyFont="1" applyBorder="1" applyAlignment="1">
      <alignment horizontal="center"/>
    </xf>
    <xf numFmtId="9" fontId="10" fillId="0" borderId="31" xfId="2" applyFont="1" applyBorder="1" applyAlignment="1">
      <alignment horizontal="center"/>
    </xf>
    <xf numFmtId="1" fontId="11" fillId="0" borderId="11" xfId="0" applyNumberFormat="1" applyFont="1" applyBorder="1" applyAlignment="1">
      <alignment horizontal="center"/>
    </xf>
    <xf numFmtId="9" fontId="13" fillId="6" borderId="20" xfId="0" applyNumberFormat="1" applyFont="1" applyFill="1" applyBorder="1" applyAlignment="1">
      <alignment horizontal="center"/>
    </xf>
    <xf numFmtId="9" fontId="11" fillId="6" borderId="20" xfId="0" applyNumberFormat="1" applyFont="1" applyFill="1" applyBorder="1" applyAlignment="1">
      <alignment horizontal="center"/>
    </xf>
    <xf numFmtId="9" fontId="11" fillId="6" borderId="22" xfId="0" applyNumberFormat="1" applyFont="1" applyFill="1" applyBorder="1" applyAlignment="1">
      <alignment horizontal="center"/>
    </xf>
    <xf numFmtId="1" fontId="11" fillId="0" borderId="23" xfId="0" applyNumberFormat="1" applyFont="1" applyBorder="1" applyAlignment="1">
      <alignment horizontal="center"/>
    </xf>
    <xf numFmtId="0" fontId="16" fillId="9" borderId="11" xfId="0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/>
    </xf>
    <xf numFmtId="1" fontId="0" fillId="9" borderId="11" xfId="0" applyNumberFormat="1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1" fontId="0" fillId="9" borderId="23" xfId="0" applyNumberFormat="1" applyFill="1" applyBorder="1" applyAlignment="1">
      <alignment horizontal="center"/>
    </xf>
    <xf numFmtId="1" fontId="0" fillId="8" borderId="21" xfId="0" applyNumberFormat="1" applyFill="1" applyBorder="1" applyAlignment="1">
      <alignment horizontal="center"/>
    </xf>
    <xf numFmtId="1" fontId="0" fillId="8" borderId="23" xfId="0" applyNumberFormat="1" applyFill="1" applyBorder="1" applyAlignment="1">
      <alignment horizontal="center"/>
    </xf>
    <xf numFmtId="1" fontId="0" fillId="8" borderId="24" xfId="0" applyNumberForma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19" fillId="0" borderId="11" xfId="0" applyNumberFormat="1" applyFont="1" applyBorder="1" applyAlignment="1">
      <alignment horizontal="center"/>
    </xf>
    <xf numFmtId="10" fontId="11" fillId="10" borderId="11" xfId="2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/>
    <xf numFmtId="0" fontId="0" fillId="0" borderId="25" xfId="0" applyBorder="1"/>
    <xf numFmtId="0" fontId="0" fillId="0" borderId="28" xfId="0" applyBorder="1"/>
    <xf numFmtId="0" fontId="0" fillId="0" borderId="20" xfId="0" applyBorder="1"/>
    <xf numFmtId="0" fontId="1" fillId="2" borderId="0" xfId="0" applyFont="1" applyFill="1" applyAlignment="1">
      <alignment horizontal="center" vertical="center" wrapText="1"/>
    </xf>
    <xf numFmtId="0" fontId="1" fillId="0" borderId="4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3" fontId="1" fillId="0" borderId="0" xfId="0" applyNumberFormat="1" applyFont="1" applyAlignment="1">
      <alignment horizontal="center"/>
    </xf>
    <xf numFmtId="3" fontId="20" fillId="0" borderId="0" xfId="0" applyNumberFormat="1" applyFont="1" applyAlignment="1">
      <alignment horizontal="center"/>
    </xf>
    <xf numFmtId="10" fontId="11" fillId="10" borderId="18" xfId="2" applyNumberFormat="1" applyFont="1" applyFill="1" applyBorder="1" applyAlignment="1">
      <alignment horizontal="center"/>
    </xf>
    <xf numFmtId="164" fontId="11" fillId="0" borderId="11" xfId="2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2" borderId="2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9" fontId="10" fillId="0" borderId="0" xfId="2" applyFont="1" applyFill="1" applyBorder="1" applyAlignment="1">
      <alignment horizontal="center"/>
    </xf>
    <xf numFmtId="9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" fontId="19" fillId="0" borderId="11" xfId="0" applyNumberFormat="1" applyFont="1" applyFill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7" borderId="11" xfId="0" applyNumberFormat="1" applyFill="1" applyBorder="1" applyAlignment="1">
      <alignment horizontal="center"/>
    </xf>
    <xf numFmtId="3" fontId="0" fillId="8" borderId="11" xfId="0" applyNumberFormat="1" applyFill="1" applyBorder="1" applyAlignment="1">
      <alignment horizontal="center"/>
    </xf>
    <xf numFmtId="3" fontId="0" fillId="8" borderId="21" xfId="0" applyNumberFormat="1" applyFill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4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 wrapText="1"/>
    </xf>
    <xf numFmtId="0" fontId="12" fillId="4" borderId="21" xfId="0" applyFont="1" applyFill="1" applyBorder="1" applyAlignment="1">
      <alignment horizontal="center" vertical="center"/>
    </xf>
    <xf numFmtId="3" fontId="0" fillId="0" borderId="28" xfId="0" applyNumberFormat="1" applyBorder="1" applyAlignment="1">
      <alignment horizontal="center" vertical="center"/>
    </xf>
    <xf numFmtId="10" fontId="25" fillId="10" borderId="26" xfId="2" applyNumberFormat="1" applyFont="1" applyFill="1" applyBorder="1" applyAlignment="1">
      <alignment horizontal="center" vertical="center"/>
    </xf>
    <xf numFmtId="10" fontId="25" fillId="10" borderId="21" xfId="2" applyNumberFormat="1" applyFont="1" applyFill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10" fontId="25" fillId="10" borderId="24" xfId="2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4" borderId="20" xfId="0" applyFont="1" applyFill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9" fontId="15" fillId="0" borderId="11" xfId="0" applyNumberFormat="1" applyFont="1" applyBorder="1" applyAlignment="1">
      <alignment horizontal="center" vertical="center"/>
    </xf>
    <xf numFmtId="3" fontId="15" fillId="0" borderId="11" xfId="0" applyNumberFormat="1" applyFont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3" fontId="26" fillId="0" borderId="11" xfId="0" applyNumberFormat="1" applyFont="1" applyBorder="1" applyAlignment="1">
      <alignment horizontal="center" vertical="center"/>
    </xf>
    <xf numFmtId="3" fontId="24" fillId="0" borderId="21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25" fillId="0" borderId="5" xfId="2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4" fontId="0" fillId="0" borderId="11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9" fontId="25" fillId="10" borderId="21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3" fontId="21" fillId="0" borderId="11" xfId="0" applyNumberFormat="1" applyFont="1" applyBorder="1" applyAlignment="1">
      <alignment horizontal="center" vertical="center"/>
    </xf>
    <xf numFmtId="4" fontId="13" fillId="0" borderId="11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3" fontId="22" fillId="0" borderId="1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9" fontId="15" fillId="0" borderId="1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9" fontId="4" fillId="0" borderId="11" xfId="0" applyNumberFormat="1" applyFont="1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29" fillId="3" borderId="11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4" fillId="0" borderId="11" xfId="0" applyNumberFormat="1" applyFont="1" applyBorder="1" applyAlignment="1">
      <alignment horizontal="center"/>
    </xf>
    <xf numFmtId="0" fontId="3" fillId="0" borderId="0" xfId="0" applyFont="1" applyBorder="1" applyAlignment="1"/>
    <xf numFmtId="3" fontId="3" fillId="0" borderId="18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16" fillId="6" borderId="20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3" fillId="4" borderId="25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right" vertical="center"/>
    </xf>
    <xf numFmtId="0" fontId="11" fillId="4" borderId="11" xfId="0" applyFont="1" applyFill="1" applyBorder="1" applyAlignment="1">
      <alignment horizontal="right" vertical="center"/>
    </xf>
    <xf numFmtId="0" fontId="11" fillId="4" borderId="12" xfId="0" applyFont="1" applyFill="1" applyBorder="1" applyAlignment="1">
      <alignment horizontal="right" vertical="center"/>
    </xf>
    <xf numFmtId="0" fontId="11" fillId="4" borderId="16" xfId="0" applyFont="1" applyFill="1" applyBorder="1" applyAlignment="1">
      <alignment horizontal="right" vertical="center"/>
    </xf>
    <xf numFmtId="0" fontId="12" fillId="4" borderId="11" xfId="0" applyFont="1" applyFill="1" applyBorder="1" applyAlignment="1">
      <alignment horizontal="right" vertical="center"/>
    </xf>
    <xf numFmtId="0" fontId="28" fillId="0" borderId="28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</cellXfs>
  <cellStyles count="3">
    <cellStyle name="Normal" xfId="0" builtinId="0"/>
    <cellStyle name="Normal 2" xfId="1" xr:uid="{62CD5D92-0C27-447F-888B-1242CC8D6B8D}"/>
    <cellStyle name="Porcentaje" xfId="2" builtinId="5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4" formatCode="#,##0.00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connections" Target="connections.xml"/><Relationship Id="rId89" Type="http://schemas.openxmlformats.org/officeDocument/2006/relationships/customXml" Target="../customXml/item1.xml"/><Relationship Id="rId16" Type="http://schemas.openxmlformats.org/officeDocument/2006/relationships/externalLink" Target="externalLinks/externalLink3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2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56" Type="http://schemas.openxmlformats.org/officeDocument/2006/relationships/externalLink" Target="externalLinks/externalLink43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77" Type="http://schemas.openxmlformats.org/officeDocument/2006/relationships/externalLink" Target="externalLinks/externalLink64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80" Type="http://schemas.openxmlformats.org/officeDocument/2006/relationships/externalLink" Target="externalLinks/externalLink67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46" Type="http://schemas.openxmlformats.org/officeDocument/2006/relationships/externalLink" Target="externalLinks/externalLink33.xml"/><Relationship Id="rId59" Type="http://schemas.openxmlformats.org/officeDocument/2006/relationships/externalLink" Target="externalLinks/externalLink46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54" Type="http://schemas.openxmlformats.org/officeDocument/2006/relationships/externalLink" Target="externalLinks/externalLink41.xml"/><Relationship Id="rId62" Type="http://schemas.openxmlformats.org/officeDocument/2006/relationships/externalLink" Target="externalLinks/externalLink49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83" Type="http://schemas.openxmlformats.org/officeDocument/2006/relationships/theme" Target="theme/theme1.xml"/><Relationship Id="rId88" Type="http://schemas.openxmlformats.org/officeDocument/2006/relationships/calcChain" Target="calcChain.xml"/><Relationship Id="rId9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powerPivotData" Target="model/item.data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Optimización'!$E$2</c:f>
              <c:strCache>
                <c:ptCount val="1"/>
                <c:pt idx="0">
                  <c:v>Optimización proyectada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'Resumen Optimización'!$C$3:$D$25</c:f>
              <c:multiLvlStrCache>
                <c:ptCount val="23"/>
                <c:lvl>
                  <c:pt idx="0">
                    <c:v>Desemulsionates</c:v>
                  </c:pt>
                  <c:pt idx="1">
                    <c:v>Bactericidas</c:v>
                  </c:pt>
                  <c:pt idx="2">
                    <c:v>Dispersante de parafinas y/o asfaltenos</c:v>
                  </c:pt>
                  <c:pt idx="3">
                    <c:v>Desemulsionates</c:v>
                  </c:pt>
                  <c:pt idx="4">
                    <c:v>Bactericidas</c:v>
                  </c:pt>
                  <c:pt idx="5">
                    <c:v>Inhibidor de corrosión</c:v>
                  </c:pt>
                  <c:pt idx="6">
                    <c:v>Inhibidor de Incrustaciones</c:v>
                  </c:pt>
                  <c:pt idx="7">
                    <c:v>Mejorador de flujo y de Parafinas</c:v>
                  </c:pt>
                  <c:pt idx="8">
                    <c:v>Reductor de Viscocidad</c:v>
                  </c:pt>
                  <c:pt idx="9">
                    <c:v>Dispersante de parafinas y/o asfaltenos</c:v>
                  </c:pt>
                  <c:pt idx="10">
                    <c:v>Inhibidor de corrosión</c:v>
                  </c:pt>
                  <c:pt idx="11">
                    <c:v>Bactericidas</c:v>
                  </c:pt>
                  <c:pt idx="12">
                    <c:v>Humectante/Secante</c:v>
                  </c:pt>
                  <c:pt idx="13">
                    <c:v>Inhibidor de Incrustaciones</c:v>
                  </c:pt>
                  <c:pt idx="14">
                    <c:v>Desemulsionantes</c:v>
                  </c:pt>
                  <c:pt idx="15">
                    <c:v>Bactericidas</c:v>
                  </c:pt>
                  <c:pt idx="16">
                    <c:v>Dispersante de parafinas y/o asfaltenos</c:v>
                  </c:pt>
                  <c:pt idx="17">
                    <c:v>Inhibidor de Incrustaciones</c:v>
                  </c:pt>
                  <c:pt idx="18">
                    <c:v>Inhibidor de corrosión</c:v>
                  </c:pt>
                  <c:pt idx="19">
                    <c:v>Inhibidor de corrosión</c:v>
                  </c:pt>
                  <c:pt idx="20">
                    <c:v>Bactericidas</c:v>
                  </c:pt>
                  <c:pt idx="21">
                    <c:v>Inhibidor de Incrustaciones</c:v>
                  </c:pt>
                  <c:pt idx="22">
                    <c:v>Desemulsionates</c:v>
                  </c:pt>
                </c:lvl>
                <c:lvl>
                  <c:pt idx="0">
                    <c:v>Ugarteche</c:v>
                  </c:pt>
                  <c:pt idx="3">
                    <c:v>Barrancas</c:v>
                  </c:pt>
                  <c:pt idx="10">
                    <c:v>La Ventana</c:v>
                  </c:pt>
                  <c:pt idx="14">
                    <c:v>Malargüe</c:v>
                  </c:pt>
                  <c:pt idx="19">
                    <c:v>Viscacheras</c:v>
                  </c:pt>
                </c:lvl>
              </c:multiLvlStrCache>
            </c:multiLvlStrRef>
          </c:cat>
          <c:val>
            <c:numRef>
              <c:f>'Resumen Optimización'!$E$3:$E$25</c:f>
              <c:numCache>
                <c:formatCode>0%</c:formatCode>
                <c:ptCount val="23"/>
                <c:pt idx="0">
                  <c:v>0.15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0.1</c:v>
                </c:pt>
                <c:pt idx="12">
                  <c:v>0.15</c:v>
                </c:pt>
                <c:pt idx="13">
                  <c:v>0.15</c:v>
                </c:pt>
                <c:pt idx="14">
                  <c:v>0.2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C-43FA-8749-27E65029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213999"/>
        <c:axId val="1586511471"/>
      </c:barChart>
      <c:catAx>
        <c:axId val="181821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6511471"/>
        <c:crosses val="autoZero"/>
        <c:auto val="1"/>
        <c:lblAlgn val="ctr"/>
        <c:lblOffset val="100"/>
        <c:noMultiLvlLbl val="0"/>
      </c:catAx>
      <c:valAx>
        <c:axId val="158651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821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1363265</xdr:colOff>
      <xdr:row>26</xdr:row>
      <xdr:rowOff>98821</xdr:rowOff>
    </xdr:from>
    <xdr:to>
      <xdr:col>7</xdr:col>
      <xdr:colOff>666750</xdr:colOff>
      <xdr:row>45</xdr:row>
      <xdr:rowOff>83343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A57335-5D1A-6E25-6A58-E3E752B9A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ill/Configuraci&#243;n%20local/Archivos%20temporales%20de%20Internet/Content.IE5/1R4XPPCF/Planta%20de%20Inyeccion%20-%20Cerro%20Drag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miculi/Mis%20documentos/Miculian%20Pablo/Bolland%20&amp;%20Cia/Costeo%20preliminar%203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Aquanima/Proyectos/Chile/Banco%20Santander/6041%20-%20Servicio%20Apoyo%20de%20Vigilancia/3%20Inteligencia%20Mercado/RFI_604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8/Casos/D&amp;S/ASEO/RFI/RFI%20Recibidos/analisis/RFI%20Recibidos/Limoci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9/Casos/TOTTUS/RFI/Recepci&#243;n%20RFI/Floor_Crew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%20Data/back%20AF%20%20recuperado/My%20Documents/Carpeta%20de%20Control%20de%20Pozos/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16/03%20Pulling%20PP%2016%20(02-04-04)/RI%20PP16%20(05-04-04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cotizaciones/PEREZ%20COMPANC/PLANILLAYPF564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28/01%20Pulling%20PP%2028%20(11-05-04)/RP%20PP28%20(11-05-04)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Configuraci&#243;n%20local/Temp/Copia%20de%20NUEVO%20ANEXO%20III%20V7%2049_%20AJ_CCT%2053-6346-12%20mh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bidart/Mis%20documentos/Pamela/Banco%20Santander/Cheques/Estadisticas%20Cheques%20y%20Dctos.Valorado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ROS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/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 refreshError="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DAEFFE-FAFA-4FDC-A0F0-5559BBF0AE16}" name="Tabla1" displayName="Tabla1" ref="B3:G112" totalsRowShown="0" headerRowDxfId="55" dataDxfId="54">
  <autoFilter ref="B3:G112" xr:uid="{3ADAEFFE-FAFA-4FDC-A0F0-5559BBF0AE16}"/>
  <tableColumns count="6">
    <tableColumn id="1" xr3:uid="{7335582E-E3F0-4F5C-A28B-800592445517}" name="Etiquetas de fila" dataDxfId="53"/>
    <tableColumn id="2" xr3:uid="{9617F3B8-1E33-43A2-AD6A-498324C92187}" name="Suma de  Consumo (L/mes)" dataDxfId="52"/>
    <tableColumn id="3" xr3:uid="{CC6B0C35-33AA-410A-B290-AE12794FFD37}" name="Suma de Bacheo B/P " dataDxfId="51"/>
    <tableColumn id="4" xr3:uid="{19E606BB-F7D2-4861-BEF4-B59D60529204}" name="Suma de Continua" dataDxfId="50"/>
    <tableColumn id="7" xr3:uid="{0E4332C0-1372-46AB-A793-35BBD37421FF}" name="Producto Químico, Denominación comercial" dataDxfId="49"/>
    <tableColumn id="5" xr3:uid="{DFF1FF82-4BF3-4142-AD7A-2DAFDD414DFD}" name="Precio [USD/litro]" dataDxfId="4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168BD4-335E-4C97-B99D-5F683EF0CE45}" name="Tabla13" displayName="Tabla13" ref="B3:G11" totalsRowShown="0" headerRowDxfId="47" dataDxfId="46">
  <sortState xmlns:xlrd2="http://schemas.microsoft.com/office/spreadsheetml/2017/richdata2" ref="B4:G11">
    <sortCondition descending="1" ref="C4:C11"/>
  </sortState>
  <tableColumns count="6">
    <tableColumn id="1" xr3:uid="{B28E05EA-FC0A-4A6F-AE83-185B7A21A97C}" name="Etiquetas de fila" dataDxfId="45"/>
    <tableColumn id="2" xr3:uid="{407CE251-94FE-442A-9841-FC3B254F3A2E}" name="Suma de  Consumo (L/mes)" dataDxfId="44"/>
    <tableColumn id="3" xr3:uid="{6FDABE3D-ADCE-4CEA-B3E1-48A986E2B3A7}" name="Suma de Bacheo B/P " dataDxfId="43"/>
    <tableColumn id="4" xr3:uid="{A411C9A6-7515-4943-8270-BF0FD0AB7B7B}" name="Suma de Continua" dataDxfId="42"/>
    <tableColumn id="7" xr3:uid="{F0109401-723F-4AD7-A29C-ACD99DDD83A4}" name="Producto Químico, Denominación comercial" dataDxfId="41"/>
    <tableColumn id="5" xr3:uid="{33EE90E7-C565-46C0-AE1C-E83F54E6FA81}" name="Precio [USD/litro]" dataDxfId="4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0E9194-8999-4728-957A-F787450B5E68}" name="Tabla179" displayName="Tabla179" ref="B13:G20" totalsRowShown="0" headerRowDxfId="39" dataDxfId="38">
  <sortState xmlns:xlrd2="http://schemas.microsoft.com/office/spreadsheetml/2017/richdata2" ref="B14:G20">
    <sortCondition descending="1" ref="C14:C20"/>
  </sortState>
  <tableColumns count="6">
    <tableColumn id="1" xr3:uid="{8D2564BD-6C93-428A-AF13-027D220FDC3C}" name="Etiquetas de fila" dataDxfId="37"/>
    <tableColumn id="2" xr3:uid="{9D506C51-D08C-4369-980C-FEC6AFFB1467}" name="Suma de  Consumo (L/mes)" dataDxfId="36"/>
    <tableColumn id="3" xr3:uid="{06B70778-3CEF-476F-8D11-F9FD4E9AB3E7}" name="Suma de Bacheo B/P " dataDxfId="35"/>
    <tableColumn id="4" xr3:uid="{76CBFBED-5284-4CC6-AA23-CFB121D6CDCF}" name="Suma de Continua" dataDxfId="34"/>
    <tableColumn id="7" xr3:uid="{D62E3E74-E619-445F-89CB-83FD40D474E2}" name="Producto Químico, Denominación comercial" dataDxfId="33"/>
    <tableColumn id="5" xr3:uid="{1AA98A26-CDF9-4AF5-910B-FA4BDBAC3C71}" name="Precio [USD/litro]" dataDxfId="3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C9640A-2F44-4744-BBEC-0820010DBB2F}" name="Tabla14" displayName="Tabla14" ref="B3:H26" totalsRowCount="1" headerRowDxfId="31" dataDxfId="30">
  <autoFilter ref="B3:H25" xr:uid="{13C9640A-2F44-4744-BBEC-0820010DBB2F}"/>
  <sortState xmlns:xlrd2="http://schemas.microsoft.com/office/spreadsheetml/2017/richdata2" ref="B4:H25">
    <sortCondition descending="1" ref="H4:H25"/>
  </sortState>
  <tableColumns count="7">
    <tableColumn id="1" xr3:uid="{0EB2043D-F86F-4ECF-8ADC-80962F71E17D}" name="Etiquetas de fila" dataDxfId="29" totalsRowDxfId="28"/>
    <tableColumn id="2" xr3:uid="{B60D5A85-1AC7-4FE3-96D7-8F27A0D13194}" name="Suma de  Consumo (L/mes)" dataDxfId="27" totalsRowDxfId="26"/>
    <tableColumn id="3" xr3:uid="{25BCB32C-9E34-438A-8284-534B6EBF1483}" name="Suma de Bacheo B/P " dataDxfId="25" totalsRowDxfId="24"/>
    <tableColumn id="4" xr3:uid="{8C3A337F-C692-4F87-83E0-F7B101647FC7}" name="Suma de Continua" dataDxfId="23" totalsRowDxfId="22"/>
    <tableColumn id="7" xr3:uid="{82BEB9DA-43EB-4C29-A9A3-AC71694E7CAB}" name="Producto Químico, Denominación comercial" dataDxfId="21" totalsRowDxfId="20"/>
    <tableColumn id="5" xr3:uid="{B62AC33A-EE5E-4F88-87D1-7EF2865B35BA}" name="Precio [USD/litro]" dataDxfId="19" totalsRowDxfId="18"/>
    <tableColumn id="6" xr3:uid="{9727A68B-1FDF-42E5-9A3D-62F29E3F59CF}" name="Columna1" totalsRowFunction="sum" dataDxfId="17" totalsRowDxfId="16">
      <calculatedColumnFormula>+Tabla14[[#This Row],[Suma de  Consumo (L/mes)]]*Tabla14[[#This Row],[Precio '[USD/litro']]]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2FC0D1-F6B4-407D-83BF-9C31551B9D2A}" name="Tabla16" displayName="Tabla16" ref="B3:G34" totalsRowShown="0" headerRowDxfId="15" dataDxfId="14">
  <autoFilter ref="B3:G34" xr:uid="{102FC0D1-F6B4-407D-83BF-9C31551B9D2A}"/>
  <sortState xmlns:xlrd2="http://schemas.microsoft.com/office/spreadsheetml/2017/richdata2" ref="B4:G34">
    <sortCondition descending="1" ref="C4:C34"/>
  </sortState>
  <tableColumns count="6">
    <tableColumn id="1" xr3:uid="{22D433E1-3169-47C4-842F-04BD3B1384BD}" name="Etiquetas de fila" dataDxfId="13"/>
    <tableColumn id="2" xr3:uid="{0F854A2B-D403-45B0-8002-0BDE338858F5}" name="Suma de  Consumo (L/mes)" dataDxfId="12"/>
    <tableColumn id="3" xr3:uid="{CCC7E108-921B-4815-93A2-5BA5D933A662}" name="Suma de Bacheo B/P " dataDxfId="11"/>
    <tableColumn id="4" xr3:uid="{CAC7777B-556A-4960-875C-D72DBC1492CE}" name="Suma de Continua" dataDxfId="10"/>
    <tableColumn id="7" xr3:uid="{F9AFFC6F-2D14-4F98-98C8-9634D9060FC1}" name="Producto Químico, Denominación comercial" dataDxfId="9"/>
    <tableColumn id="5" xr3:uid="{025A7FB5-7582-4583-AF4D-4CB053B5DEB6}" name="Precio [USD/litro]" dataDxfId="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7E676-8673-4DF0-A005-8754F8FB73B8}" name="Tabla18" displayName="Tabla18" ref="B3:G24" totalsRowShown="0" headerRowDxfId="7" dataDxfId="6">
  <autoFilter ref="B3:G24" xr:uid="{41D7E676-8673-4DF0-A005-8754F8FB73B8}"/>
  <sortState xmlns:xlrd2="http://schemas.microsoft.com/office/spreadsheetml/2017/richdata2" ref="B4:G24">
    <sortCondition descending="1" ref="C4:C24"/>
  </sortState>
  <tableColumns count="6">
    <tableColumn id="1" xr3:uid="{2BE4BC6C-2451-4EA6-A015-9E36C40C7158}" name="Etiquetas de fila" dataDxfId="5"/>
    <tableColumn id="2" xr3:uid="{6AC82F08-AB89-4650-B2E8-F105385E689D}" name="Suma de  Consumo (L/mes)" dataDxfId="4"/>
    <tableColumn id="3" xr3:uid="{BD4729B5-2DE0-4F0F-BE52-190D0D4801A1}" name="Suma de Bacheo B/P " dataDxfId="3"/>
    <tableColumn id="4" xr3:uid="{1EC22DF3-83BE-40B8-8CE7-B34911E4FAEE}" name="Suma de Continua" dataDxfId="2"/>
    <tableColumn id="7" xr3:uid="{2D0C9F69-35E2-4178-B6B0-A1DF487D611E}" name="Producto Químico, Denominación comercial" dataDxfId="1"/>
    <tableColumn id="5" xr3:uid="{FA591FDD-8CEF-4E5B-BE5E-B7E1DA4AB5C0}" name="Precio [USD/litro]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09DB-8EBB-4BFE-AEEE-753DBB36731F}">
  <dimension ref="B2:J114"/>
  <sheetViews>
    <sheetView topLeftCell="A91" workbookViewId="0">
      <selection activeCell="C97" sqref="C97"/>
    </sheetView>
  </sheetViews>
  <sheetFormatPr baseColWidth="10" defaultRowHeight="12.75"/>
  <cols>
    <col min="1" max="1" width="5" style="1" customWidth="1"/>
    <col min="2" max="2" width="38" style="1" customWidth="1"/>
    <col min="3" max="3" width="17.28515625" style="1" customWidth="1"/>
    <col min="4" max="4" width="16.140625" style="1" customWidth="1"/>
    <col min="5" max="5" width="12" style="1" customWidth="1"/>
    <col min="6" max="6" width="20.28515625" style="1" customWidth="1"/>
    <col min="7" max="7" width="15.85546875" style="1" customWidth="1"/>
    <col min="8" max="8" width="11.42578125" style="1" customWidth="1"/>
    <col min="9" max="9" width="5.85546875" style="1" customWidth="1"/>
    <col min="10" max="10" width="11.42578125" style="110"/>
    <col min="11" max="16384" width="11.42578125" style="1"/>
  </cols>
  <sheetData>
    <row r="2" spans="2:10" ht="13.5" thickBot="1"/>
    <row r="3" spans="2:10" ht="39" thickBot="1">
      <c r="B3" s="34" t="s">
        <v>0</v>
      </c>
      <c r="C3" s="36" t="s">
        <v>47</v>
      </c>
      <c r="D3" s="36" t="s">
        <v>48</v>
      </c>
      <c r="E3" s="35" t="s">
        <v>49</v>
      </c>
      <c r="F3" s="34" t="s">
        <v>58</v>
      </c>
      <c r="G3" s="35" t="s">
        <v>101</v>
      </c>
    </row>
    <row r="4" spans="2:10">
      <c r="B4" s="2" t="s">
        <v>28</v>
      </c>
      <c r="C4" s="3">
        <v>111305</v>
      </c>
      <c r="D4" s="3">
        <v>540</v>
      </c>
      <c r="E4" s="4">
        <v>178</v>
      </c>
      <c r="F4" s="5"/>
      <c r="G4" s="6">
        <v>0</v>
      </c>
      <c r="J4" s="111">
        <f>SUM(J5:J27)</f>
        <v>404438.44</v>
      </c>
    </row>
    <row r="5" spans="2:10">
      <c r="B5" s="5" t="s">
        <v>34</v>
      </c>
      <c r="C5" s="1">
        <v>17023</v>
      </c>
      <c r="D5" s="1">
        <v>98</v>
      </c>
      <c r="E5" s="6">
        <v>54</v>
      </c>
      <c r="F5" s="5" t="s">
        <v>59</v>
      </c>
      <c r="G5" s="6">
        <v>4.72</v>
      </c>
      <c r="J5" s="110">
        <f>+Tabla1[[#This Row],[Suma de  Consumo (L/mes)]]*Tabla1[[#This Row],[Precio '[USD/litro']]]</f>
        <v>80348.56</v>
      </c>
    </row>
    <row r="6" spans="2:10">
      <c r="B6" s="5" t="s">
        <v>50</v>
      </c>
      <c r="C6" s="1">
        <v>1540</v>
      </c>
      <c r="E6" s="6">
        <v>6</v>
      </c>
      <c r="F6" s="5" t="s">
        <v>60</v>
      </c>
      <c r="G6" s="6">
        <v>4.57</v>
      </c>
      <c r="J6" s="110">
        <f>+Tabla1[[#This Row],[Suma de  Consumo (L/mes)]]*Tabla1[[#This Row],[Precio '[USD/litro']]]</f>
        <v>7037.8</v>
      </c>
    </row>
    <row r="7" spans="2:10">
      <c r="B7" s="5" t="s">
        <v>35</v>
      </c>
      <c r="C7" s="1">
        <v>110</v>
      </c>
      <c r="E7" s="6">
        <v>2</v>
      </c>
      <c r="F7" s="5" t="s">
        <v>61</v>
      </c>
      <c r="G7" s="6">
        <v>3.25</v>
      </c>
      <c r="J7" s="110">
        <f>+Tabla1[[#This Row],[Suma de  Consumo (L/mes)]]*Tabla1[[#This Row],[Precio '[USD/litro']]]</f>
        <v>357.5</v>
      </c>
    </row>
    <row r="8" spans="2:10">
      <c r="B8" s="5" t="s">
        <v>36</v>
      </c>
      <c r="C8" s="1">
        <v>3080</v>
      </c>
      <c r="E8" s="6">
        <v>4</v>
      </c>
      <c r="F8" s="5" t="s">
        <v>62</v>
      </c>
      <c r="G8" s="6">
        <v>2.74</v>
      </c>
      <c r="J8" s="110">
        <f>+Tabla1[[#This Row],[Suma de  Consumo (L/mes)]]*Tabla1[[#This Row],[Precio '[USD/litro']]]</f>
        <v>8439.2000000000007</v>
      </c>
    </row>
    <row r="9" spans="2:10">
      <c r="B9" s="5" t="s">
        <v>51</v>
      </c>
      <c r="C9" s="1">
        <v>17046</v>
      </c>
      <c r="D9" s="1">
        <v>59</v>
      </c>
      <c r="E9" s="6">
        <v>22</v>
      </c>
      <c r="F9" s="5" t="s">
        <v>63</v>
      </c>
      <c r="G9" s="6">
        <v>6.82</v>
      </c>
      <c r="J9" s="110">
        <f>+Tabla1[[#This Row],[Suma de  Consumo (L/mes)]]*Tabla1[[#This Row],[Precio '[USD/litro']]]</f>
        <v>116253.72</v>
      </c>
    </row>
    <row r="10" spans="2:10">
      <c r="B10" s="5" t="s">
        <v>25</v>
      </c>
      <c r="C10" s="1">
        <v>0</v>
      </c>
      <c r="E10" s="6"/>
      <c r="F10" s="5"/>
      <c r="G10" s="6"/>
      <c r="J10" s="110">
        <f>+Tabla1[[#This Row],[Suma de  Consumo (L/mes)]]*Tabla1[[#This Row],[Precio '[USD/litro']]]</f>
        <v>0</v>
      </c>
    </row>
    <row r="11" spans="2:10">
      <c r="B11" s="5" t="s">
        <v>18</v>
      </c>
      <c r="C11" s="1">
        <v>0</v>
      </c>
      <c r="E11" s="6">
        <v>2</v>
      </c>
      <c r="F11" s="5" t="s">
        <v>64</v>
      </c>
      <c r="G11" s="6">
        <v>1.51</v>
      </c>
      <c r="J11" s="110">
        <f>+Tabla1[[#This Row],[Suma de  Consumo (L/mes)]]*Tabla1[[#This Row],[Precio '[USD/litro']]]</f>
        <v>0</v>
      </c>
    </row>
    <row r="12" spans="2:10">
      <c r="B12" s="5" t="s">
        <v>37</v>
      </c>
      <c r="C12" s="1">
        <v>710</v>
      </c>
      <c r="D12" s="1">
        <v>1</v>
      </c>
      <c r="E12" s="6">
        <v>2</v>
      </c>
      <c r="F12" s="5" t="s">
        <v>65</v>
      </c>
      <c r="G12" s="6">
        <v>4.3899999999999997</v>
      </c>
      <c r="J12" s="110">
        <f>+Tabla1[[#This Row],[Suma de  Consumo (L/mes)]]*Tabla1[[#This Row],[Precio '[USD/litro']]]</f>
        <v>3116.8999999999996</v>
      </c>
    </row>
    <row r="13" spans="2:10">
      <c r="B13" s="5" t="s">
        <v>38</v>
      </c>
      <c r="C13" s="1">
        <v>450</v>
      </c>
      <c r="E13" s="6">
        <v>4</v>
      </c>
      <c r="F13" s="5" t="s">
        <v>66</v>
      </c>
      <c r="G13" s="6">
        <v>5.07</v>
      </c>
      <c r="J13" s="110">
        <f>+Tabla1[[#This Row],[Suma de  Consumo (L/mes)]]*Tabla1[[#This Row],[Precio '[USD/litro']]]</f>
        <v>2281.5</v>
      </c>
    </row>
    <row r="14" spans="2:10">
      <c r="B14" s="5" t="s">
        <v>39</v>
      </c>
      <c r="C14" s="1">
        <v>4462</v>
      </c>
      <c r="D14" s="1">
        <v>40</v>
      </c>
      <c r="E14" s="6">
        <v>14</v>
      </c>
      <c r="F14" s="5" t="s">
        <v>67</v>
      </c>
      <c r="G14" s="6">
        <v>7.32</v>
      </c>
      <c r="J14" s="110">
        <f>+Tabla1[[#This Row],[Suma de  Consumo (L/mes)]]*Tabla1[[#This Row],[Precio '[USD/litro']]]</f>
        <v>32661.84</v>
      </c>
    </row>
    <row r="15" spans="2:10">
      <c r="B15" s="5" t="s">
        <v>26</v>
      </c>
      <c r="C15" s="1">
        <v>0</v>
      </c>
      <c r="E15" s="6"/>
      <c r="F15" s="5" t="s">
        <v>68</v>
      </c>
      <c r="G15" s="6">
        <v>3.89</v>
      </c>
      <c r="J15" s="110">
        <f>+Tabla1[[#This Row],[Suma de  Consumo (L/mes)]]*Tabla1[[#This Row],[Precio '[USD/litro']]]</f>
        <v>0</v>
      </c>
    </row>
    <row r="16" spans="2:10">
      <c r="B16" s="5" t="s">
        <v>27</v>
      </c>
      <c r="C16" s="1">
        <v>139</v>
      </c>
      <c r="E16" s="6">
        <v>1</v>
      </c>
      <c r="F16" s="5" t="s">
        <v>69</v>
      </c>
      <c r="G16" s="6">
        <v>3.48</v>
      </c>
      <c r="J16" s="110">
        <f>+Tabla1[[#This Row],[Suma de  Consumo (L/mes)]]*Tabla1[[#This Row],[Precio '[USD/litro']]]</f>
        <v>483.71999999999997</v>
      </c>
    </row>
    <row r="17" spans="2:10">
      <c r="B17" s="5" t="s">
        <v>52</v>
      </c>
      <c r="C17" s="1">
        <v>15147</v>
      </c>
      <c r="D17" s="1">
        <v>130</v>
      </c>
      <c r="E17" s="6">
        <v>20</v>
      </c>
      <c r="F17" s="5" t="s">
        <v>70</v>
      </c>
      <c r="G17" s="6">
        <v>3.7</v>
      </c>
      <c r="J17" s="110">
        <f>+Tabla1[[#This Row],[Suma de  Consumo (L/mes)]]*Tabla1[[#This Row],[Precio '[USD/litro']]]</f>
        <v>56043.9</v>
      </c>
    </row>
    <row r="18" spans="2:10">
      <c r="B18" s="5" t="s">
        <v>21</v>
      </c>
      <c r="C18" s="1">
        <v>6662</v>
      </c>
      <c r="D18" s="1">
        <v>9</v>
      </c>
      <c r="E18" s="6">
        <v>14</v>
      </c>
      <c r="F18" s="5" t="s">
        <v>71</v>
      </c>
      <c r="G18" s="6">
        <v>4.0199999999999996</v>
      </c>
      <c r="J18" s="110">
        <f>+Tabla1[[#This Row],[Suma de  Consumo (L/mes)]]*Tabla1[[#This Row],[Precio '[USD/litro']]]</f>
        <v>26781.239999999998</v>
      </c>
    </row>
    <row r="19" spans="2:10">
      <c r="B19" s="5" t="s">
        <v>23</v>
      </c>
      <c r="C19" s="1">
        <v>0</v>
      </c>
      <c r="E19" s="6"/>
      <c r="F19" s="5"/>
      <c r="G19" s="6" t="s">
        <v>100</v>
      </c>
    </row>
    <row r="20" spans="2:10">
      <c r="B20" s="5" t="s">
        <v>24</v>
      </c>
      <c r="C20" s="1">
        <v>539</v>
      </c>
      <c r="E20" s="6">
        <v>3</v>
      </c>
      <c r="F20" s="5" t="s">
        <v>72</v>
      </c>
      <c r="G20" s="6">
        <v>3.45</v>
      </c>
      <c r="J20" s="110">
        <f>+Tabla1[[#This Row],[Suma de  Consumo (L/mes)]]*Tabla1[[#This Row],[Precio '[USD/litro']]]</f>
        <v>1859.5500000000002</v>
      </c>
    </row>
    <row r="21" spans="2:10">
      <c r="B21" s="5" t="s">
        <v>45</v>
      </c>
      <c r="C21" s="1">
        <v>7025</v>
      </c>
      <c r="D21" s="1">
        <v>156</v>
      </c>
      <c r="E21" s="6">
        <v>1</v>
      </c>
      <c r="F21" s="5" t="s">
        <v>61</v>
      </c>
      <c r="G21" s="6">
        <v>3.25</v>
      </c>
      <c r="J21" s="110">
        <f>+Tabla1[[#This Row],[Suma de  Consumo (L/mes)]]*Tabla1[[#This Row],[Precio '[USD/litro']]]</f>
        <v>22831.25</v>
      </c>
    </row>
    <row r="22" spans="2:10">
      <c r="B22" s="5" t="s">
        <v>40</v>
      </c>
      <c r="C22" s="1">
        <v>0</v>
      </c>
      <c r="D22" s="1">
        <v>2</v>
      </c>
      <c r="E22" s="6"/>
      <c r="F22" s="5" t="s">
        <v>73</v>
      </c>
      <c r="G22" s="6">
        <v>3.77</v>
      </c>
      <c r="J22" s="110">
        <f>+Tabla1[[#This Row],[Suma de  Consumo (L/mes)]]*Tabla1[[#This Row],[Precio '[USD/litro']]]</f>
        <v>0</v>
      </c>
    </row>
    <row r="23" spans="2:10">
      <c r="B23" s="5" t="s">
        <v>46</v>
      </c>
      <c r="C23" s="1">
        <v>4782</v>
      </c>
      <c r="D23" s="1">
        <v>44</v>
      </c>
      <c r="E23" s="6">
        <v>7</v>
      </c>
      <c r="F23" s="5" t="s">
        <v>74</v>
      </c>
      <c r="G23" s="6">
        <v>7.88</v>
      </c>
      <c r="J23" s="110">
        <f>+Tabla1[[#This Row],[Suma de  Consumo (L/mes)]]*Tabla1[[#This Row],[Precio '[USD/litro']]]</f>
        <v>37682.159999999996</v>
      </c>
    </row>
    <row r="24" spans="2:10">
      <c r="B24" s="5" t="s">
        <v>41</v>
      </c>
      <c r="C24" s="1">
        <v>1130</v>
      </c>
      <c r="E24" s="6">
        <v>4</v>
      </c>
      <c r="F24" s="5"/>
      <c r="G24" s="6" t="s">
        <v>100</v>
      </c>
    </row>
    <row r="25" spans="2:10">
      <c r="B25" s="5" t="s">
        <v>42</v>
      </c>
      <c r="C25" s="1">
        <v>28500</v>
      </c>
      <c r="E25" s="6">
        <v>2</v>
      </c>
      <c r="F25" s="5"/>
      <c r="G25" s="6" t="s">
        <v>100</v>
      </c>
    </row>
    <row r="26" spans="2:10">
      <c r="B26" s="5" t="s">
        <v>43</v>
      </c>
      <c r="C26" s="1">
        <v>2170</v>
      </c>
      <c r="D26" s="1">
        <v>1</v>
      </c>
      <c r="E26" s="6">
        <v>8</v>
      </c>
      <c r="F26" s="5" t="s">
        <v>75</v>
      </c>
      <c r="G26" s="6">
        <v>2.31</v>
      </c>
      <c r="J26" s="110">
        <f>+Tabla1[[#This Row],[Suma de  Consumo (L/mes)]]*Tabla1[[#This Row],[Precio '[USD/litro']]]</f>
        <v>5012.7</v>
      </c>
    </row>
    <row r="27" spans="2:10">
      <c r="B27" s="5" t="s">
        <v>14</v>
      </c>
      <c r="C27" s="1">
        <v>790</v>
      </c>
      <c r="E27" s="6">
        <v>8</v>
      </c>
      <c r="F27" s="5" t="s">
        <v>76</v>
      </c>
      <c r="G27" s="6">
        <v>4.1100000000000003</v>
      </c>
      <c r="J27" s="110">
        <f>+Tabla1[[#This Row],[Suma de  Consumo (L/mes)]]*Tabla1[[#This Row],[Precio '[USD/litro']]]</f>
        <v>3246.9</v>
      </c>
    </row>
    <row r="28" spans="2:10">
      <c r="B28" s="7" t="s">
        <v>32</v>
      </c>
      <c r="C28" s="1">
        <v>61181</v>
      </c>
      <c r="D28" s="1">
        <v>148</v>
      </c>
      <c r="E28" s="6">
        <v>157</v>
      </c>
      <c r="F28" s="5"/>
      <c r="G28" s="6"/>
      <c r="J28" s="111">
        <f>SUM(J29:J49)</f>
        <v>243242.23999999999</v>
      </c>
    </row>
    <row r="29" spans="2:10">
      <c r="B29" s="5" t="s">
        <v>34</v>
      </c>
      <c r="C29" s="1">
        <v>8001</v>
      </c>
      <c r="D29" s="1">
        <v>53</v>
      </c>
      <c r="E29" s="6">
        <v>12</v>
      </c>
      <c r="F29" s="5" t="s">
        <v>78</v>
      </c>
      <c r="G29" s="6">
        <v>4.5</v>
      </c>
      <c r="J29" s="110">
        <f>+Tabla1[[#This Row],[Suma de  Consumo (L/mes)]]*Tabla1[[#This Row],[Precio '[USD/litro']]]</f>
        <v>36004.5</v>
      </c>
    </row>
    <row r="30" spans="2:10">
      <c r="B30" s="5" t="s">
        <v>50</v>
      </c>
      <c r="C30" s="1">
        <v>1310</v>
      </c>
      <c r="E30" s="6">
        <v>2</v>
      </c>
      <c r="F30" s="5" t="s">
        <v>79</v>
      </c>
      <c r="G30" s="6">
        <v>9.25</v>
      </c>
      <c r="J30" s="110">
        <f>+Tabla1[[#This Row],[Suma de  Consumo (L/mes)]]*Tabla1[[#This Row],[Precio '[USD/litro']]]</f>
        <v>12117.5</v>
      </c>
    </row>
    <row r="31" spans="2:10">
      <c r="B31" s="5" t="s">
        <v>53</v>
      </c>
      <c r="C31" s="1">
        <v>1226</v>
      </c>
      <c r="E31" s="6">
        <v>2</v>
      </c>
      <c r="F31" s="5" t="s">
        <v>61</v>
      </c>
      <c r="G31" s="6">
        <v>3.25</v>
      </c>
      <c r="J31" s="110">
        <f>+Tabla1[[#This Row],[Suma de  Consumo (L/mes)]]*Tabla1[[#This Row],[Precio '[USD/litro']]]</f>
        <v>3984.5</v>
      </c>
    </row>
    <row r="32" spans="2:10">
      <c r="B32" s="5" t="s">
        <v>35</v>
      </c>
      <c r="C32" s="1">
        <v>80</v>
      </c>
      <c r="E32" s="6">
        <v>2</v>
      </c>
      <c r="F32" s="5" t="s">
        <v>80</v>
      </c>
      <c r="G32" s="6">
        <v>6.61</v>
      </c>
      <c r="J32" s="110">
        <f>+Tabla1[[#This Row],[Suma de  Consumo (L/mes)]]*Tabla1[[#This Row],[Precio '[USD/litro']]]</f>
        <v>528.80000000000007</v>
      </c>
    </row>
    <row r="33" spans="2:10">
      <c r="B33" s="5" t="s">
        <v>36</v>
      </c>
      <c r="C33" s="1">
        <v>3080</v>
      </c>
      <c r="E33" s="6">
        <v>4</v>
      </c>
      <c r="F33" s="5" t="s">
        <v>62</v>
      </c>
      <c r="G33" s="6">
        <v>2.74</v>
      </c>
      <c r="J33" s="110">
        <f>+Tabla1[[#This Row],[Suma de  Consumo (L/mes)]]*Tabla1[[#This Row],[Precio '[USD/litro']]]</f>
        <v>8439.2000000000007</v>
      </c>
    </row>
    <row r="34" spans="2:10">
      <c r="B34" s="5" t="s">
        <v>51</v>
      </c>
      <c r="C34" s="1">
        <v>2318</v>
      </c>
      <c r="D34" s="1">
        <v>7</v>
      </c>
      <c r="E34" s="6">
        <v>15</v>
      </c>
      <c r="F34" s="5" t="s">
        <v>80</v>
      </c>
      <c r="G34" s="6">
        <v>6.61</v>
      </c>
      <c r="J34" s="110">
        <f>+Tabla1[[#This Row],[Suma de  Consumo (L/mes)]]*Tabla1[[#This Row],[Precio '[USD/litro']]]</f>
        <v>15321.980000000001</v>
      </c>
    </row>
    <row r="35" spans="2:10">
      <c r="B35" s="5" t="s">
        <v>18</v>
      </c>
      <c r="C35" s="1">
        <v>800</v>
      </c>
      <c r="D35" s="1">
        <v>1</v>
      </c>
      <c r="E35" s="6">
        <v>2</v>
      </c>
      <c r="F35" s="5" t="s">
        <v>64</v>
      </c>
      <c r="G35" s="6">
        <v>1.51</v>
      </c>
      <c r="J35" s="110">
        <f>+Tabla1[[#This Row],[Suma de  Consumo (L/mes)]]*Tabla1[[#This Row],[Precio '[USD/litro']]]</f>
        <v>1208</v>
      </c>
    </row>
    <row r="36" spans="2:10">
      <c r="B36" s="5" t="s">
        <v>37</v>
      </c>
      <c r="C36" s="1">
        <v>0</v>
      </c>
      <c r="E36" s="6">
        <v>4</v>
      </c>
      <c r="F36" s="5" t="s">
        <v>65</v>
      </c>
      <c r="G36" s="6">
        <v>4.3899999999999997</v>
      </c>
      <c r="J36" s="110">
        <f>+Tabla1[[#This Row],[Suma de  Consumo (L/mes)]]*Tabla1[[#This Row],[Precio '[USD/litro']]]</f>
        <v>0</v>
      </c>
    </row>
    <row r="37" spans="2:10">
      <c r="B37" s="5" t="s">
        <v>38</v>
      </c>
      <c r="C37" s="1">
        <v>315</v>
      </c>
      <c r="D37" s="1">
        <v>1</v>
      </c>
      <c r="E37" s="6">
        <v>4</v>
      </c>
      <c r="F37" s="5" t="s">
        <v>65</v>
      </c>
      <c r="G37" s="6">
        <v>4.3899999999999997</v>
      </c>
      <c r="J37" s="110">
        <f>+Tabla1[[#This Row],[Suma de  Consumo (L/mes)]]*Tabla1[[#This Row],[Precio '[USD/litro']]]</f>
        <v>1382.85</v>
      </c>
    </row>
    <row r="38" spans="2:10">
      <c r="B38" s="5" t="s">
        <v>39</v>
      </c>
      <c r="C38" s="1">
        <v>912</v>
      </c>
      <c r="D38" s="1">
        <v>8</v>
      </c>
      <c r="E38" s="6">
        <v>15</v>
      </c>
      <c r="F38" s="5" t="s">
        <v>81</v>
      </c>
      <c r="G38" s="6">
        <v>5.07</v>
      </c>
      <c r="J38" s="110">
        <f>+Tabla1[[#This Row],[Suma de  Consumo (L/mes)]]*Tabla1[[#This Row],[Precio '[USD/litro']]]</f>
        <v>4623.84</v>
      </c>
    </row>
    <row r="39" spans="2:10">
      <c r="B39" s="5" t="s">
        <v>29</v>
      </c>
      <c r="C39" s="1">
        <v>2018</v>
      </c>
      <c r="D39" s="1">
        <v>2</v>
      </c>
      <c r="E39" s="6">
        <v>3</v>
      </c>
      <c r="F39" s="5" t="s">
        <v>82</v>
      </c>
      <c r="G39" s="6">
        <v>6.61</v>
      </c>
      <c r="J39" s="110">
        <f>+Tabla1[[#This Row],[Suma de  Consumo (L/mes)]]*Tabla1[[#This Row],[Precio '[USD/litro']]]</f>
        <v>13338.980000000001</v>
      </c>
    </row>
    <row r="40" spans="2:10">
      <c r="B40" s="5" t="s">
        <v>30</v>
      </c>
      <c r="C40" s="1">
        <v>7769</v>
      </c>
      <c r="D40" s="1">
        <v>2</v>
      </c>
      <c r="E40" s="6">
        <v>10</v>
      </c>
      <c r="F40" s="5" t="s">
        <v>68</v>
      </c>
      <c r="G40" s="6">
        <v>3.89</v>
      </c>
      <c r="J40" s="110">
        <f>+Tabla1[[#This Row],[Suma de  Consumo (L/mes)]]*Tabla1[[#This Row],[Precio '[USD/litro']]]</f>
        <v>30221.41</v>
      </c>
    </row>
    <row r="41" spans="2:10">
      <c r="B41" s="5" t="s">
        <v>27</v>
      </c>
      <c r="C41" s="1">
        <v>2584</v>
      </c>
      <c r="E41" s="6">
        <v>7</v>
      </c>
      <c r="F41" s="5" t="s">
        <v>71</v>
      </c>
      <c r="G41" s="6">
        <v>4.0199999999999996</v>
      </c>
      <c r="J41" s="110">
        <f>+Tabla1[[#This Row],[Suma de  Consumo (L/mes)]]*Tabla1[[#This Row],[Precio '[USD/litro']]]</f>
        <v>10387.679999999998</v>
      </c>
    </row>
    <row r="42" spans="2:10">
      <c r="B42" s="5" t="s">
        <v>52</v>
      </c>
      <c r="C42" s="1">
        <v>18208</v>
      </c>
      <c r="D42" s="1">
        <v>70</v>
      </c>
      <c r="E42" s="6">
        <v>35</v>
      </c>
      <c r="F42" s="5" t="s">
        <v>70</v>
      </c>
      <c r="G42" s="6">
        <v>3.7</v>
      </c>
      <c r="J42" s="110">
        <f>+Tabla1[[#This Row],[Suma de  Consumo (L/mes)]]*Tabla1[[#This Row],[Precio '[USD/litro']]]</f>
        <v>67369.600000000006</v>
      </c>
    </row>
    <row r="43" spans="2:10">
      <c r="B43" s="5" t="s">
        <v>54</v>
      </c>
      <c r="C43" s="1">
        <v>0</v>
      </c>
      <c r="E43" s="6">
        <v>4</v>
      </c>
      <c r="F43" s="5" t="s">
        <v>83</v>
      </c>
      <c r="G43" s="6">
        <v>1.41</v>
      </c>
      <c r="J43" s="110">
        <f>+Tabla1[[#This Row],[Suma de  Consumo (L/mes)]]*Tabla1[[#This Row],[Precio '[USD/litro']]]</f>
        <v>0</v>
      </c>
    </row>
    <row r="44" spans="2:10">
      <c r="B44" s="5" t="s">
        <v>21</v>
      </c>
      <c r="C44" s="1">
        <v>5350</v>
      </c>
      <c r="D44" s="1">
        <v>3</v>
      </c>
      <c r="E44" s="6">
        <v>9</v>
      </c>
      <c r="F44" s="5" t="s">
        <v>71</v>
      </c>
      <c r="G44" s="6">
        <v>4.0199999999999996</v>
      </c>
      <c r="J44" s="110">
        <f>+Tabla1[[#This Row],[Suma de  Consumo (L/mes)]]*Tabla1[[#This Row],[Precio '[USD/litro']]]</f>
        <v>21506.999999999996</v>
      </c>
    </row>
    <row r="45" spans="2:10">
      <c r="B45" s="5" t="s">
        <v>31</v>
      </c>
      <c r="C45" s="1">
        <v>800</v>
      </c>
      <c r="E45" s="6">
        <v>1</v>
      </c>
      <c r="F45" s="5" t="s">
        <v>73</v>
      </c>
      <c r="G45" s="6">
        <v>3.77</v>
      </c>
      <c r="J45" s="110">
        <f>+Tabla1[[#This Row],[Suma de  Consumo (L/mes)]]*Tabla1[[#This Row],[Precio '[USD/litro']]]</f>
        <v>3016</v>
      </c>
    </row>
    <row r="46" spans="2:10">
      <c r="B46" s="5" t="s">
        <v>41</v>
      </c>
      <c r="C46" s="1">
        <v>970</v>
      </c>
      <c r="D46" s="1">
        <v>1</v>
      </c>
      <c r="E46" s="6">
        <v>4</v>
      </c>
      <c r="F46" s="5"/>
      <c r="G46" s="6" t="s">
        <v>100</v>
      </c>
    </row>
    <row r="47" spans="2:10">
      <c r="B47" s="5" t="s">
        <v>42</v>
      </c>
      <c r="C47" s="1">
        <v>0</v>
      </c>
      <c r="E47" s="6">
        <v>4</v>
      </c>
      <c r="F47" s="5"/>
      <c r="G47" s="6" t="s">
        <v>100</v>
      </c>
    </row>
    <row r="48" spans="2:10">
      <c r="B48" s="5" t="s">
        <v>43</v>
      </c>
      <c r="C48" s="1">
        <v>4760</v>
      </c>
      <c r="E48" s="6">
        <v>12</v>
      </c>
      <c r="F48" s="5" t="s">
        <v>75</v>
      </c>
      <c r="G48" s="6">
        <v>2.31</v>
      </c>
      <c r="J48" s="110">
        <f>+Tabla1[[#This Row],[Suma de  Consumo (L/mes)]]*Tabla1[[#This Row],[Precio '[USD/litro']]]</f>
        <v>10995.6</v>
      </c>
    </row>
    <row r="49" spans="2:10">
      <c r="B49" s="5" t="s">
        <v>14</v>
      </c>
      <c r="C49" s="1">
        <v>680</v>
      </c>
      <c r="E49" s="6">
        <v>6</v>
      </c>
      <c r="F49" s="5" t="s">
        <v>76</v>
      </c>
      <c r="G49" s="6">
        <v>4.1100000000000003</v>
      </c>
      <c r="J49" s="110">
        <f>+Tabla1[[#This Row],[Suma de  Consumo (L/mes)]]*Tabla1[[#This Row],[Precio '[USD/litro']]]</f>
        <v>2794.8</v>
      </c>
    </row>
    <row r="50" spans="2:10">
      <c r="B50" s="7" t="s">
        <v>7</v>
      </c>
      <c r="C50" s="1">
        <v>105269.83000000002</v>
      </c>
      <c r="D50" s="1">
        <v>195</v>
      </c>
      <c r="E50" s="6">
        <v>154</v>
      </c>
      <c r="F50" s="5"/>
      <c r="G50" s="6"/>
      <c r="J50" s="111">
        <f>SUM(J51:J80)</f>
        <v>504590.9309636</v>
      </c>
    </row>
    <row r="51" spans="2:10">
      <c r="B51" s="5" t="s">
        <v>15</v>
      </c>
      <c r="C51" s="1">
        <v>3923.2599999999998</v>
      </c>
      <c r="E51" s="6">
        <v>11</v>
      </c>
      <c r="F51" s="5" t="s">
        <v>77</v>
      </c>
      <c r="G51" s="6">
        <v>4.09</v>
      </c>
      <c r="J51" s="110">
        <f>+Tabla1[[#This Row],[Suma de  Consumo (L/mes)]]*Tabla1[[#This Row],[Precio '[USD/litro']]]</f>
        <v>16046.133399999999</v>
      </c>
    </row>
    <row r="52" spans="2:10">
      <c r="B52" s="5" t="s">
        <v>55</v>
      </c>
      <c r="C52" s="1">
        <v>15165.1</v>
      </c>
      <c r="D52" s="1">
        <v>129</v>
      </c>
      <c r="E52" s="6">
        <v>4</v>
      </c>
      <c r="F52" s="5" t="s">
        <v>84</v>
      </c>
      <c r="G52" s="6">
        <v>6.08</v>
      </c>
      <c r="J52" s="110">
        <f>+Tabla1[[#This Row],[Suma de  Consumo (L/mes)]]*Tabla1[[#This Row],[Precio '[USD/litro']]]</f>
        <v>92203.808000000005</v>
      </c>
    </row>
    <row r="53" spans="2:10">
      <c r="B53" s="5" t="s">
        <v>50</v>
      </c>
      <c r="C53" s="1">
        <v>1845.5</v>
      </c>
      <c r="E53" s="6">
        <v>3</v>
      </c>
      <c r="F53" s="5" t="s">
        <v>85</v>
      </c>
      <c r="G53" s="6">
        <v>9.73</v>
      </c>
      <c r="J53" s="110">
        <f>+Tabla1[[#This Row],[Suma de  Consumo (L/mes)]]*Tabla1[[#This Row],[Precio '[USD/litro']]]</f>
        <v>17956.715</v>
      </c>
    </row>
    <row r="54" spans="2:10">
      <c r="B54" s="5" t="s">
        <v>53</v>
      </c>
      <c r="C54" s="1">
        <f>26778.01*0.413</f>
        <v>11059.31813</v>
      </c>
      <c r="D54" s="1">
        <v>2</v>
      </c>
      <c r="E54" s="6">
        <v>37</v>
      </c>
      <c r="F54" s="5" t="s">
        <v>86</v>
      </c>
      <c r="G54" s="6">
        <v>7.22</v>
      </c>
      <c r="J54" s="110">
        <f>+Tabla1[[#This Row],[Suma de  Consumo (L/mes)]]*Tabla1[[#This Row],[Precio '[USD/litro']]]</f>
        <v>79848.276898600001</v>
      </c>
    </row>
    <row r="55" spans="2:10">
      <c r="B55" s="5" t="s">
        <v>53</v>
      </c>
      <c r="C55" s="1">
        <f>26778.01*0.104</f>
        <v>2784.9130399999999</v>
      </c>
      <c r="E55" s="6"/>
      <c r="F55" s="5" t="s">
        <v>87</v>
      </c>
      <c r="G55" s="6">
        <v>5</v>
      </c>
      <c r="J55" s="110">
        <f>+Tabla1[[#This Row],[Suma de  Consumo (L/mes)]]*Tabla1[[#This Row],[Precio '[USD/litro']]]</f>
        <v>13924.565199999999</v>
      </c>
    </row>
    <row r="56" spans="2:10">
      <c r="B56" s="5" t="s">
        <v>53</v>
      </c>
      <c r="C56" s="1">
        <f>26778.01*0.482</f>
        <v>12907.000819999999</v>
      </c>
      <c r="E56" s="6"/>
      <c r="F56" s="5" t="s">
        <v>61</v>
      </c>
      <c r="G56" s="6">
        <v>3.25</v>
      </c>
      <c r="J56" s="110">
        <f>+Tabla1[[#This Row],[Suma de  Consumo (L/mes)]]*Tabla1[[#This Row],[Precio '[USD/litro']]]</f>
        <v>41947.752665</v>
      </c>
    </row>
    <row r="57" spans="2:10">
      <c r="B57" s="5" t="s">
        <v>18</v>
      </c>
      <c r="C57" s="1">
        <v>1200</v>
      </c>
      <c r="D57" s="1">
        <v>5</v>
      </c>
      <c r="E57" s="6"/>
      <c r="F57" s="5" t="s">
        <v>88</v>
      </c>
      <c r="G57" s="6">
        <v>1.51</v>
      </c>
      <c r="J57" s="110">
        <f>+Tabla1[[#This Row],[Suma de  Consumo (L/mes)]]*Tabla1[[#This Row],[Precio '[USD/litro']]]</f>
        <v>1812</v>
      </c>
    </row>
    <row r="58" spans="2:10">
      <c r="B58" s="5" t="s">
        <v>8</v>
      </c>
      <c r="C58" s="1">
        <v>11768.080000000002</v>
      </c>
      <c r="D58" s="1">
        <v>19</v>
      </c>
      <c r="E58" s="6">
        <v>20</v>
      </c>
      <c r="F58" s="5" t="s">
        <v>89</v>
      </c>
      <c r="G58" s="6">
        <v>4.7</v>
      </c>
      <c r="J58" s="110">
        <f>+Tabla1[[#This Row],[Suma de  Consumo (L/mes)]]*Tabla1[[#This Row],[Precio '[USD/litro']]]</f>
        <v>55309.97600000001</v>
      </c>
    </row>
    <row r="59" spans="2:10">
      <c r="B59" s="5" t="s">
        <v>1</v>
      </c>
      <c r="C59" s="1">
        <v>647</v>
      </c>
      <c r="E59" s="6">
        <v>2</v>
      </c>
      <c r="F59" s="5" t="s">
        <v>89</v>
      </c>
      <c r="G59" s="6">
        <v>4.7</v>
      </c>
      <c r="J59" s="110">
        <f>+Tabla1[[#This Row],[Suma de  Consumo (L/mes)]]*Tabla1[[#This Row],[Precio '[USD/litro']]]</f>
        <v>3040.9</v>
      </c>
    </row>
    <row r="60" spans="2:10">
      <c r="B60" s="5" t="s">
        <v>9</v>
      </c>
      <c r="C60" s="1">
        <v>0</v>
      </c>
      <c r="E60" s="6"/>
      <c r="F60" s="5" t="s">
        <v>89</v>
      </c>
      <c r="G60" s="6">
        <v>4.7</v>
      </c>
      <c r="J60" s="110">
        <f>+Tabla1[[#This Row],[Suma de  Consumo (L/mes)]]*Tabla1[[#This Row],[Precio '[USD/litro']]]</f>
        <v>0</v>
      </c>
    </row>
    <row r="61" spans="2:10">
      <c r="B61" s="5" t="s">
        <v>19</v>
      </c>
      <c r="C61" s="1">
        <v>15.159999999999997</v>
      </c>
      <c r="E61" s="6">
        <v>1</v>
      </c>
      <c r="F61" s="5" t="s">
        <v>89</v>
      </c>
      <c r="G61" s="6">
        <v>4.7</v>
      </c>
      <c r="J61" s="110">
        <f>+Tabla1[[#This Row],[Suma de  Consumo (L/mes)]]*Tabla1[[#This Row],[Precio '[USD/litro']]]</f>
        <v>71.251999999999981</v>
      </c>
    </row>
    <row r="62" spans="2:10">
      <c r="B62" s="5" t="s">
        <v>20</v>
      </c>
      <c r="C62" s="1">
        <v>0</v>
      </c>
      <c r="E62" s="6"/>
      <c r="F62" s="5"/>
      <c r="G62" s="6" t="s">
        <v>100</v>
      </c>
    </row>
    <row r="63" spans="2:10">
      <c r="B63" s="5" t="s">
        <v>56</v>
      </c>
      <c r="C63" s="1">
        <v>3533.7999999999997</v>
      </c>
      <c r="E63" s="6">
        <v>4</v>
      </c>
      <c r="F63" s="5" t="s">
        <v>90</v>
      </c>
      <c r="G63" s="6">
        <v>8.15</v>
      </c>
      <c r="J63" s="110">
        <f>+Tabla1[[#This Row],[Suma de  Consumo (L/mes)]]*Tabla1[[#This Row],[Precio '[USD/litro']]]</f>
        <v>28800.469999999998</v>
      </c>
    </row>
    <row r="64" spans="2:10">
      <c r="B64" s="5"/>
      <c r="E64" s="6"/>
      <c r="F64" s="5" t="s">
        <v>62</v>
      </c>
      <c r="G64" s="6">
        <v>2.74</v>
      </c>
      <c r="J64" s="110">
        <f>+Tabla1[[#This Row],[Suma de  Consumo (L/mes)]]*Tabla1[[#This Row],[Precio '[USD/litro']]]</f>
        <v>0</v>
      </c>
    </row>
    <row r="65" spans="2:10">
      <c r="B65" s="5" t="s">
        <v>16</v>
      </c>
      <c r="C65" s="1">
        <v>4082.5600000000004</v>
      </c>
      <c r="E65" s="6">
        <v>8</v>
      </c>
      <c r="F65" s="5" t="s">
        <v>91</v>
      </c>
      <c r="G65" s="6">
        <v>3.89</v>
      </c>
      <c r="J65" s="110">
        <f>+Tabla1[[#This Row],[Suma de  Consumo (L/mes)]]*Tabla1[[#This Row],[Precio '[USD/litro']]]</f>
        <v>15881.158400000002</v>
      </c>
    </row>
    <row r="66" spans="2:10">
      <c r="B66" s="5" t="s">
        <v>3</v>
      </c>
      <c r="C66" s="1">
        <v>1831</v>
      </c>
      <c r="E66" s="6">
        <v>5</v>
      </c>
      <c r="F66" s="5" t="s">
        <v>92</v>
      </c>
      <c r="G66" s="6">
        <v>4.5999999999999996</v>
      </c>
      <c r="J66" s="110">
        <f>+Tabla1[[#This Row],[Suma de  Consumo (L/mes)]]*Tabla1[[#This Row],[Precio '[USD/litro']]]</f>
        <v>8422.5999999999985</v>
      </c>
    </row>
    <row r="67" spans="2:10">
      <c r="B67" s="5" t="s">
        <v>52</v>
      </c>
      <c r="C67" s="1">
        <v>8567.26</v>
      </c>
      <c r="D67" s="1">
        <v>37</v>
      </c>
      <c r="E67" s="6">
        <v>11</v>
      </c>
      <c r="F67" s="5" t="s">
        <v>93</v>
      </c>
      <c r="G67" s="6">
        <v>3.21</v>
      </c>
      <c r="J67" s="110">
        <f>+Tabla1[[#This Row],[Suma de  Consumo (L/mes)]]*Tabla1[[#This Row],[Precio '[USD/litro']]]</f>
        <v>27500.904600000002</v>
      </c>
    </row>
    <row r="68" spans="2:10">
      <c r="B68" s="5" t="s">
        <v>54</v>
      </c>
      <c r="C68" s="1">
        <v>0</v>
      </c>
      <c r="E68" s="6"/>
      <c r="F68" s="5" t="s">
        <v>83</v>
      </c>
      <c r="G68" s="6">
        <v>1.41</v>
      </c>
      <c r="J68" s="110">
        <f>+Tabla1[[#This Row],[Suma de  Consumo (L/mes)]]*Tabla1[[#This Row],[Precio '[USD/litro']]]</f>
        <v>0</v>
      </c>
    </row>
    <row r="69" spans="2:10">
      <c r="B69" s="5" t="s">
        <v>21</v>
      </c>
      <c r="C69" s="1">
        <v>11284.460000000001</v>
      </c>
      <c r="E69" s="6">
        <v>23</v>
      </c>
      <c r="F69" s="5" t="s">
        <v>69</v>
      </c>
      <c r="G69" s="6">
        <v>3.48</v>
      </c>
      <c r="J69" s="110">
        <f>+Tabla1[[#This Row],[Suma de  Consumo (L/mes)]]*Tabla1[[#This Row],[Precio '[USD/litro']]]</f>
        <v>39269.9208</v>
      </c>
    </row>
    <row r="70" spans="2:10">
      <c r="B70" s="5" t="s">
        <v>10</v>
      </c>
      <c r="C70" s="1">
        <v>0</v>
      </c>
      <c r="E70" s="6"/>
      <c r="F70" s="5" t="s">
        <v>94</v>
      </c>
      <c r="G70" s="6">
        <v>7.2</v>
      </c>
      <c r="J70" s="110">
        <f>+Tabla1[[#This Row],[Suma de  Consumo (L/mes)]]*Tabla1[[#This Row],[Precio '[USD/litro']]]</f>
        <v>0</v>
      </c>
    </row>
    <row r="71" spans="2:10">
      <c r="B71" s="5" t="s">
        <v>11</v>
      </c>
      <c r="C71" s="1">
        <v>1824.08</v>
      </c>
      <c r="E71" s="6">
        <v>4</v>
      </c>
      <c r="F71" s="5" t="s">
        <v>94</v>
      </c>
      <c r="G71" s="6">
        <v>7.2</v>
      </c>
      <c r="J71" s="110">
        <f>+Tabla1[[#This Row],[Suma de  Consumo (L/mes)]]*Tabla1[[#This Row],[Precio '[USD/litro']]]</f>
        <v>13133.376</v>
      </c>
    </row>
    <row r="72" spans="2:10">
      <c r="B72" s="5" t="s">
        <v>57</v>
      </c>
      <c r="C72" s="1">
        <v>0</v>
      </c>
      <c r="E72" s="6"/>
      <c r="F72" s="5"/>
      <c r="G72" s="6" t="s">
        <v>100</v>
      </c>
    </row>
    <row r="73" spans="2:10">
      <c r="B73" s="5" t="s">
        <v>12</v>
      </c>
      <c r="C73" s="1">
        <v>3379.06</v>
      </c>
      <c r="E73" s="6">
        <v>10</v>
      </c>
      <c r="F73" s="5" t="s">
        <v>61</v>
      </c>
      <c r="G73" s="6">
        <v>3.25</v>
      </c>
      <c r="J73" s="110">
        <f>+Tabla1[[#This Row],[Suma de  Consumo (L/mes)]]*Tabla1[[#This Row],[Precio '[USD/litro']]]</f>
        <v>10981.945</v>
      </c>
    </row>
    <row r="74" spans="2:10">
      <c r="B74" s="5" t="s">
        <v>13</v>
      </c>
      <c r="C74" s="1">
        <v>514</v>
      </c>
      <c r="E74" s="6">
        <v>1</v>
      </c>
      <c r="F74" s="5" t="s">
        <v>82</v>
      </c>
      <c r="G74" s="6">
        <v>6.61</v>
      </c>
      <c r="J74" s="110">
        <f>+Tabla1[[#This Row],[Suma de  Consumo (L/mes)]]*Tabla1[[#This Row],[Precio '[USD/litro']]]</f>
        <v>3397.54</v>
      </c>
    </row>
    <row r="75" spans="2:10">
      <c r="B75" s="5" t="s">
        <v>2</v>
      </c>
      <c r="C75" s="1">
        <v>0</v>
      </c>
      <c r="E75" s="6"/>
      <c r="F75" s="5" t="s">
        <v>69</v>
      </c>
      <c r="G75" s="6">
        <v>3.48</v>
      </c>
      <c r="J75" s="110">
        <f>+Tabla1[[#This Row],[Suma de  Consumo (L/mes)]]*Tabla1[[#This Row],[Precio '[USD/litro']]]</f>
        <v>0</v>
      </c>
    </row>
    <row r="76" spans="2:10">
      <c r="B76" s="5" t="s">
        <v>17</v>
      </c>
      <c r="C76" s="1">
        <v>3030.7999999999997</v>
      </c>
      <c r="D76" s="1">
        <v>1</v>
      </c>
      <c r="E76" s="6">
        <v>2</v>
      </c>
      <c r="F76" s="5" t="s">
        <v>95</v>
      </c>
      <c r="G76" s="6">
        <v>6.82</v>
      </c>
      <c r="J76" s="110">
        <f>+Tabla1[[#This Row],[Suma de  Consumo (L/mes)]]*Tabla1[[#This Row],[Precio '[USD/litro']]]</f>
        <v>20670.056</v>
      </c>
    </row>
    <row r="77" spans="2:10">
      <c r="B77" s="5" t="s">
        <v>4</v>
      </c>
      <c r="C77" s="1">
        <v>589</v>
      </c>
      <c r="E77" s="6">
        <v>3</v>
      </c>
      <c r="F77" s="5" t="s">
        <v>96</v>
      </c>
      <c r="G77" s="6">
        <v>2.4500000000000002</v>
      </c>
      <c r="J77" s="110">
        <f>+Tabla1[[#This Row],[Suma de  Consumo (L/mes)]]*Tabla1[[#This Row],[Precio '[USD/litro']]]</f>
        <v>1443.0500000000002</v>
      </c>
    </row>
    <row r="78" spans="2:10">
      <c r="B78" s="5" t="s">
        <v>5</v>
      </c>
      <c r="C78" s="1">
        <v>89</v>
      </c>
      <c r="E78" s="6">
        <v>1</v>
      </c>
      <c r="F78" s="5" t="s">
        <v>75</v>
      </c>
      <c r="G78" s="6">
        <v>2.31</v>
      </c>
      <c r="J78" s="110">
        <f>+Tabla1[[#This Row],[Suma de  Consumo (L/mes)]]*Tabla1[[#This Row],[Precio '[USD/litro']]]</f>
        <v>205.59</v>
      </c>
    </row>
    <row r="79" spans="2:10">
      <c r="B79" s="5" t="s">
        <v>22</v>
      </c>
      <c r="C79" s="1">
        <v>169.1</v>
      </c>
      <c r="E79" s="6">
        <v>1</v>
      </c>
      <c r="F79" s="5" t="s">
        <v>75</v>
      </c>
      <c r="G79" s="6">
        <v>2.31</v>
      </c>
      <c r="J79" s="110">
        <f>+Tabla1[[#This Row],[Suma de  Consumo (L/mes)]]*Tabla1[[#This Row],[Precio '[USD/litro']]]</f>
        <v>390.62099999999998</v>
      </c>
    </row>
    <row r="80" spans="2:10">
      <c r="B80" s="5" t="s">
        <v>14</v>
      </c>
      <c r="C80" s="1">
        <v>5033.6000000000004</v>
      </c>
      <c r="D80" s="1">
        <v>2</v>
      </c>
      <c r="E80" s="6">
        <v>3</v>
      </c>
      <c r="F80" s="5" t="s">
        <v>96</v>
      </c>
      <c r="G80" s="6">
        <v>2.4500000000000002</v>
      </c>
      <c r="J80" s="110">
        <f>+Tabla1[[#This Row],[Suma de  Consumo (L/mes)]]*Tabla1[[#This Row],[Precio '[USD/litro']]]</f>
        <v>12332.320000000002</v>
      </c>
    </row>
    <row r="81" spans="2:10">
      <c r="B81" s="7" t="s">
        <v>44</v>
      </c>
      <c r="C81" s="1">
        <v>10188</v>
      </c>
      <c r="D81" s="1">
        <v>52</v>
      </c>
      <c r="E81" s="6">
        <v>41</v>
      </c>
      <c r="F81" s="5"/>
      <c r="G81" s="6"/>
      <c r="J81" s="111">
        <f>SUM(J82:J90)</f>
        <v>54929.569999999992</v>
      </c>
    </row>
    <row r="82" spans="2:10">
      <c r="B82" s="5" t="s">
        <v>34</v>
      </c>
      <c r="C82" s="1">
        <v>2185</v>
      </c>
      <c r="D82" s="1">
        <v>21</v>
      </c>
      <c r="E82" s="6">
        <v>8</v>
      </c>
      <c r="F82" s="5" t="s">
        <v>97</v>
      </c>
      <c r="G82" s="6">
        <v>2.84</v>
      </c>
      <c r="J82" s="110">
        <f>+Tabla1[[#This Row],[Suma de  Consumo (L/mes)]]*Tabla1[[#This Row],[Precio '[USD/litro']]]</f>
        <v>6205.4</v>
      </c>
    </row>
    <row r="83" spans="2:10">
      <c r="B83" s="5" t="s">
        <v>50</v>
      </c>
      <c r="C83" s="1">
        <v>0</v>
      </c>
      <c r="E83" s="6">
        <v>2</v>
      </c>
      <c r="F83" s="5"/>
      <c r="G83" s="6" t="s">
        <v>100</v>
      </c>
    </row>
    <row r="84" spans="2:10">
      <c r="B84" s="5" t="s">
        <v>36</v>
      </c>
      <c r="C84" s="1">
        <v>120</v>
      </c>
      <c r="E84" s="6">
        <v>4</v>
      </c>
      <c r="F84" s="5" t="s">
        <v>62</v>
      </c>
      <c r="G84" s="6">
        <v>2.74</v>
      </c>
      <c r="J84" s="110">
        <f>+Tabla1[[#This Row],[Suma de  Consumo (L/mes)]]*Tabla1[[#This Row],[Precio '[USD/litro']]]</f>
        <v>328.8</v>
      </c>
    </row>
    <row r="85" spans="2:10">
      <c r="B85" s="5" t="s">
        <v>51</v>
      </c>
      <c r="C85" s="1">
        <v>4977</v>
      </c>
      <c r="D85" s="1">
        <v>9</v>
      </c>
      <c r="E85" s="6">
        <v>8</v>
      </c>
      <c r="F85" s="5" t="s">
        <v>63</v>
      </c>
      <c r="G85" s="6">
        <v>6.82</v>
      </c>
      <c r="J85" s="110">
        <f>+Tabla1[[#This Row],[Suma de  Consumo (L/mes)]]*Tabla1[[#This Row],[Precio '[USD/litro']]]</f>
        <v>33943.14</v>
      </c>
    </row>
    <row r="86" spans="2:10">
      <c r="B86" s="5" t="s">
        <v>39</v>
      </c>
      <c r="C86" s="1">
        <v>1176</v>
      </c>
      <c r="D86" s="1">
        <v>7</v>
      </c>
      <c r="E86" s="6">
        <v>4</v>
      </c>
      <c r="F86" s="5" t="s">
        <v>94</v>
      </c>
      <c r="G86" s="6">
        <v>7.2</v>
      </c>
      <c r="J86" s="110">
        <f>+Tabla1[[#This Row],[Suma de  Consumo (L/mes)]]*Tabla1[[#This Row],[Precio '[USD/litro']]]</f>
        <v>8467.2000000000007</v>
      </c>
    </row>
    <row r="87" spans="2:10">
      <c r="B87" s="5" t="s">
        <v>52</v>
      </c>
      <c r="C87" s="1">
        <v>1197</v>
      </c>
      <c r="D87" s="1">
        <v>13</v>
      </c>
      <c r="E87" s="6">
        <v>6</v>
      </c>
      <c r="F87" s="5" t="s">
        <v>93</v>
      </c>
      <c r="G87" s="6">
        <v>3.21</v>
      </c>
      <c r="J87" s="110">
        <f>+Tabla1[[#This Row],[Suma de  Consumo (L/mes)]]*Tabla1[[#This Row],[Precio '[USD/litro']]]</f>
        <v>3842.37</v>
      </c>
    </row>
    <row r="88" spans="2:10">
      <c r="B88" s="5" t="s">
        <v>21</v>
      </c>
      <c r="C88" s="1">
        <v>533</v>
      </c>
      <c r="D88" s="1">
        <v>1</v>
      </c>
      <c r="E88" s="6">
        <v>7</v>
      </c>
      <c r="F88" s="5" t="s">
        <v>71</v>
      </c>
      <c r="G88" s="6">
        <v>4.0199999999999996</v>
      </c>
      <c r="J88" s="110">
        <f>+Tabla1[[#This Row],[Suma de  Consumo (L/mes)]]*Tabla1[[#This Row],[Precio '[USD/litro']]]</f>
        <v>2142.66</v>
      </c>
    </row>
    <row r="89" spans="2:10">
      <c r="B89" s="5" t="s">
        <v>12</v>
      </c>
      <c r="C89" s="1">
        <v>0</v>
      </c>
      <c r="E89" s="6">
        <v>2</v>
      </c>
      <c r="F89" s="5"/>
      <c r="G89" s="6" t="s">
        <v>100</v>
      </c>
    </row>
    <row r="90" spans="2:10">
      <c r="B90" s="5" t="s">
        <v>43</v>
      </c>
      <c r="C90" s="1">
        <v>0</v>
      </c>
      <c r="D90" s="1">
        <v>1</v>
      </c>
      <c r="E90" s="6"/>
      <c r="F90" s="5" t="s">
        <v>75</v>
      </c>
      <c r="G90" s="6">
        <v>2.31</v>
      </c>
      <c r="J90" s="110">
        <f>+Tabla1[[#This Row],[Suma de  Consumo (L/mes)]]*Tabla1[[#This Row],[Precio '[USD/litro']]]</f>
        <v>0</v>
      </c>
    </row>
    <row r="91" spans="2:10">
      <c r="B91" s="7" t="s">
        <v>33</v>
      </c>
      <c r="C91" s="1">
        <v>78935</v>
      </c>
      <c r="D91" s="1">
        <v>210</v>
      </c>
      <c r="E91" s="6">
        <v>165</v>
      </c>
      <c r="F91" s="5"/>
      <c r="G91" s="6"/>
      <c r="J91" s="111">
        <f>SUM(J92:J111)</f>
        <v>291054.12</v>
      </c>
    </row>
    <row r="92" spans="2:10">
      <c r="B92" s="5" t="s">
        <v>34</v>
      </c>
      <c r="C92" s="1">
        <v>15187</v>
      </c>
      <c r="D92" s="1">
        <v>10</v>
      </c>
      <c r="E92" s="6">
        <v>28</v>
      </c>
      <c r="F92" s="5" t="s">
        <v>97</v>
      </c>
      <c r="G92" s="6">
        <v>2.84</v>
      </c>
      <c r="J92" s="110">
        <f>+Tabla1[[#This Row],[Suma de  Consumo (L/mes)]]*Tabla1[[#This Row],[Precio '[USD/litro']]]</f>
        <v>43131.079999999994</v>
      </c>
    </row>
    <row r="93" spans="2:10">
      <c r="B93" s="5" t="s">
        <v>35</v>
      </c>
      <c r="C93" s="1">
        <v>60</v>
      </c>
      <c r="E93" s="6">
        <v>2</v>
      </c>
      <c r="F93" s="5" t="s">
        <v>98</v>
      </c>
      <c r="G93" s="6">
        <v>6.62</v>
      </c>
      <c r="J93" s="110">
        <f>+Tabla1[[#This Row],[Suma de  Consumo (L/mes)]]*Tabla1[[#This Row],[Precio '[USD/litro']]]</f>
        <v>397.2</v>
      </c>
    </row>
    <row r="94" spans="2:10">
      <c r="B94" s="5" t="s">
        <v>36</v>
      </c>
      <c r="C94" s="1">
        <v>1880</v>
      </c>
      <c r="E94" s="6">
        <v>2</v>
      </c>
      <c r="F94" s="5" t="s">
        <v>62</v>
      </c>
      <c r="G94" s="6">
        <v>2.74</v>
      </c>
      <c r="J94" s="110">
        <f>+Tabla1[[#This Row],[Suma de  Consumo (L/mes)]]*Tabla1[[#This Row],[Precio '[USD/litro']]]</f>
        <v>5151.2000000000007</v>
      </c>
    </row>
    <row r="95" spans="2:10">
      <c r="B95" s="5" t="s">
        <v>51</v>
      </c>
      <c r="C95" s="1">
        <v>10472</v>
      </c>
      <c r="D95" s="1">
        <v>5</v>
      </c>
      <c r="E95" s="6">
        <v>26</v>
      </c>
      <c r="F95" s="5" t="s">
        <v>98</v>
      </c>
      <c r="G95" s="6">
        <v>6.62</v>
      </c>
      <c r="J95" s="110">
        <f>+Tabla1[[#This Row],[Suma de  Consumo (L/mes)]]*Tabla1[[#This Row],[Precio '[USD/litro']]]</f>
        <v>69324.639999999999</v>
      </c>
    </row>
    <row r="96" spans="2:10">
      <c r="B96" s="5" t="s">
        <v>18</v>
      </c>
      <c r="C96" s="1">
        <v>330</v>
      </c>
      <c r="E96" s="6">
        <v>2</v>
      </c>
      <c r="F96" s="5" t="s">
        <v>64</v>
      </c>
      <c r="G96" s="6">
        <v>1.51</v>
      </c>
      <c r="J96" s="110">
        <f>+Tabla1[[#This Row],[Suma de  Consumo (L/mes)]]*Tabla1[[#This Row],[Precio '[USD/litro']]]</f>
        <v>498.3</v>
      </c>
    </row>
    <row r="97" spans="2:10">
      <c r="B97" s="5" t="s">
        <v>39</v>
      </c>
      <c r="C97" s="1">
        <v>656</v>
      </c>
      <c r="D97" s="1">
        <v>3</v>
      </c>
      <c r="E97" s="6">
        <v>2</v>
      </c>
      <c r="F97" s="5" t="s">
        <v>82</v>
      </c>
      <c r="G97" s="6">
        <v>6.61</v>
      </c>
      <c r="J97" s="110">
        <f>+Tabla1[[#This Row],[Suma de  Consumo (L/mes)]]*Tabla1[[#This Row],[Precio '[USD/litro']]]</f>
        <v>4336.16</v>
      </c>
    </row>
    <row r="98" spans="2:10">
      <c r="B98" s="5" t="s">
        <v>27</v>
      </c>
      <c r="C98" s="1">
        <v>1282</v>
      </c>
      <c r="E98" s="6">
        <v>2</v>
      </c>
      <c r="F98" s="5" t="s">
        <v>92</v>
      </c>
      <c r="G98" s="6">
        <v>4.5999999999999996</v>
      </c>
      <c r="J98" s="110">
        <f>+Tabla1[[#This Row],[Suma de  Consumo (L/mes)]]*Tabla1[[#This Row],[Precio '[USD/litro']]]</f>
        <v>5897.2</v>
      </c>
    </row>
    <row r="99" spans="2:10">
      <c r="B99" s="5" t="s">
        <v>52</v>
      </c>
      <c r="C99" s="1">
        <v>33172</v>
      </c>
      <c r="D99" s="1">
        <v>190</v>
      </c>
      <c r="E99" s="6">
        <v>43</v>
      </c>
      <c r="F99" s="5" t="s">
        <v>93</v>
      </c>
      <c r="G99" s="6">
        <v>3.21</v>
      </c>
      <c r="J99" s="110">
        <f>+Tabla1[[#This Row],[Suma de  Consumo (L/mes)]]*Tabla1[[#This Row],[Precio '[USD/litro']]]</f>
        <v>106482.12</v>
      </c>
    </row>
    <row r="100" spans="2:10">
      <c r="B100" s="5" t="s">
        <v>54</v>
      </c>
      <c r="C100" s="1">
        <v>0</v>
      </c>
      <c r="E100" s="6">
        <v>6</v>
      </c>
      <c r="F100" s="5"/>
      <c r="G100" s="6" t="s">
        <v>100</v>
      </c>
    </row>
    <row r="101" spans="2:10">
      <c r="B101" s="5" t="s">
        <v>21</v>
      </c>
      <c r="C101" s="1">
        <v>11476</v>
      </c>
      <c r="D101" s="1">
        <v>2</v>
      </c>
      <c r="E101" s="6">
        <v>34</v>
      </c>
      <c r="F101" s="5" t="s">
        <v>71</v>
      </c>
      <c r="G101" s="6">
        <v>4.0199999999999996</v>
      </c>
      <c r="J101" s="110">
        <f>+Tabla1[[#This Row],[Suma de  Consumo (L/mes)]]*Tabla1[[#This Row],[Precio '[USD/litro']]]</f>
        <v>46133.52</v>
      </c>
    </row>
    <row r="102" spans="2:10">
      <c r="B102" s="5" t="s">
        <v>41</v>
      </c>
      <c r="C102" s="1">
        <v>250</v>
      </c>
      <c r="E102" s="6">
        <v>2</v>
      </c>
      <c r="F102" s="5"/>
      <c r="G102" s="6" t="s">
        <v>100</v>
      </c>
    </row>
    <row r="103" spans="2:10">
      <c r="B103" s="5" t="s">
        <v>42</v>
      </c>
      <c r="C103" s="1">
        <v>0</v>
      </c>
      <c r="E103" s="6">
        <v>2</v>
      </c>
      <c r="F103" s="5"/>
      <c r="G103" s="6" t="s">
        <v>100</v>
      </c>
    </row>
    <row r="104" spans="2:10">
      <c r="B104" s="5" t="s">
        <v>43</v>
      </c>
      <c r="C104" s="1">
        <v>3670</v>
      </c>
      <c r="E104" s="6">
        <v>12</v>
      </c>
      <c r="F104" s="5" t="s">
        <v>75</v>
      </c>
      <c r="G104" s="6">
        <v>2.31</v>
      </c>
      <c r="J104" s="110">
        <f>+Tabla1[[#This Row],[Suma de  Consumo (L/mes)]]*Tabla1[[#This Row],[Precio '[USD/litro']]]</f>
        <v>8477.7000000000007</v>
      </c>
    </row>
    <row r="105" spans="2:10">
      <c r="B105" s="5" t="s">
        <v>14</v>
      </c>
      <c r="C105" s="1">
        <v>500</v>
      </c>
      <c r="E105" s="6">
        <v>2</v>
      </c>
      <c r="F105" s="5" t="s">
        <v>96</v>
      </c>
      <c r="G105" s="6">
        <v>2.4500000000000002</v>
      </c>
      <c r="J105" s="110">
        <f>+Tabla1[[#This Row],[Suma de  Consumo (L/mes)]]*Tabla1[[#This Row],[Precio '[USD/litro']]]</f>
        <v>1225</v>
      </c>
    </row>
    <row r="106" spans="2:10">
      <c r="B106" s="5" t="s">
        <v>6</v>
      </c>
      <c r="C106" s="1">
        <v>366878.82999999996</v>
      </c>
      <c r="D106" s="1">
        <v>1145</v>
      </c>
      <c r="E106" s="6">
        <v>695</v>
      </c>
      <c r="F106" s="5"/>
      <c r="G106" s="6" t="s">
        <v>100</v>
      </c>
    </row>
    <row r="107" spans="2:10">
      <c r="B107" s="5" t="s">
        <v>21</v>
      </c>
      <c r="C107" s="1">
        <v>2</v>
      </c>
      <c r="D107" s="1">
        <v>34</v>
      </c>
      <c r="E107" s="6"/>
      <c r="F107" s="5"/>
      <c r="G107" s="6" t="s">
        <v>100</v>
      </c>
    </row>
    <row r="108" spans="2:10">
      <c r="B108" s="5" t="s">
        <v>41</v>
      </c>
      <c r="D108" s="1">
        <v>2</v>
      </c>
      <c r="E108" s="6"/>
      <c r="F108" s="5"/>
      <c r="G108" s="6" t="s">
        <v>100</v>
      </c>
    </row>
    <row r="109" spans="2:10">
      <c r="B109" s="5" t="s">
        <v>42</v>
      </c>
      <c r="D109" s="1">
        <v>2</v>
      </c>
      <c r="E109" s="6"/>
      <c r="F109" s="5"/>
      <c r="G109" s="6" t="s">
        <v>100</v>
      </c>
    </row>
    <row r="110" spans="2:10">
      <c r="B110" s="5" t="s">
        <v>43</v>
      </c>
      <c r="D110" s="1">
        <v>12</v>
      </c>
      <c r="E110" s="6"/>
      <c r="F110" s="5" t="s">
        <v>75</v>
      </c>
      <c r="G110" s="6">
        <v>2.31</v>
      </c>
      <c r="J110" s="110">
        <f>+Tabla1[[#This Row],[Suma de  Consumo (L/mes)]]*Tabla1[[#This Row],[Precio '[USD/litro']]]</f>
        <v>0</v>
      </c>
    </row>
    <row r="111" spans="2:10">
      <c r="B111" s="5" t="s">
        <v>14</v>
      </c>
      <c r="D111" s="1">
        <v>2</v>
      </c>
      <c r="E111" s="6"/>
      <c r="F111" s="5" t="s">
        <v>99</v>
      </c>
      <c r="G111" s="6">
        <v>4.1100000000000003</v>
      </c>
      <c r="J111" s="110">
        <f>+Tabla1[[#This Row],[Suma de  Consumo (L/mes)]]*Tabla1[[#This Row],[Precio '[USD/litro']]]</f>
        <v>0</v>
      </c>
    </row>
    <row r="112" spans="2:10" ht="13.5" thickBot="1">
      <c r="B112" s="8" t="s">
        <v>6</v>
      </c>
      <c r="C112" s="9">
        <v>1344</v>
      </c>
      <c r="D112" s="9">
        <v>878</v>
      </c>
      <c r="E112" s="10"/>
      <c r="F112" s="8"/>
      <c r="G112" s="10"/>
    </row>
    <row r="114" spans="10:10">
      <c r="J114" s="110">
        <f>+J91+J81+J50+J28+J4</f>
        <v>1498255.3009635999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46E5-6221-40ED-87BD-60E727053314}">
  <dimension ref="B2:G20"/>
  <sheetViews>
    <sheetView workbookViewId="0">
      <selection activeCell="J4" sqref="J4"/>
    </sheetView>
  </sheetViews>
  <sheetFormatPr baseColWidth="10" defaultRowHeight="12.75"/>
  <cols>
    <col min="1" max="1" width="5" style="38" customWidth="1"/>
    <col min="2" max="2" width="38" style="38" customWidth="1"/>
    <col min="3" max="3" width="17.28515625" style="38" customWidth="1"/>
    <col min="4" max="4" width="16.140625" style="38" customWidth="1"/>
    <col min="5" max="5" width="12" style="38" customWidth="1"/>
    <col min="6" max="6" width="20.28515625" style="38" customWidth="1"/>
    <col min="7" max="7" width="15.85546875" style="38" customWidth="1"/>
    <col min="8" max="8" width="11.42578125" style="38"/>
    <col min="9" max="9" width="5.85546875" style="38" customWidth="1"/>
    <col min="10" max="16384" width="11.42578125" style="38"/>
  </cols>
  <sheetData>
    <row r="2" spans="2:7" ht="13.5" thickBot="1"/>
    <row r="3" spans="2:7" ht="39" thickBot="1">
      <c r="B3" s="39" t="s">
        <v>0</v>
      </c>
      <c r="C3" s="40" t="s">
        <v>47</v>
      </c>
      <c r="D3" s="40" t="s">
        <v>48</v>
      </c>
      <c r="E3" s="41" t="s">
        <v>49</v>
      </c>
      <c r="F3" s="39" t="s">
        <v>58</v>
      </c>
      <c r="G3" s="41" t="s">
        <v>101</v>
      </c>
    </row>
    <row r="4" spans="2:7">
      <c r="B4" s="42" t="s">
        <v>28</v>
      </c>
      <c r="C4" s="43">
        <v>111305</v>
      </c>
      <c r="D4" s="43">
        <v>540</v>
      </c>
      <c r="E4" s="44">
        <v>178</v>
      </c>
      <c r="F4" s="45"/>
      <c r="G4" s="46">
        <v>0</v>
      </c>
    </row>
    <row r="5" spans="2:7">
      <c r="B5" s="45" t="s">
        <v>51</v>
      </c>
      <c r="C5" s="38">
        <v>17046</v>
      </c>
      <c r="D5" s="38">
        <v>59</v>
      </c>
      <c r="E5" s="46">
        <v>22</v>
      </c>
      <c r="F5" s="45" t="s">
        <v>63</v>
      </c>
      <c r="G5" s="46">
        <v>6.82</v>
      </c>
    </row>
    <row r="6" spans="2:7">
      <c r="B6" s="45" t="s">
        <v>34</v>
      </c>
      <c r="C6" s="38">
        <v>17023</v>
      </c>
      <c r="D6" s="38">
        <v>98</v>
      </c>
      <c r="E6" s="46">
        <v>54</v>
      </c>
      <c r="F6" s="45" t="s">
        <v>59</v>
      </c>
      <c r="G6" s="46">
        <v>4.72</v>
      </c>
    </row>
    <row r="7" spans="2:7">
      <c r="B7" s="45" t="s">
        <v>52</v>
      </c>
      <c r="C7" s="38">
        <v>15147</v>
      </c>
      <c r="D7" s="38">
        <v>130</v>
      </c>
      <c r="E7" s="46">
        <v>20</v>
      </c>
      <c r="F7" s="45" t="s">
        <v>70</v>
      </c>
      <c r="G7" s="46">
        <v>3.7</v>
      </c>
    </row>
    <row r="8" spans="2:7">
      <c r="B8" s="45" t="s">
        <v>45</v>
      </c>
      <c r="C8" s="38">
        <v>7025</v>
      </c>
      <c r="D8" s="38">
        <v>156</v>
      </c>
      <c r="E8" s="46">
        <v>1</v>
      </c>
      <c r="F8" s="45" t="s">
        <v>61</v>
      </c>
      <c r="G8" s="46">
        <v>3.25</v>
      </c>
    </row>
    <row r="9" spans="2:7">
      <c r="B9" s="45" t="s">
        <v>21</v>
      </c>
      <c r="C9" s="38">
        <v>6662</v>
      </c>
      <c r="D9" s="38">
        <v>9</v>
      </c>
      <c r="E9" s="46">
        <v>14</v>
      </c>
      <c r="F9" s="45" t="s">
        <v>71</v>
      </c>
      <c r="G9" s="46">
        <v>4.0199999999999996</v>
      </c>
    </row>
    <row r="10" spans="2:7">
      <c r="B10" s="45" t="s">
        <v>46</v>
      </c>
      <c r="C10" s="38">
        <v>4782</v>
      </c>
      <c r="D10" s="38">
        <v>44</v>
      </c>
      <c r="E10" s="46">
        <v>7</v>
      </c>
      <c r="F10" s="45" t="s">
        <v>74</v>
      </c>
      <c r="G10" s="46">
        <v>7.88</v>
      </c>
    </row>
    <row r="11" spans="2:7">
      <c r="B11" s="45" t="s">
        <v>39</v>
      </c>
      <c r="C11" s="38">
        <v>4462</v>
      </c>
      <c r="D11" s="38">
        <v>40</v>
      </c>
      <c r="E11" s="46">
        <v>14</v>
      </c>
      <c r="F11" s="45" t="s">
        <v>67</v>
      </c>
      <c r="G11" s="46">
        <v>7.32</v>
      </c>
    </row>
    <row r="12" spans="2:7" s="47" customFormat="1" ht="13.5" thickBot="1"/>
    <row r="13" spans="2:7" ht="38.25">
      <c r="B13" s="39" t="s">
        <v>0</v>
      </c>
      <c r="C13" s="40" t="s">
        <v>47</v>
      </c>
      <c r="D13" s="40" t="s">
        <v>48</v>
      </c>
      <c r="E13" s="41" t="s">
        <v>49</v>
      </c>
      <c r="F13" s="39" t="s">
        <v>58</v>
      </c>
      <c r="G13" s="41" t="s">
        <v>101</v>
      </c>
    </row>
    <row r="14" spans="2:7">
      <c r="B14" s="48" t="s">
        <v>44</v>
      </c>
      <c r="C14" s="38">
        <v>10188</v>
      </c>
      <c r="D14" s="38">
        <v>52</v>
      </c>
      <c r="E14" s="46">
        <v>41</v>
      </c>
      <c r="F14" s="45"/>
      <c r="G14" s="46"/>
    </row>
    <row r="15" spans="2:7">
      <c r="B15" s="45" t="s">
        <v>51</v>
      </c>
      <c r="C15" s="38">
        <v>4977</v>
      </c>
      <c r="D15" s="38">
        <v>9</v>
      </c>
      <c r="E15" s="46">
        <v>8</v>
      </c>
      <c r="F15" s="45" t="s">
        <v>63</v>
      </c>
      <c r="G15" s="46">
        <v>6.82</v>
      </c>
    </row>
    <row r="16" spans="2:7">
      <c r="B16" s="45" t="s">
        <v>34</v>
      </c>
      <c r="C16" s="38">
        <v>2185</v>
      </c>
      <c r="D16" s="38">
        <v>21</v>
      </c>
      <c r="E16" s="46">
        <v>8</v>
      </c>
      <c r="F16" s="45" t="s">
        <v>97</v>
      </c>
      <c r="G16" s="46">
        <v>2.84</v>
      </c>
    </row>
    <row r="17" spans="2:7">
      <c r="B17" s="45" t="s">
        <v>52</v>
      </c>
      <c r="C17" s="38">
        <v>1197</v>
      </c>
      <c r="D17" s="38">
        <v>13</v>
      </c>
      <c r="E17" s="46">
        <v>6</v>
      </c>
      <c r="F17" s="45" t="s">
        <v>93</v>
      </c>
      <c r="G17" s="46">
        <v>3.21</v>
      </c>
    </row>
    <row r="18" spans="2:7">
      <c r="B18" s="45" t="s">
        <v>39</v>
      </c>
      <c r="C18" s="38">
        <v>1176</v>
      </c>
      <c r="D18" s="38">
        <v>7</v>
      </c>
      <c r="E18" s="46">
        <v>4</v>
      </c>
      <c r="F18" s="45" t="s">
        <v>94</v>
      </c>
      <c r="G18" s="46">
        <v>7.2</v>
      </c>
    </row>
    <row r="19" spans="2:7">
      <c r="B19" s="45" t="s">
        <v>21</v>
      </c>
      <c r="C19" s="38">
        <v>533</v>
      </c>
      <c r="D19" s="38">
        <v>1</v>
      </c>
      <c r="E19" s="46">
        <v>7</v>
      </c>
      <c r="F19" s="45" t="s">
        <v>71</v>
      </c>
      <c r="G19" s="46">
        <v>4.0199999999999996</v>
      </c>
    </row>
    <row r="20" spans="2:7">
      <c r="B20" s="45" t="s">
        <v>36</v>
      </c>
      <c r="C20" s="38">
        <v>120</v>
      </c>
      <c r="E20" s="46">
        <v>4</v>
      </c>
      <c r="F20" s="45" t="s">
        <v>62</v>
      </c>
      <c r="G20" s="46">
        <v>2.74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BA15-BFC9-4346-AAAE-72ADF77BD707}">
  <dimension ref="B2:K34"/>
  <sheetViews>
    <sheetView topLeftCell="A2" workbookViewId="0">
      <selection activeCell="J21" sqref="J21"/>
    </sheetView>
  </sheetViews>
  <sheetFormatPr baseColWidth="10" defaultRowHeight="12.75"/>
  <cols>
    <col min="1" max="1" width="5" style="1" customWidth="1"/>
    <col min="2" max="2" width="38" style="1" customWidth="1"/>
    <col min="3" max="3" width="17.28515625" style="1" customWidth="1"/>
    <col min="4" max="4" width="16.140625" style="1" customWidth="1"/>
    <col min="5" max="5" width="12" style="1" customWidth="1"/>
    <col min="6" max="6" width="20.28515625" style="1" customWidth="1"/>
    <col min="7" max="7" width="15.85546875" style="1" customWidth="1"/>
    <col min="8" max="8" width="11.42578125" style="1"/>
    <col min="9" max="9" width="5.85546875" style="1" customWidth="1"/>
    <col min="10" max="16384" width="11.42578125" style="1"/>
  </cols>
  <sheetData>
    <row r="2" spans="2:11" ht="13.5" thickBot="1"/>
    <row r="3" spans="2:11" ht="38.25">
      <c r="B3" s="34" t="s">
        <v>0</v>
      </c>
      <c r="C3" s="36" t="s">
        <v>47</v>
      </c>
      <c r="D3" s="36" t="s">
        <v>48</v>
      </c>
      <c r="E3" s="35" t="s">
        <v>49</v>
      </c>
      <c r="F3" s="34" t="s">
        <v>58</v>
      </c>
      <c r="G3" s="35" t="s">
        <v>101</v>
      </c>
      <c r="H3" s="105" t="s">
        <v>159</v>
      </c>
    </row>
    <row r="4" spans="2:11">
      <c r="B4" s="5" t="s">
        <v>41</v>
      </c>
      <c r="C4" s="1">
        <v>970</v>
      </c>
      <c r="D4" s="1">
        <v>1</v>
      </c>
      <c r="E4" s="6">
        <v>4</v>
      </c>
      <c r="F4" s="5"/>
      <c r="G4" s="6" t="s">
        <v>100</v>
      </c>
      <c r="H4" s="1" t="e">
        <f>+Tabla14[[#This Row],[Suma de  Consumo (L/mes)]]*Tabla14[[#This Row],[Precio '[USD/litro']]]</f>
        <v>#VALUE!</v>
      </c>
    </row>
    <row r="5" spans="2:11">
      <c r="B5" s="5" t="s">
        <v>42</v>
      </c>
      <c r="C5" s="1">
        <v>0</v>
      </c>
      <c r="E5" s="6">
        <v>4</v>
      </c>
      <c r="F5" s="5"/>
      <c r="G5" s="6" t="s">
        <v>100</v>
      </c>
      <c r="H5" s="1" t="e">
        <f>+Tabla14[[#This Row],[Suma de  Consumo (L/mes)]]*Tabla14[[#This Row],[Precio '[USD/litro']]]</f>
        <v>#VALUE!</v>
      </c>
    </row>
    <row r="6" spans="2:11">
      <c r="B6" s="5" t="s">
        <v>52</v>
      </c>
      <c r="C6" s="1">
        <v>18208</v>
      </c>
      <c r="D6" s="1">
        <v>70</v>
      </c>
      <c r="E6" s="6">
        <v>35</v>
      </c>
      <c r="F6" s="5" t="s">
        <v>70</v>
      </c>
      <c r="G6" s="6">
        <v>3.7</v>
      </c>
      <c r="H6" s="1">
        <f>+Tabla14[[#This Row],[Suma de  Consumo (L/mes)]]*Tabla14[[#This Row],[Precio '[USD/litro']]]</f>
        <v>67369.600000000006</v>
      </c>
      <c r="K6" s="1">
        <v>67369.600000000006</v>
      </c>
    </row>
    <row r="7" spans="2:11">
      <c r="B7" s="5" t="s">
        <v>34</v>
      </c>
      <c r="C7" s="1">
        <v>8001</v>
      </c>
      <c r="D7" s="1">
        <v>53</v>
      </c>
      <c r="E7" s="6">
        <v>12</v>
      </c>
      <c r="F7" s="5" t="s">
        <v>78</v>
      </c>
      <c r="G7" s="6">
        <v>4.5</v>
      </c>
      <c r="H7" s="1">
        <f>+Tabla14[[#This Row],[Suma de  Consumo (L/mes)]]*Tabla14[[#This Row],[Precio '[USD/litro']]]</f>
        <v>36004.5</v>
      </c>
      <c r="K7" s="1">
        <v>36004.5</v>
      </c>
    </row>
    <row r="8" spans="2:11">
      <c r="B8" s="5" t="s">
        <v>30</v>
      </c>
      <c r="C8" s="1">
        <v>7769</v>
      </c>
      <c r="D8" s="1">
        <v>2</v>
      </c>
      <c r="E8" s="6">
        <v>10</v>
      </c>
      <c r="F8" s="5" t="s">
        <v>68</v>
      </c>
      <c r="G8" s="6">
        <v>3.89</v>
      </c>
      <c r="H8" s="1">
        <f>+Tabla14[[#This Row],[Suma de  Consumo (L/mes)]]*Tabla14[[#This Row],[Precio '[USD/litro']]]</f>
        <v>30221.41</v>
      </c>
      <c r="K8" s="1">
        <v>30221.41</v>
      </c>
    </row>
    <row r="9" spans="2:11">
      <c r="B9" s="5" t="s">
        <v>21</v>
      </c>
      <c r="C9" s="1">
        <v>5350</v>
      </c>
      <c r="D9" s="1">
        <v>3</v>
      </c>
      <c r="E9" s="6">
        <v>9</v>
      </c>
      <c r="F9" s="5" t="s">
        <v>71</v>
      </c>
      <c r="G9" s="6">
        <v>4.0199999999999996</v>
      </c>
      <c r="H9" s="1">
        <f>+Tabla14[[#This Row],[Suma de  Consumo (L/mes)]]*Tabla14[[#This Row],[Precio '[USD/litro']]]</f>
        <v>21506.999999999996</v>
      </c>
      <c r="K9" s="1">
        <v>21506.999999999996</v>
      </c>
    </row>
    <row r="10" spans="2:11">
      <c r="B10" s="5" t="s">
        <v>51</v>
      </c>
      <c r="C10" s="1">
        <v>2318</v>
      </c>
      <c r="D10" s="1">
        <v>7</v>
      </c>
      <c r="E10" s="6">
        <v>15</v>
      </c>
      <c r="F10" s="5" t="s">
        <v>80</v>
      </c>
      <c r="G10" s="6">
        <v>6.61</v>
      </c>
      <c r="H10" s="1">
        <f>+Tabla14[[#This Row],[Suma de  Consumo (L/mes)]]*Tabla14[[#This Row],[Precio '[USD/litro']]]</f>
        <v>15321.980000000001</v>
      </c>
      <c r="K10" s="1">
        <v>15321.980000000001</v>
      </c>
    </row>
    <row r="11" spans="2:11">
      <c r="B11" s="5" t="s">
        <v>29</v>
      </c>
      <c r="C11" s="1">
        <v>2018</v>
      </c>
      <c r="D11" s="1">
        <v>2</v>
      </c>
      <c r="E11" s="6">
        <v>3</v>
      </c>
      <c r="F11" s="5" t="s">
        <v>82</v>
      </c>
      <c r="G11" s="6">
        <v>6.61</v>
      </c>
      <c r="H11" s="1">
        <f>+Tabla14[[#This Row],[Suma de  Consumo (L/mes)]]*Tabla14[[#This Row],[Precio '[USD/litro']]]</f>
        <v>13338.980000000001</v>
      </c>
      <c r="K11" s="1">
        <v>13338.980000000001</v>
      </c>
    </row>
    <row r="12" spans="2:11">
      <c r="B12" s="5" t="s">
        <v>50</v>
      </c>
      <c r="C12" s="1">
        <v>1310</v>
      </c>
      <c r="E12" s="6">
        <v>2</v>
      </c>
      <c r="F12" s="5" t="s">
        <v>79</v>
      </c>
      <c r="G12" s="6">
        <v>9.25</v>
      </c>
      <c r="H12" s="1">
        <f>+Tabla14[[#This Row],[Suma de  Consumo (L/mes)]]*Tabla14[[#This Row],[Precio '[USD/litro']]]</f>
        <v>12117.5</v>
      </c>
      <c r="K12" s="1">
        <v>12117.5</v>
      </c>
    </row>
    <row r="13" spans="2:11">
      <c r="B13" s="5" t="s">
        <v>43</v>
      </c>
      <c r="C13" s="1">
        <v>4760</v>
      </c>
      <c r="E13" s="6">
        <v>12</v>
      </c>
      <c r="F13" s="5" t="s">
        <v>75</v>
      </c>
      <c r="G13" s="6">
        <v>2.31</v>
      </c>
      <c r="H13" s="1">
        <f>+Tabla14[[#This Row],[Suma de  Consumo (L/mes)]]*Tabla14[[#This Row],[Precio '[USD/litro']]]</f>
        <v>10995.6</v>
      </c>
      <c r="K13" s="1">
        <v>10995.6</v>
      </c>
    </row>
    <row r="14" spans="2:11">
      <c r="B14" s="5" t="s">
        <v>27</v>
      </c>
      <c r="C14" s="1">
        <v>2584</v>
      </c>
      <c r="E14" s="6">
        <v>7</v>
      </c>
      <c r="F14" s="5" t="s">
        <v>71</v>
      </c>
      <c r="G14" s="6">
        <v>4.0199999999999996</v>
      </c>
      <c r="H14" s="1">
        <f>+Tabla14[[#This Row],[Suma de  Consumo (L/mes)]]*Tabla14[[#This Row],[Precio '[USD/litro']]]</f>
        <v>10387.679999999998</v>
      </c>
      <c r="K14" s="1">
        <v>10387.679999999998</v>
      </c>
    </row>
    <row r="15" spans="2:11">
      <c r="B15" s="5" t="s">
        <v>36</v>
      </c>
      <c r="C15" s="1">
        <v>3080</v>
      </c>
      <c r="E15" s="6">
        <v>4</v>
      </c>
      <c r="F15" s="5" t="s">
        <v>62</v>
      </c>
      <c r="G15" s="6">
        <v>2.74</v>
      </c>
      <c r="H15" s="1">
        <f>+Tabla14[[#This Row],[Suma de  Consumo (L/mes)]]*Tabla14[[#This Row],[Precio '[USD/litro']]]</f>
        <v>8439.2000000000007</v>
      </c>
      <c r="K15" s="1">
        <v>8439.2000000000007</v>
      </c>
    </row>
    <row r="16" spans="2:11">
      <c r="B16" s="5" t="s">
        <v>39</v>
      </c>
      <c r="C16" s="1">
        <v>912</v>
      </c>
      <c r="D16" s="1">
        <v>8</v>
      </c>
      <c r="E16" s="6">
        <v>15</v>
      </c>
      <c r="F16" s="5" t="s">
        <v>81</v>
      </c>
      <c r="G16" s="6">
        <v>5.07</v>
      </c>
      <c r="H16" s="1">
        <f>+Tabla14[[#This Row],[Suma de  Consumo (L/mes)]]*Tabla14[[#This Row],[Precio '[USD/litro']]]</f>
        <v>4623.84</v>
      </c>
      <c r="K16" s="1">
        <v>4623.84</v>
      </c>
    </row>
    <row r="17" spans="2:11">
      <c r="B17" s="5" t="s">
        <v>53</v>
      </c>
      <c r="C17" s="1">
        <v>1226</v>
      </c>
      <c r="E17" s="6">
        <v>2</v>
      </c>
      <c r="F17" s="5" t="s">
        <v>61</v>
      </c>
      <c r="G17" s="6">
        <v>3.25</v>
      </c>
      <c r="H17" s="1">
        <f>+Tabla14[[#This Row],[Suma de  Consumo (L/mes)]]*Tabla14[[#This Row],[Precio '[USD/litro']]]</f>
        <v>3984.5</v>
      </c>
      <c r="K17" s="1">
        <v>3984.5</v>
      </c>
    </row>
    <row r="18" spans="2:11">
      <c r="B18" s="5" t="s">
        <v>31</v>
      </c>
      <c r="C18" s="1">
        <v>800</v>
      </c>
      <c r="E18" s="6">
        <v>1</v>
      </c>
      <c r="F18" s="5" t="s">
        <v>73</v>
      </c>
      <c r="G18" s="6">
        <v>3.77</v>
      </c>
      <c r="H18" s="1">
        <f>+Tabla14[[#This Row],[Suma de  Consumo (L/mes)]]*Tabla14[[#This Row],[Precio '[USD/litro']]]</f>
        <v>3016</v>
      </c>
      <c r="K18" s="1">
        <v>3016</v>
      </c>
    </row>
    <row r="19" spans="2:11">
      <c r="B19" s="5" t="s">
        <v>14</v>
      </c>
      <c r="C19" s="1">
        <v>680</v>
      </c>
      <c r="E19" s="6">
        <v>6</v>
      </c>
      <c r="F19" s="5" t="s">
        <v>76</v>
      </c>
      <c r="G19" s="6">
        <v>4.1100000000000003</v>
      </c>
      <c r="H19" s="1">
        <f>+Tabla14[[#This Row],[Suma de  Consumo (L/mes)]]*Tabla14[[#This Row],[Precio '[USD/litro']]]</f>
        <v>2794.8</v>
      </c>
      <c r="K19" s="1">
        <v>2794.8</v>
      </c>
    </row>
    <row r="20" spans="2:11">
      <c r="B20" s="5" t="s">
        <v>38</v>
      </c>
      <c r="C20" s="1">
        <v>315</v>
      </c>
      <c r="D20" s="1">
        <v>1</v>
      </c>
      <c r="E20" s="6">
        <v>4</v>
      </c>
      <c r="F20" s="5" t="s">
        <v>65</v>
      </c>
      <c r="G20" s="6">
        <v>4.3899999999999997</v>
      </c>
      <c r="H20" s="1">
        <f>+Tabla14[[#This Row],[Suma de  Consumo (L/mes)]]*Tabla14[[#This Row],[Precio '[USD/litro']]]</f>
        <v>1382.85</v>
      </c>
      <c r="K20" s="1">
        <v>1382.85</v>
      </c>
    </row>
    <row r="21" spans="2:11">
      <c r="B21" s="5" t="s">
        <v>18</v>
      </c>
      <c r="C21" s="1">
        <v>800</v>
      </c>
      <c r="D21" s="1">
        <v>1</v>
      </c>
      <c r="E21" s="6">
        <v>2</v>
      </c>
      <c r="F21" s="5" t="s">
        <v>64</v>
      </c>
      <c r="G21" s="6">
        <v>1.51</v>
      </c>
      <c r="H21" s="1">
        <f>+Tabla14[[#This Row],[Suma de  Consumo (L/mes)]]*Tabla14[[#This Row],[Precio '[USD/litro']]]</f>
        <v>1208</v>
      </c>
      <c r="K21" s="1">
        <v>1208</v>
      </c>
    </row>
    <row r="22" spans="2:11">
      <c r="B22" s="5" t="s">
        <v>35</v>
      </c>
      <c r="C22" s="1">
        <v>80</v>
      </c>
      <c r="E22" s="6">
        <v>2</v>
      </c>
      <c r="F22" s="5" t="s">
        <v>80</v>
      </c>
      <c r="G22" s="6">
        <v>6.61</v>
      </c>
      <c r="H22" s="1">
        <f>+Tabla14[[#This Row],[Suma de  Consumo (L/mes)]]*Tabla14[[#This Row],[Precio '[USD/litro']]]</f>
        <v>528.80000000000007</v>
      </c>
      <c r="K22" s="1">
        <v>528.80000000000007</v>
      </c>
    </row>
    <row r="23" spans="2:11">
      <c r="B23" s="7" t="s">
        <v>32</v>
      </c>
      <c r="C23" s="1">
        <v>61181</v>
      </c>
      <c r="D23" s="1">
        <v>148</v>
      </c>
      <c r="E23" s="6">
        <v>157</v>
      </c>
      <c r="F23" s="5"/>
      <c r="G23" s="6"/>
      <c r="H23" s="1">
        <f>+Tabla14[[#This Row],[Suma de  Consumo (L/mes)]]*Tabla14[[#This Row],[Precio '[USD/litro']]]</f>
        <v>0</v>
      </c>
    </row>
    <row r="24" spans="2:11">
      <c r="B24" s="5" t="s">
        <v>37</v>
      </c>
      <c r="C24" s="1">
        <v>0</v>
      </c>
      <c r="E24" s="6">
        <v>4</v>
      </c>
      <c r="F24" s="5" t="s">
        <v>65</v>
      </c>
      <c r="G24" s="6">
        <v>4.3899999999999997</v>
      </c>
      <c r="H24" s="1">
        <f>+Tabla14[[#This Row],[Suma de  Consumo (L/mes)]]*Tabla14[[#This Row],[Precio '[USD/litro']]]</f>
        <v>0</v>
      </c>
    </row>
    <row r="25" spans="2:11">
      <c r="B25" s="5" t="s">
        <v>54</v>
      </c>
      <c r="C25" s="1">
        <v>0</v>
      </c>
      <c r="E25" s="6">
        <v>4</v>
      </c>
      <c r="F25" s="5" t="s">
        <v>83</v>
      </c>
      <c r="G25" s="6">
        <v>1.41</v>
      </c>
      <c r="H25" s="1">
        <f>+Tabla14[[#This Row],[Suma de  Consumo (L/mes)]]*Tabla14[[#This Row],[Precio '[USD/litro']]]</f>
        <v>0</v>
      </c>
    </row>
    <row r="26" spans="2:11">
      <c r="B26" s="5"/>
      <c r="E26" s="6"/>
      <c r="F26" s="106"/>
      <c r="G26" s="107"/>
      <c r="H26" s="108" t="e">
        <f>SUBTOTAL(109,Tabla14[Columna1])</f>
        <v>#VALUE!</v>
      </c>
    </row>
    <row r="34" spans="8:8">
      <c r="H34" s="1">
        <f>SUM(H6:H25)</f>
        <v>243242.24000000002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C839-916E-469B-BC80-F1BDF44C3A25}">
  <dimension ref="B2:G34"/>
  <sheetViews>
    <sheetView workbookViewId="0">
      <selection activeCell="I23" sqref="I23"/>
    </sheetView>
  </sheetViews>
  <sheetFormatPr baseColWidth="10" defaultRowHeight="12.75"/>
  <cols>
    <col min="1" max="1" width="5" style="1" customWidth="1"/>
    <col min="2" max="2" width="38" style="1" customWidth="1"/>
    <col min="3" max="3" width="17.28515625" style="114" customWidth="1"/>
    <col min="4" max="4" width="16.140625" style="1" customWidth="1"/>
    <col min="5" max="5" width="12" style="1" customWidth="1"/>
    <col min="6" max="6" width="20.28515625" style="1" customWidth="1"/>
    <col min="7" max="7" width="15.85546875" style="1" customWidth="1"/>
    <col min="8" max="8" width="11.42578125" style="1"/>
    <col min="9" max="9" width="5.85546875" style="1" customWidth="1"/>
    <col min="10" max="16384" width="11.42578125" style="1"/>
  </cols>
  <sheetData>
    <row r="2" spans="2:7" ht="13.5" thickBot="1"/>
    <row r="3" spans="2:7" ht="38.25">
      <c r="B3" s="34" t="s">
        <v>0</v>
      </c>
      <c r="C3" s="115" t="s">
        <v>47</v>
      </c>
      <c r="D3" s="36" t="s">
        <v>48</v>
      </c>
      <c r="E3" s="35" t="s">
        <v>49</v>
      </c>
      <c r="F3" s="34" t="s">
        <v>58</v>
      </c>
      <c r="G3" s="35" t="s">
        <v>101</v>
      </c>
    </row>
    <row r="4" spans="2:7">
      <c r="B4" s="7" t="s">
        <v>7</v>
      </c>
      <c r="C4" s="114">
        <v>105269.83000000002</v>
      </c>
      <c r="D4" s="1">
        <v>195</v>
      </c>
      <c r="E4" s="6">
        <v>154</v>
      </c>
      <c r="F4" s="5"/>
      <c r="G4" s="6"/>
    </row>
    <row r="5" spans="2:7">
      <c r="B5" s="5" t="s">
        <v>55</v>
      </c>
      <c r="C5" s="114">
        <v>15165.1</v>
      </c>
      <c r="D5" s="1">
        <v>129</v>
      </c>
      <c r="E5" s="6">
        <v>4</v>
      </c>
      <c r="F5" s="5" t="s">
        <v>84</v>
      </c>
      <c r="G5" s="6">
        <v>6.08</v>
      </c>
    </row>
    <row r="6" spans="2:7">
      <c r="B6" s="5" t="s">
        <v>53</v>
      </c>
      <c r="C6" s="114">
        <f>26778.01*0.482</f>
        <v>12907.000819999999</v>
      </c>
      <c r="E6" s="6"/>
      <c r="F6" s="5" t="s">
        <v>61</v>
      </c>
      <c r="G6" s="6">
        <v>3.25</v>
      </c>
    </row>
    <row r="7" spans="2:7">
      <c r="B7" s="5" t="s">
        <v>8</v>
      </c>
      <c r="C7" s="114">
        <v>11768.080000000002</v>
      </c>
      <c r="D7" s="1">
        <v>19</v>
      </c>
      <c r="E7" s="6">
        <v>20</v>
      </c>
      <c r="F7" s="5" t="s">
        <v>89</v>
      </c>
      <c r="G7" s="6">
        <v>4.7</v>
      </c>
    </row>
    <row r="8" spans="2:7">
      <c r="B8" s="5" t="s">
        <v>21</v>
      </c>
      <c r="C8" s="114">
        <v>11284.460000000001</v>
      </c>
      <c r="E8" s="6">
        <v>23</v>
      </c>
      <c r="F8" s="5" t="s">
        <v>69</v>
      </c>
      <c r="G8" s="6">
        <v>3.48</v>
      </c>
    </row>
    <row r="9" spans="2:7">
      <c r="B9" s="5" t="s">
        <v>53</v>
      </c>
      <c r="C9" s="114">
        <f>26778.01*0.413</f>
        <v>11059.31813</v>
      </c>
      <c r="D9" s="1">
        <v>2</v>
      </c>
      <c r="E9" s="6">
        <v>37</v>
      </c>
      <c r="F9" s="5" t="s">
        <v>86</v>
      </c>
      <c r="G9" s="6">
        <v>7.22</v>
      </c>
    </row>
    <row r="10" spans="2:7">
      <c r="B10" s="5" t="s">
        <v>52</v>
      </c>
      <c r="C10" s="114">
        <v>8567.26</v>
      </c>
      <c r="D10" s="1">
        <v>37</v>
      </c>
      <c r="E10" s="6">
        <v>11</v>
      </c>
      <c r="F10" s="5" t="s">
        <v>93</v>
      </c>
      <c r="G10" s="6">
        <v>3.21</v>
      </c>
    </row>
    <row r="11" spans="2:7">
      <c r="B11" s="5" t="s">
        <v>14</v>
      </c>
      <c r="C11" s="114">
        <v>5033.6000000000004</v>
      </c>
      <c r="D11" s="1">
        <v>2</v>
      </c>
      <c r="E11" s="6">
        <v>3</v>
      </c>
      <c r="F11" s="5" t="s">
        <v>96</v>
      </c>
      <c r="G11" s="6">
        <v>2.4500000000000002</v>
      </c>
    </row>
    <row r="12" spans="2:7">
      <c r="B12" s="5" t="s">
        <v>16</v>
      </c>
      <c r="C12" s="114">
        <v>4082.5600000000004</v>
      </c>
      <c r="E12" s="6">
        <v>8</v>
      </c>
      <c r="F12" s="5" t="s">
        <v>91</v>
      </c>
      <c r="G12" s="6">
        <v>3.89</v>
      </c>
    </row>
    <row r="13" spans="2:7">
      <c r="B13" s="5" t="s">
        <v>15</v>
      </c>
      <c r="C13" s="114">
        <v>3923.2599999999998</v>
      </c>
      <c r="E13" s="6">
        <v>11</v>
      </c>
      <c r="F13" s="5" t="s">
        <v>77</v>
      </c>
      <c r="G13" s="6">
        <v>4.09</v>
      </c>
    </row>
    <row r="14" spans="2:7">
      <c r="B14" s="5" t="s">
        <v>56</v>
      </c>
      <c r="C14" s="114">
        <v>3533.7999999999997</v>
      </c>
      <c r="E14" s="6">
        <v>4</v>
      </c>
      <c r="F14" s="5" t="s">
        <v>90</v>
      </c>
      <c r="G14" s="6">
        <v>8.15</v>
      </c>
    </row>
    <row r="15" spans="2:7">
      <c r="B15" s="5" t="s">
        <v>12</v>
      </c>
      <c r="C15" s="114">
        <v>3379.06</v>
      </c>
      <c r="E15" s="6">
        <v>10</v>
      </c>
      <c r="F15" s="5" t="s">
        <v>61</v>
      </c>
      <c r="G15" s="6">
        <v>3.25</v>
      </c>
    </row>
    <row r="16" spans="2:7">
      <c r="B16" s="5" t="s">
        <v>17</v>
      </c>
      <c r="C16" s="114">
        <v>3030.7999999999997</v>
      </c>
      <c r="D16" s="1">
        <v>1</v>
      </c>
      <c r="E16" s="6">
        <v>2</v>
      </c>
      <c r="F16" s="5" t="s">
        <v>95</v>
      </c>
      <c r="G16" s="6">
        <v>6.82</v>
      </c>
    </row>
    <row r="17" spans="2:7">
      <c r="B17" s="5" t="s">
        <v>53</v>
      </c>
      <c r="C17" s="114">
        <f>26778.01*0.104</f>
        <v>2784.9130399999999</v>
      </c>
      <c r="E17" s="6"/>
      <c r="F17" s="5" t="s">
        <v>87</v>
      </c>
      <c r="G17" s="6">
        <v>5</v>
      </c>
    </row>
    <row r="18" spans="2:7">
      <c r="B18" s="5" t="s">
        <v>50</v>
      </c>
      <c r="C18" s="114">
        <v>1845.5</v>
      </c>
      <c r="E18" s="6">
        <v>3</v>
      </c>
      <c r="F18" s="5" t="s">
        <v>85</v>
      </c>
      <c r="G18" s="6">
        <v>9.73</v>
      </c>
    </row>
    <row r="19" spans="2:7">
      <c r="B19" s="5" t="s">
        <v>3</v>
      </c>
      <c r="C19" s="114">
        <v>1831</v>
      </c>
      <c r="E19" s="6">
        <v>5</v>
      </c>
      <c r="F19" s="5" t="s">
        <v>92</v>
      </c>
      <c r="G19" s="6">
        <v>4.5999999999999996</v>
      </c>
    </row>
    <row r="20" spans="2:7">
      <c r="B20" s="5" t="s">
        <v>11</v>
      </c>
      <c r="C20" s="114">
        <v>1824.08</v>
      </c>
      <c r="E20" s="6">
        <v>4</v>
      </c>
      <c r="F20" s="5" t="s">
        <v>94</v>
      </c>
      <c r="G20" s="6">
        <v>7.2</v>
      </c>
    </row>
    <row r="21" spans="2:7">
      <c r="B21" s="5" t="s">
        <v>18</v>
      </c>
      <c r="C21" s="114">
        <v>1200</v>
      </c>
      <c r="D21" s="1">
        <v>5</v>
      </c>
      <c r="E21" s="6"/>
      <c r="F21" s="5" t="s">
        <v>88</v>
      </c>
      <c r="G21" s="6">
        <v>1.51</v>
      </c>
    </row>
    <row r="22" spans="2:7">
      <c r="B22" s="5" t="s">
        <v>1</v>
      </c>
      <c r="C22" s="114">
        <v>647</v>
      </c>
      <c r="E22" s="6">
        <v>2</v>
      </c>
      <c r="F22" s="5" t="s">
        <v>89</v>
      </c>
      <c r="G22" s="6">
        <v>4.7</v>
      </c>
    </row>
    <row r="23" spans="2:7">
      <c r="B23" s="5" t="s">
        <v>4</v>
      </c>
      <c r="C23" s="114">
        <v>589</v>
      </c>
      <c r="E23" s="6">
        <v>3</v>
      </c>
      <c r="F23" s="5" t="s">
        <v>96</v>
      </c>
      <c r="G23" s="6">
        <v>2.4500000000000002</v>
      </c>
    </row>
    <row r="24" spans="2:7">
      <c r="B24" s="5" t="s">
        <v>13</v>
      </c>
      <c r="C24" s="114">
        <v>514</v>
      </c>
      <c r="E24" s="6">
        <v>1</v>
      </c>
      <c r="F24" s="5" t="s">
        <v>82</v>
      </c>
      <c r="G24" s="6">
        <v>6.61</v>
      </c>
    </row>
    <row r="25" spans="2:7">
      <c r="B25" s="5" t="s">
        <v>22</v>
      </c>
      <c r="C25" s="114">
        <v>169.1</v>
      </c>
      <c r="E25" s="6">
        <v>1</v>
      </c>
      <c r="F25" s="5" t="s">
        <v>75</v>
      </c>
      <c r="G25" s="6">
        <v>2.31</v>
      </c>
    </row>
    <row r="26" spans="2:7">
      <c r="B26" s="5" t="s">
        <v>5</v>
      </c>
      <c r="C26" s="114">
        <v>89</v>
      </c>
      <c r="E26" s="6">
        <v>1</v>
      </c>
      <c r="F26" s="5" t="s">
        <v>75</v>
      </c>
      <c r="G26" s="6">
        <v>2.31</v>
      </c>
    </row>
    <row r="27" spans="2:7">
      <c r="B27" s="5" t="s">
        <v>19</v>
      </c>
      <c r="C27" s="114">
        <v>15.159999999999997</v>
      </c>
      <c r="E27" s="6">
        <v>1</v>
      </c>
      <c r="F27" s="5" t="s">
        <v>89</v>
      </c>
      <c r="G27" s="6">
        <v>4.7</v>
      </c>
    </row>
    <row r="28" spans="2:7">
      <c r="B28" s="5" t="s">
        <v>9</v>
      </c>
      <c r="C28" s="114">
        <v>0</v>
      </c>
      <c r="E28" s="6"/>
      <c r="F28" s="5" t="s">
        <v>89</v>
      </c>
      <c r="G28" s="6">
        <v>4.7</v>
      </c>
    </row>
    <row r="29" spans="2:7">
      <c r="B29" s="5" t="s">
        <v>20</v>
      </c>
      <c r="C29" s="114">
        <v>0</v>
      </c>
      <c r="E29" s="6"/>
      <c r="F29" s="5"/>
      <c r="G29" s="6" t="s">
        <v>100</v>
      </c>
    </row>
    <row r="30" spans="2:7">
      <c r="B30" s="5" t="s">
        <v>54</v>
      </c>
      <c r="C30" s="114">
        <v>0</v>
      </c>
      <c r="E30" s="6"/>
      <c r="F30" s="5" t="s">
        <v>83</v>
      </c>
      <c r="G30" s="6">
        <v>1.41</v>
      </c>
    </row>
    <row r="31" spans="2:7">
      <c r="B31" s="5" t="s">
        <v>10</v>
      </c>
      <c r="C31" s="114">
        <v>0</v>
      </c>
      <c r="E31" s="6"/>
      <c r="F31" s="5" t="s">
        <v>94</v>
      </c>
      <c r="G31" s="6">
        <v>7.2</v>
      </c>
    </row>
    <row r="32" spans="2:7">
      <c r="B32" s="5" t="s">
        <v>57</v>
      </c>
      <c r="C32" s="114">
        <v>0</v>
      </c>
      <c r="E32" s="6"/>
      <c r="F32" s="5"/>
      <c r="G32" s="6" t="s">
        <v>100</v>
      </c>
    </row>
    <row r="33" spans="2:7">
      <c r="B33" s="5" t="s">
        <v>2</v>
      </c>
      <c r="C33" s="114">
        <v>0</v>
      </c>
      <c r="E33" s="6"/>
      <c r="F33" s="5" t="s">
        <v>69</v>
      </c>
      <c r="G33" s="6">
        <v>3.48</v>
      </c>
    </row>
    <row r="34" spans="2:7">
      <c r="B34" s="5"/>
      <c r="E34" s="6"/>
      <c r="F34" s="5" t="s">
        <v>62</v>
      </c>
      <c r="G34" s="6">
        <v>2.74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CF02-A83B-4318-890F-E092AA96E672}">
  <dimension ref="B2:G24"/>
  <sheetViews>
    <sheetView workbookViewId="0">
      <selection activeCell="H22" sqref="H22"/>
    </sheetView>
  </sheetViews>
  <sheetFormatPr baseColWidth="10" defaultRowHeight="12.75"/>
  <cols>
    <col min="1" max="1" width="5" style="1" customWidth="1"/>
    <col min="2" max="2" width="38" style="1" customWidth="1"/>
    <col min="3" max="3" width="17.28515625" style="1" customWidth="1"/>
    <col min="4" max="4" width="16.140625" style="1" customWidth="1"/>
    <col min="5" max="5" width="12" style="1" customWidth="1"/>
    <col min="6" max="6" width="20.28515625" style="1" customWidth="1"/>
    <col min="7" max="7" width="15.85546875" style="1" customWidth="1"/>
    <col min="8" max="8" width="11.42578125" style="1"/>
    <col min="9" max="9" width="5.85546875" style="1" customWidth="1"/>
    <col min="10" max="16384" width="11.42578125" style="1"/>
  </cols>
  <sheetData>
    <row r="2" spans="2:7" ht="13.5" thickBot="1"/>
    <row r="3" spans="2:7" ht="38.25">
      <c r="B3" s="34" t="s">
        <v>0</v>
      </c>
      <c r="C3" s="36" t="s">
        <v>47</v>
      </c>
      <c r="D3" s="36" t="s">
        <v>48</v>
      </c>
      <c r="E3" s="35" t="s">
        <v>49</v>
      </c>
      <c r="F3" s="34" t="s">
        <v>58</v>
      </c>
      <c r="G3" s="35" t="s">
        <v>101</v>
      </c>
    </row>
    <row r="4" spans="2:7">
      <c r="B4" s="7" t="s">
        <v>33</v>
      </c>
      <c r="C4" s="1">
        <v>78935</v>
      </c>
      <c r="D4" s="1">
        <v>210</v>
      </c>
      <c r="E4" s="6">
        <v>165</v>
      </c>
      <c r="F4" s="5"/>
      <c r="G4" s="6"/>
    </row>
    <row r="5" spans="2:7">
      <c r="B5" s="5" t="s">
        <v>52</v>
      </c>
      <c r="C5" s="1">
        <v>33172</v>
      </c>
      <c r="D5" s="1">
        <v>190</v>
      </c>
      <c r="E5" s="6">
        <v>43</v>
      </c>
      <c r="F5" s="5" t="s">
        <v>93</v>
      </c>
      <c r="G5" s="6">
        <v>3.21</v>
      </c>
    </row>
    <row r="6" spans="2:7">
      <c r="B6" s="5" t="s">
        <v>34</v>
      </c>
      <c r="C6" s="1">
        <v>15187</v>
      </c>
      <c r="D6" s="1">
        <v>10</v>
      </c>
      <c r="E6" s="6">
        <v>28</v>
      </c>
      <c r="F6" s="5" t="s">
        <v>97</v>
      </c>
      <c r="G6" s="6">
        <v>2.84</v>
      </c>
    </row>
    <row r="7" spans="2:7">
      <c r="B7" s="5" t="s">
        <v>21</v>
      </c>
      <c r="C7" s="1">
        <v>11476</v>
      </c>
      <c r="D7" s="1">
        <v>2</v>
      </c>
      <c r="E7" s="6">
        <v>34</v>
      </c>
      <c r="F7" s="5" t="s">
        <v>71</v>
      </c>
      <c r="G7" s="6">
        <v>4.0199999999999996</v>
      </c>
    </row>
    <row r="8" spans="2:7">
      <c r="B8" s="5" t="s">
        <v>51</v>
      </c>
      <c r="C8" s="1">
        <v>10472</v>
      </c>
      <c r="D8" s="1">
        <v>5</v>
      </c>
      <c r="E8" s="6">
        <v>26</v>
      </c>
      <c r="F8" s="5" t="s">
        <v>98</v>
      </c>
      <c r="G8" s="6">
        <v>6.62</v>
      </c>
    </row>
    <row r="9" spans="2:7">
      <c r="B9" s="5" t="s">
        <v>43</v>
      </c>
      <c r="C9" s="1">
        <v>3670</v>
      </c>
      <c r="E9" s="6">
        <v>12</v>
      </c>
      <c r="F9" s="5" t="s">
        <v>75</v>
      </c>
      <c r="G9" s="6">
        <v>2.31</v>
      </c>
    </row>
    <row r="10" spans="2:7">
      <c r="B10" s="5" t="s">
        <v>36</v>
      </c>
      <c r="C10" s="1">
        <v>1880</v>
      </c>
      <c r="E10" s="6">
        <v>2</v>
      </c>
      <c r="F10" s="5" t="s">
        <v>62</v>
      </c>
      <c r="G10" s="6">
        <v>2.74</v>
      </c>
    </row>
    <row r="11" spans="2:7">
      <c r="B11" s="5" t="s">
        <v>6</v>
      </c>
      <c r="C11" s="37">
        <v>1344</v>
      </c>
      <c r="D11" s="37">
        <v>878</v>
      </c>
      <c r="E11" s="6"/>
      <c r="F11" s="5"/>
      <c r="G11" s="6"/>
    </row>
    <row r="12" spans="2:7">
      <c r="B12" s="5" t="s">
        <v>27</v>
      </c>
      <c r="C12" s="1">
        <v>1282</v>
      </c>
      <c r="E12" s="6">
        <v>2</v>
      </c>
      <c r="F12" s="5" t="s">
        <v>92</v>
      </c>
      <c r="G12" s="6">
        <v>4.5999999999999996</v>
      </c>
    </row>
    <row r="13" spans="2:7">
      <c r="B13" s="5" t="s">
        <v>39</v>
      </c>
      <c r="C13" s="1">
        <v>656</v>
      </c>
      <c r="D13" s="1">
        <v>3</v>
      </c>
      <c r="E13" s="6">
        <v>2</v>
      </c>
      <c r="F13" s="5" t="s">
        <v>82</v>
      </c>
      <c r="G13" s="6">
        <v>6.61</v>
      </c>
    </row>
    <row r="14" spans="2:7">
      <c r="B14" s="5" t="s">
        <v>14</v>
      </c>
      <c r="C14" s="1">
        <v>500</v>
      </c>
      <c r="E14" s="6">
        <v>2</v>
      </c>
      <c r="F14" s="5" t="s">
        <v>96</v>
      </c>
      <c r="G14" s="6">
        <v>2.4500000000000002</v>
      </c>
    </row>
    <row r="15" spans="2:7">
      <c r="B15" s="5" t="s">
        <v>18</v>
      </c>
      <c r="C15" s="1">
        <v>330</v>
      </c>
      <c r="E15" s="6">
        <v>2</v>
      </c>
      <c r="F15" s="5" t="s">
        <v>64</v>
      </c>
      <c r="G15" s="6">
        <v>1.51</v>
      </c>
    </row>
    <row r="16" spans="2:7">
      <c r="B16" s="5" t="s">
        <v>41</v>
      </c>
      <c r="C16" s="1">
        <v>250</v>
      </c>
      <c r="E16" s="6">
        <v>2</v>
      </c>
      <c r="F16" s="5"/>
      <c r="G16" s="6" t="s">
        <v>100</v>
      </c>
    </row>
    <row r="17" spans="2:7">
      <c r="B17" s="5" t="s">
        <v>35</v>
      </c>
      <c r="C17" s="1">
        <v>60</v>
      </c>
      <c r="E17" s="6">
        <v>2</v>
      </c>
      <c r="F17" s="5" t="s">
        <v>98</v>
      </c>
      <c r="G17" s="6">
        <v>6.62</v>
      </c>
    </row>
    <row r="18" spans="2:7">
      <c r="B18" s="5" t="s">
        <v>21</v>
      </c>
      <c r="C18" s="1">
        <v>2</v>
      </c>
      <c r="D18" s="1">
        <v>34</v>
      </c>
      <c r="E18" s="6"/>
      <c r="F18" s="5"/>
      <c r="G18" s="6" t="s">
        <v>100</v>
      </c>
    </row>
    <row r="19" spans="2:7">
      <c r="B19" s="5" t="s">
        <v>54</v>
      </c>
      <c r="C19" s="1">
        <v>0</v>
      </c>
      <c r="E19" s="6">
        <v>6</v>
      </c>
      <c r="F19" s="5"/>
      <c r="G19" s="6" t="s">
        <v>100</v>
      </c>
    </row>
    <row r="20" spans="2:7">
      <c r="B20" s="5" t="s">
        <v>42</v>
      </c>
      <c r="C20" s="1">
        <v>0</v>
      </c>
      <c r="E20" s="6">
        <v>2</v>
      </c>
      <c r="F20" s="5"/>
      <c r="G20" s="6" t="s">
        <v>100</v>
      </c>
    </row>
    <row r="21" spans="2:7">
      <c r="B21" s="5" t="s">
        <v>41</v>
      </c>
      <c r="D21" s="1">
        <v>2</v>
      </c>
      <c r="E21" s="6"/>
      <c r="F21" s="5"/>
      <c r="G21" s="6" t="s">
        <v>100</v>
      </c>
    </row>
    <row r="22" spans="2:7">
      <c r="B22" s="5" t="s">
        <v>42</v>
      </c>
      <c r="D22" s="1">
        <v>2</v>
      </c>
      <c r="E22" s="6"/>
      <c r="F22" s="5"/>
      <c r="G22" s="6" t="s">
        <v>100</v>
      </c>
    </row>
    <row r="23" spans="2:7">
      <c r="B23" s="5" t="s">
        <v>43</v>
      </c>
      <c r="D23" s="1">
        <v>12</v>
      </c>
      <c r="E23" s="6"/>
      <c r="F23" s="5" t="s">
        <v>75</v>
      </c>
      <c r="G23" s="6">
        <v>2.31</v>
      </c>
    </row>
    <row r="24" spans="2:7" ht="13.5" thickBot="1">
      <c r="B24" s="8" t="s">
        <v>14</v>
      </c>
      <c r="C24" s="9"/>
      <c r="D24" s="9">
        <v>2</v>
      </c>
      <c r="E24" s="10"/>
      <c r="F24" s="8" t="s">
        <v>99</v>
      </c>
      <c r="G24" s="10">
        <v>4.1100000000000003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77C4-C0B9-4C9B-8B20-8240DAFE9428}">
  <dimension ref="A1:Z16"/>
  <sheetViews>
    <sheetView workbookViewId="0">
      <pane xSplit="2" topLeftCell="D1" activePane="topRight" state="frozen"/>
      <selection pane="topRight" activeCell="W5" sqref="W5:W11"/>
    </sheetView>
  </sheetViews>
  <sheetFormatPr baseColWidth="10" defaultRowHeight="15"/>
  <cols>
    <col min="1" max="1" width="19.28515625" style="49" customWidth="1"/>
    <col min="2" max="2" width="14.28515625" style="49" bestFit="1" customWidth="1"/>
    <col min="3" max="3" width="8.85546875" style="49" customWidth="1"/>
    <col min="4" max="4" width="11.7109375" style="49" customWidth="1"/>
    <col min="5" max="5" width="8" style="49" customWidth="1"/>
    <col min="6" max="6" width="7.85546875" style="49" customWidth="1"/>
    <col min="7" max="7" width="8.5703125" style="49" customWidth="1"/>
    <col min="8" max="8" width="8" style="49" customWidth="1"/>
    <col min="9" max="9" width="8.85546875" style="49" customWidth="1"/>
    <col min="10" max="10" width="6" style="49" customWidth="1"/>
    <col min="11" max="11" width="7.42578125" style="49" customWidth="1"/>
    <col min="12" max="13" width="11.42578125" style="49"/>
    <col min="14" max="14" width="11.42578125" style="49" customWidth="1"/>
    <col min="15" max="15" width="9.85546875" style="49" customWidth="1"/>
    <col min="16" max="16" width="6.85546875" style="49" customWidth="1"/>
    <col min="17" max="17" width="8.42578125" style="49" customWidth="1"/>
    <col min="18" max="18" width="8" style="49" customWidth="1"/>
    <col min="19" max="20" width="7.7109375" style="49" customWidth="1"/>
    <col min="21" max="21" width="8.42578125" style="49" customWidth="1"/>
    <col min="22" max="22" width="11.42578125" style="49"/>
    <col min="23" max="23" width="18.7109375" style="49" customWidth="1"/>
    <col min="24" max="16384" width="11.42578125" style="49"/>
  </cols>
  <sheetData>
    <row r="1" spans="1:26" ht="15.75" thickBot="1"/>
    <row r="2" spans="1:26" ht="15.75" thickBot="1">
      <c r="D2" s="196" t="s">
        <v>142</v>
      </c>
      <c r="E2" s="197"/>
      <c r="F2" s="197"/>
      <c r="G2" s="197"/>
      <c r="H2" s="197"/>
      <c r="I2" s="197"/>
      <c r="J2" s="197"/>
      <c r="K2" s="198"/>
      <c r="N2" s="196" t="s">
        <v>149</v>
      </c>
      <c r="O2" s="197"/>
      <c r="P2" s="197"/>
      <c r="Q2" s="197"/>
      <c r="R2" s="197"/>
      <c r="S2" s="197"/>
      <c r="T2" s="197"/>
      <c r="U2" s="197"/>
      <c r="V2" s="198"/>
    </row>
    <row r="3" spans="1:26" ht="15.75" customHeight="1">
      <c r="D3" s="206" t="s">
        <v>47</v>
      </c>
      <c r="E3" s="199" t="s">
        <v>157</v>
      </c>
      <c r="F3" s="199"/>
      <c r="G3" s="199"/>
      <c r="H3" s="200" t="s">
        <v>158</v>
      </c>
      <c r="I3" s="200"/>
      <c r="J3" s="200"/>
      <c r="K3" s="201"/>
      <c r="L3" s="205" t="s">
        <v>148</v>
      </c>
      <c r="M3" s="205"/>
      <c r="N3" s="203" t="s">
        <v>137</v>
      </c>
      <c r="O3" s="204" t="s">
        <v>138</v>
      </c>
      <c r="P3" s="202" t="s">
        <v>157</v>
      </c>
      <c r="Q3" s="202"/>
      <c r="R3" s="202"/>
      <c r="S3" s="200" t="s">
        <v>158</v>
      </c>
      <c r="T3" s="200"/>
      <c r="U3" s="200"/>
      <c r="V3" s="201"/>
      <c r="X3" s="195" t="s">
        <v>160</v>
      </c>
      <c r="Y3" s="195"/>
      <c r="Z3" s="195"/>
    </row>
    <row r="4" spans="1:26" s="56" customFormat="1" ht="45" customHeight="1">
      <c r="A4" s="54" t="s">
        <v>0</v>
      </c>
      <c r="B4" s="54" t="s">
        <v>58</v>
      </c>
      <c r="C4" s="57" t="s">
        <v>101</v>
      </c>
      <c r="D4" s="207"/>
      <c r="E4" s="67" t="s">
        <v>152</v>
      </c>
      <c r="F4" s="67" t="s">
        <v>154</v>
      </c>
      <c r="G4" s="67" t="s">
        <v>153</v>
      </c>
      <c r="H4" s="72" t="s">
        <v>144</v>
      </c>
      <c r="I4" s="72" t="s">
        <v>155</v>
      </c>
      <c r="J4" s="72" t="s">
        <v>156</v>
      </c>
      <c r="K4" s="73" t="s">
        <v>146</v>
      </c>
      <c r="L4" s="64" t="s">
        <v>143</v>
      </c>
      <c r="M4" s="79" t="s">
        <v>144</v>
      </c>
      <c r="N4" s="203"/>
      <c r="O4" s="204"/>
      <c r="P4" s="87" t="s">
        <v>48</v>
      </c>
      <c r="Q4" s="87" t="s">
        <v>145</v>
      </c>
      <c r="R4" s="87" t="s">
        <v>139</v>
      </c>
      <c r="S4" s="72" t="s">
        <v>49</v>
      </c>
      <c r="T4" s="72" t="s">
        <v>141</v>
      </c>
      <c r="U4" s="72" t="s">
        <v>140</v>
      </c>
      <c r="V4" s="73" t="s">
        <v>147</v>
      </c>
      <c r="X4" s="54" t="s">
        <v>150</v>
      </c>
      <c r="Y4" s="54" t="s">
        <v>151</v>
      </c>
      <c r="Z4" s="54" t="s">
        <v>161</v>
      </c>
    </row>
    <row r="5" spans="1:26">
      <c r="A5" s="98" t="s">
        <v>51</v>
      </c>
      <c r="B5" s="51" t="s">
        <v>63</v>
      </c>
      <c r="C5" s="58">
        <v>6.82</v>
      </c>
      <c r="D5" s="59">
        <v>17046</v>
      </c>
      <c r="E5" s="68">
        <v>59</v>
      </c>
      <c r="F5" s="68">
        <f t="shared" ref="F5:F11" si="0">+D5-I5</f>
        <v>6981</v>
      </c>
      <c r="G5" s="69">
        <f t="shared" ref="G5:G11" si="1">+(D5-I5)/E5</f>
        <v>118.32203389830508</v>
      </c>
      <c r="H5" s="74">
        <v>22</v>
      </c>
      <c r="I5" s="74">
        <f t="shared" ref="I5:I11" si="2">+J5*H5*30.5</f>
        <v>10065</v>
      </c>
      <c r="J5" s="75">
        <v>15</v>
      </c>
      <c r="K5" s="76">
        <f t="shared" ref="K5:K11" si="3">+I5/30.5</f>
        <v>330</v>
      </c>
      <c r="L5" s="65">
        <f t="shared" ref="L5:L11" si="4">+F5/D5</f>
        <v>0.40953889475536781</v>
      </c>
      <c r="M5" s="80">
        <f t="shared" ref="M5:M11" si="5">+I5/D5</f>
        <v>0.59046110524463213</v>
      </c>
      <c r="N5" s="83">
        <v>0.2</v>
      </c>
      <c r="O5" s="82">
        <f t="shared" ref="O5:O11" si="6">+D5-D5*N5</f>
        <v>13636.8</v>
      </c>
      <c r="P5" s="88">
        <v>59</v>
      </c>
      <c r="Q5" s="89">
        <f>+O5*L5</f>
        <v>5584.7999999999993</v>
      </c>
      <c r="R5" s="89">
        <f>+Q5/P5</f>
        <v>94.657627118644058</v>
      </c>
      <c r="S5" s="74">
        <v>22</v>
      </c>
      <c r="T5" s="75">
        <f>+O5*M5</f>
        <v>8051.9999999999991</v>
      </c>
      <c r="U5" s="75">
        <f>+T5/S5/30.5</f>
        <v>11.999999999999998</v>
      </c>
      <c r="V5" s="92">
        <f>+T5/30.5</f>
        <v>263.99999999999994</v>
      </c>
      <c r="W5" s="191">
        <f>+D5-O5</f>
        <v>3409.2000000000007</v>
      </c>
      <c r="X5" s="63">
        <f>+C5*D5</f>
        <v>116253.72</v>
      </c>
      <c r="Y5" s="63">
        <f>+C5*O5</f>
        <v>93002.975999999995</v>
      </c>
      <c r="Z5" s="95">
        <f>+X5-Y5</f>
        <v>23250.744000000006</v>
      </c>
    </row>
    <row r="6" spans="1:26">
      <c r="A6" s="98" t="s">
        <v>34</v>
      </c>
      <c r="B6" s="51" t="s">
        <v>59</v>
      </c>
      <c r="C6" s="58">
        <v>4.72</v>
      </c>
      <c r="D6" s="59">
        <v>17023</v>
      </c>
      <c r="E6" s="68">
        <v>98</v>
      </c>
      <c r="F6" s="68">
        <f t="shared" si="0"/>
        <v>10435</v>
      </c>
      <c r="G6" s="69">
        <f t="shared" si="1"/>
        <v>106.4795918367347</v>
      </c>
      <c r="H6" s="52">
        <v>54</v>
      </c>
      <c r="I6" s="74">
        <f t="shared" si="2"/>
        <v>6588</v>
      </c>
      <c r="J6" s="52">
        <v>4</v>
      </c>
      <c r="K6" s="76">
        <f t="shared" si="3"/>
        <v>216</v>
      </c>
      <c r="L6" s="65">
        <f t="shared" si="4"/>
        <v>0.61299418433883568</v>
      </c>
      <c r="M6" s="80">
        <f t="shared" si="5"/>
        <v>0.38700581566116432</v>
      </c>
      <c r="N6" s="84">
        <v>0.15</v>
      </c>
      <c r="O6" s="82">
        <f t="shared" si="6"/>
        <v>14469.55</v>
      </c>
      <c r="P6" s="88">
        <v>98</v>
      </c>
      <c r="Q6" s="89">
        <f t="shared" ref="Q6:Q11" si="7">+O6*L6</f>
        <v>8869.75</v>
      </c>
      <c r="R6" s="89">
        <f t="shared" ref="R6:R11" si="8">+Q6/P6</f>
        <v>90.507653061224488</v>
      </c>
      <c r="S6" s="52">
        <v>54</v>
      </c>
      <c r="T6" s="75">
        <f t="shared" ref="T6:T11" si="9">+O6*M6</f>
        <v>5599.8</v>
      </c>
      <c r="U6" s="53">
        <f t="shared" ref="U6:U11" si="10">+T6/S6/30.5</f>
        <v>3.4</v>
      </c>
      <c r="V6" s="92">
        <f t="shared" ref="V6:V11" si="11">+T6/30.5</f>
        <v>183.6</v>
      </c>
      <c r="W6" s="191">
        <f t="shared" ref="W6:W11" si="12">+D6-O6</f>
        <v>2553.4500000000007</v>
      </c>
      <c r="X6" s="63">
        <f t="shared" ref="X6:X11" si="13">+C6*D6</f>
        <v>80348.56</v>
      </c>
      <c r="Y6" s="63">
        <f t="shared" ref="Y6:Y11" si="14">+C6*O6</f>
        <v>68296.275999999998</v>
      </c>
      <c r="Z6" s="95">
        <f t="shared" ref="Z6:Z10" si="15">+X6-Y6</f>
        <v>12052.284</v>
      </c>
    </row>
    <row r="7" spans="1:26">
      <c r="A7" s="98" t="s">
        <v>52</v>
      </c>
      <c r="B7" s="51" t="s">
        <v>70</v>
      </c>
      <c r="C7" s="58">
        <v>3.7</v>
      </c>
      <c r="D7" s="59">
        <v>15147</v>
      </c>
      <c r="E7" s="68">
        <v>130</v>
      </c>
      <c r="F7" s="68">
        <f t="shared" si="0"/>
        <v>12097</v>
      </c>
      <c r="G7" s="69">
        <f t="shared" si="1"/>
        <v>93.053846153846152</v>
      </c>
      <c r="H7" s="74">
        <v>20</v>
      </c>
      <c r="I7" s="74">
        <f t="shared" si="2"/>
        <v>3050</v>
      </c>
      <c r="J7" s="74">
        <v>5</v>
      </c>
      <c r="K7" s="76">
        <f t="shared" si="3"/>
        <v>100</v>
      </c>
      <c r="L7" s="65">
        <f t="shared" si="4"/>
        <v>0.79863999471842606</v>
      </c>
      <c r="M7" s="80">
        <f t="shared" si="5"/>
        <v>0.20136000528157391</v>
      </c>
      <c r="N7" s="84">
        <v>0.15</v>
      </c>
      <c r="O7" s="82">
        <f t="shared" si="6"/>
        <v>12874.95</v>
      </c>
      <c r="P7" s="88">
        <v>130</v>
      </c>
      <c r="Q7" s="89">
        <f t="shared" si="7"/>
        <v>10282.450000000001</v>
      </c>
      <c r="R7" s="89">
        <f t="shared" si="8"/>
        <v>79.095769230769235</v>
      </c>
      <c r="S7" s="74">
        <v>20</v>
      </c>
      <c r="T7" s="75">
        <f t="shared" si="9"/>
        <v>2592.5</v>
      </c>
      <c r="U7" s="75">
        <f t="shared" si="10"/>
        <v>4.25</v>
      </c>
      <c r="V7" s="92">
        <f t="shared" si="11"/>
        <v>85</v>
      </c>
      <c r="W7" s="191">
        <f t="shared" si="12"/>
        <v>2272.0499999999993</v>
      </c>
      <c r="X7" s="63">
        <f t="shared" si="13"/>
        <v>56043.9</v>
      </c>
      <c r="Y7" s="63">
        <f t="shared" si="14"/>
        <v>47637.315000000002</v>
      </c>
      <c r="Z7" s="95">
        <f t="shared" si="15"/>
        <v>8406.5849999999991</v>
      </c>
    </row>
    <row r="8" spans="1:26">
      <c r="A8" s="98" t="s">
        <v>21</v>
      </c>
      <c r="B8" s="51" t="s">
        <v>71</v>
      </c>
      <c r="C8" s="58">
        <v>4.0199999999999996</v>
      </c>
      <c r="D8" s="59">
        <v>6662</v>
      </c>
      <c r="E8" s="68">
        <v>9</v>
      </c>
      <c r="F8" s="68">
        <f t="shared" si="0"/>
        <v>1538</v>
      </c>
      <c r="G8" s="69">
        <f t="shared" si="1"/>
        <v>170.88888888888889</v>
      </c>
      <c r="H8" s="74">
        <v>14</v>
      </c>
      <c r="I8" s="74">
        <f t="shared" si="2"/>
        <v>5124</v>
      </c>
      <c r="J8" s="74">
        <v>12</v>
      </c>
      <c r="K8" s="76">
        <f t="shared" si="3"/>
        <v>168</v>
      </c>
      <c r="L8" s="65">
        <f t="shared" si="4"/>
        <v>0.23086160312218554</v>
      </c>
      <c r="M8" s="80">
        <f t="shared" si="5"/>
        <v>0.76913839687781449</v>
      </c>
      <c r="N8" s="84">
        <v>0.15</v>
      </c>
      <c r="O8" s="82">
        <f t="shared" si="6"/>
        <v>5662.7</v>
      </c>
      <c r="P8" s="88">
        <v>9</v>
      </c>
      <c r="Q8" s="89">
        <f>+O8*L8</f>
        <v>1307.3</v>
      </c>
      <c r="R8" s="89">
        <f>+Q8/P8</f>
        <v>145.25555555555556</v>
      </c>
      <c r="S8" s="74">
        <v>14</v>
      </c>
      <c r="T8" s="75">
        <f>+O8*M8</f>
        <v>4355.3999999999996</v>
      </c>
      <c r="U8" s="75">
        <f>+T8/S8/30.5</f>
        <v>10.199999999999999</v>
      </c>
      <c r="V8" s="92">
        <f>+T8/30.5</f>
        <v>142.79999999999998</v>
      </c>
      <c r="W8" s="191">
        <f t="shared" si="12"/>
        <v>999.30000000000018</v>
      </c>
      <c r="X8" s="63">
        <f t="shared" si="13"/>
        <v>26781.239999999998</v>
      </c>
      <c r="Y8" s="63">
        <f t="shared" si="14"/>
        <v>22764.053999999996</v>
      </c>
      <c r="Z8" s="95">
        <f t="shared" si="15"/>
        <v>4017.1860000000015</v>
      </c>
    </row>
    <row r="9" spans="1:26">
      <c r="A9" s="98" t="s">
        <v>45</v>
      </c>
      <c r="B9" s="51" t="s">
        <v>61</v>
      </c>
      <c r="C9" s="58">
        <v>3.25</v>
      </c>
      <c r="D9" s="59">
        <v>7025</v>
      </c>
      <c r="E9" s="68">
        <v>156</v>
      </c>
      <c r="F9" s="68">
        <f t="shared" si="0"/>
        <v>6567.5</v>
      </c>
      <c r="G9" s="69">
        <f t="shared" si="1"/>
        <v>42.099358974358971</v>
      </c>
      <c r="H9" s="74">
        <v>1</v>
      </c>
      <c r="I9" s="74">
        <f t="shared" si="2"/>
        <v>457.5</v>
      </c>
      <c r="J9" s="74">
        <v>15</v>
      </c>
      <c r="K9" s="76">
        <f t="shared" si="3"/>
        <v>15</v>
      </c>
      <c r="L9" s="65">
        <f t="shared" si="4"/>
        <v>0.93487544483985763</v>
      </c>
      <c r="M9" s="80">
        <f t="shared" si="5"/>
        <v>6.5124555160142344E-2</v>
      </c>
      <c r="N9" s="84">
        <v>0.2</v>
      </c>
      <c r="O9" s="82">
        <f t="shared" si="6"/>
        <v>5620</v>
      </c>
      <c r="P9" s="88">
        <v>156</v>
      </c>
      <c r="Q9" s="89">
        <f>+O9*L9</f>
        <v>5254</v>
      </c>
      <c r="R9" s="89">
        <f>+Q9/P9</f>
        <v>33.679487179487182</v>
      </c>
      <c r="S9" s="74">
        <v>1</v>
      </c>
      <c r="T9" s="75">
        <f>+O9*M9</f>
        <v>366</v>
      </c>
      <c r="U9" s="75">
        <f>+T9/S9/30.5</f>
        <v>12</v>
      </c>
      <c r="V9" s="92">
        <f>+T9/30.5</f>
        <v>12</v>
      </c>
      <c r="W9" s="191">
        <f t="shared" si="12"/>
        <v>1405</v>
      </c>
      <c r="X9" s="63">
        <f t="shared" si="13"/>
        <v>22831.25</v>
      </c>
      <c r="Y9" s="63">
        <f t="shared" si="14"/>
        <v>18265</v>
      </c>
      <c r="Z9" s="95">
        <f t="shared" si="15"/>
        <v>4566.25</v>
      </c>
    </row>
    <row r="10" spans="1:26">
      <c r="A10" s="98" t="s">
        <v>46</v>
      </c>
      <c r="B10" s="51" t="s">
        <v>74</v>
      </c>
      <c r="C10" s="58">
        <v>7.88</v>
      </c>
      <c r="D10" s="59">
        <v>4782</v>
      </c>
      <c r="E10" s="68">
        <v>44</v>
      </c>
      <c r="F10" s="68">
        <f t="shared" si="0"/>
        <v>2220</v>
      </c>
      <c r="G10" s="69">
        <f t="shared" si="1"/>
        <v>50.454545454545453</v>
      </c>
      <c r="H10" s="74">
        <v>7</v>
      </c>
      <c r="I10" s="74">
        <f t="shared" si="2"/>
        <v>2562</v>
      </c>
      <c r="J10" s="74">
        <v>12</v>
      </c>
      <c r="K10" s="76">
        <f t="shared" si="3"/>
        <v>84</v>
      </c>
      <c r="L10" s="65">
        <f t="shared" si="4"/>
        <v>0.46424090338770391</v>
      </c>
      <c r="M10" s="80">
        <f t="shared" si="5"/>
        <v>0.53575909661229615</v>
      </c>
      <c r="N10" s="84">
        <v>0.2</v>
      </c>
      <c r="O10" s="82">
        <f t="shared" si="6"/>
        <v>3825.6</v>
      </c>
      <c r="P10" s="88">
        <v>44</v>
      </c>
      <c r="Q10" s="89">
        <f t="shared" si="7"/>
        <v>1776</v>
      </c>
      <c r="R10" s="89">
        <f t="shared" si="8"/>
        <v>40.363636363636367</v>
      </c>
      <c r="S10" s="74">
        <v>7</v>
      </c>
      <c r="T10" s="75">
        <f t="shared" si="9"/>
        <v>2049.6</v>
      </c>
      <c r="U10" s="75">
        <f t="shared" si="10"/>
        <v>9.6</v>
      </c>
      <c r="V10" s="92">
        <f t="shared" si="11"/>
        <v>67.2</v>
      </c>
      <c r="W10" s="191">
        <f t="shared" si="12"/>
        <v>956.40000000000009</v>
      </c>
      <c r="X10" s="63">
        <f t="shared" si="13"/>
        <v>37682.159999999996</v>
      </c>
      <c r="Y10" s="63">
        <f t="shared" si="14"/>
        <v>30145.727999999999</v>
      </c>
      <c r="Z10" s="95">
        <f t="shared" si="15"/>
        <v>7536.4319999999971</v>
      </c>
    </row>
    <row r="11" spans="1:26" ht="15.75" thickBot="1">
      <c r="A11" s="98" t="s">
        <v>39</v>
      </c>
      <c r="B11" s="51" t="s">
        <v>67</v>
      </c>
      <c r="C11" s="58">
        <v>7.32</v>
      </c>
      <c r="D11" s="61">
        <v>4462</v>
      </c>
      <c r="E11" s="70">
        <v>40</v>
      </c>
      <c r="F11" s="70">
        <f t="shared" si="0"/>
        <v>1900</v>
      </c>
      <c r="G11" s="71">
        <f t="shared" si="1"/>
        <v>47.5</v>
      </c>
      <c r="H11" s="77">
        <v>14</v>
      </c>
      <c r="I11" s="77">
        <f t="shared" si="2"/>
        <v>2562</v>
      </c>
      <c r="J11" s="77">
        <v>6</v>
      </c>
      <c r="K11" s="78">
        <f t="shared" si="3"/>
        <v>84</v>
      </c>
      <c r="L11" s="66">
        <f t="shared" si="4"/>
        <v>0.42581801882563874</v>
      </c>
      <c r="M11" s="81">
        <f t="shared" si="5"/>
        <v>0.57418198117436126</v>
      </c>
      <c r="N11" s="85">
        <v>0.15</v>
      </c>
      <c r="O11" s="86">
        <f t="shared" si="6"/>
        <v>3792.7</v>
      </c>
      <c r="P11" s="90">
        <v>40</v>
      </c>
      <c r="Q11" s="91">
        <f t="shared" si="7"/>
        <v>1615</v>
      </c>
      <c r="R11" s="91">
        <f t="shared" si="8"/>
        <v>40.375</v>
      </c>
      <c r="S11" s="77">
        <v>14</v>
      </c>
      <c r="T11" s="93">
        <f t="shared" si="9"/>
        <v>2177.6999999999998</v>
      </c>
      <c r="U11" s="93">
        <f t="shared" si="10"/>
        <v>5.0999999999999996</v>
      </c>
      <c r="V11" s="94">
        <f t="shared" si="11"/>
        <v>71.399999999999991</v>
      </c>
      <c r="W11" s="191">
        <f t="shared" si="12"/>
        <v>669.30000000000018</v>
      </c>
      <c r="X11" s="63">
        <f t="shared" si="13"/>
        <v>32661.84</v>
      </c>
      <c r="Y11" s="63">
        <f t="shared" si="14"/>
        <v>27762.563999999998</v>
      </c>
      <c r="Z11" s="95">
        <f>+X11-Y11</f>
        <v>4899.2760000000017</v>
      </c>
    </row>
    <row r="12" spans="1:26">
      <c r="L12" s="50"/>
      <c r="X12" s="96">
        <f>SUM(X5:X11)</f>
        <v>372602.67</v>
      </c>
      <c r="Y12" s="96">
        <f t="shared" ref="Y12" si="16">SUM(Y5:Y11)</f>
        <v>307873.913</v>
      </c>
      <c r="Z12" s="96">
        <f>+X12-Y12</f>
        <v>64728.756999999983</v>
      </c>
    </row>
    <row r="13" spans="1:26">
      <c r="Z13" s="97">
        <f>+Z12/X12</f>
        <v>0.17372059357491987</v>
      </c>
    </row>
    <row r="15" spans="1:26">
      <c r="X15" s="95">
        <f>+'PUNTOS DE INYECCIÓN'!J4</f>
        <v>404438.44</v>
      </c>
      <c r="Y15" s="95">
        <f>+X15-Z15</f>
        <v>339709.68300000002</v>
      </c>
      <c r="Z15" s="96">
        <f>+Z12</f>
        <v>64728.756999999983</v>
      </c>
    </row>
    <row r="16" spans="1:26">
      <c r="Z16" s="112">
        <f>+Z15/X15</f>
        <v>0.16004600601268262</v>
      </c>
    </row>
  </sheetData>
  <mergeCells count="11">
    <mergeCell ref="X3:Z3"/>
    <mergeCell ref="N2:V2"/>
    <mergeCell ref="E3:G3"/>
    <mergeCell ref="H3:K3"/>
    <mergeCell ref="P3:R3"/>
    <mergeCell ref="S3:V3"/>
    <mergeCell ref="N3:N4"/>
    <mergeCell ref="O3:O4"/>
    <mergeCell ref="D2:K2"/>
    <mergeCell ref="L3:M3"/>
    <mergeCell ref="D3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AE5F-38F9-4CBF-8853-E67B7AA8A699}">
  <dimension ref="A1:Z12"/>
  <sheetViews>
    <sheetView workbookViewId="0">
      <pane xSplit="2" topLeftCell="E1" activePane="topRight" state="frozen"/>
      <selection pane="topRight" activeCell="N23" sqref="N23"/>
    </sheetView>
  </sheetViews>
  <sheetFormatPr baseColWidth="10" defaultRowHeight="15"/>
  <cols>
    <col min="2" max="2" width="11.42578125" customWidth="1"/>
    <col min="3" max="3" width="11.42578125" style="49"/>
    <col min="4" max="4" width="11.7109375" style="49" customWidth="1"/>
    <col min="5" max="5" width="8" style="49" customWidth="1"/>
    <col min="6" max="6" width="7.85546875" style="49" customWidth="1"/>
    <col min="7" max="7" width="8.5703125" style="49" customWidth="1"/>
    <col min="8" max="8" width="8" style="49" customWidth="1"/>
    <col min="9" max="9" width="8.85546875" style="49" customWidth="1"/>
    <col min="10" max="10" width="6" style="49" customWidth="1"/>
    <col min="11" max="11" width="7.42578125" style="49" customWidth="1"/>
    <col min="12" max="14" width="11.42578125" style="49"/>
    <col min="15" max="15" width="9.85546875" style="49" customWidth="1"/>
    <col min="16" max="16" width="6.85546875" style="49" customWidth="1"/>
    <col min="17" max="17" width="8.42578125" style="49" customWidth="1"/>
    <col min="18" max="18" width="8" style="49" customWidth="1"/>
    <col min="19" max="20" width="7.7109375" style="49" customWidth="1"/>
    <col min="21" max="21" width="8.42578125" style="49" customWidth="1"/>
    <col min="22" max="22" width="11.42578125" style="49"/>
    <col min="23" max="23" width="12.85546875" style="49" customWidth="1"/>
    <col min="24" max="26" width="11.42578125" style="49"/>
  </cols>
  <sheetData>
    <row r="1" spans="1:26" ht="15.75" thickBot="1"/>
    <row r="2" spans="1:26" ht="15.75" thickBot="1">
      <c r="D2" s="196" t="s">
        <v>142</v>
      </c>
      <c r="E2" s="197"/>
      <c r="F2" s="197"/>
      <c r="G2" s="197"/>
      <c r="H2" s="197"/>
      <c r="I2" s="197"/>
      <c r="J2" s="197"/>
      <c r="K2" s="198"/>
      <c r="N2" s="196" t="s">
        <v>149</v>
      </c>
      <c r="O2" s="197"/>
      <c r="P2" s="197"/>
      <c r="Q2" s="197"/>
      <c r="R2" s="197"/>
      <c r="S2" s="197"/>
      <c r="T2" s="197"/>
      <c r="U2" s="197"/>
      <c r="V2" s="198"/>
    </row>
    <row r="3" spans="1:26" ht="15.75" thickBot="1">
      <c r="D3" s="206" t="s">
        <v>47</v>
      </c>
      <c r="E3" s="199" t="s">
        <v>157</v>
      </c>
      <c r="F3" s="199"/>
      <c r="G3" s="199"/>
      <c r="H3" s="200" t="s">
        <v>158</v>
      </c>
      <c r="I3" s="200"/>
      <c r="J3" s="200"/>
      <c r="K3" s="201"/>
      <c r="L3" s="205" t="s">
        <v>148</v>
      </c>
      <c r="M3" s="205"/>
      <c r="N3" s="203" t="s">
        <v>137</v>
      </c>
      <c r="O3" s="204" t="s">
        <v>138</v>
      </c>
      <c r="P3" s="202" t="s">
        <v>157</v>
      </c>
      <c r="Q3" s="202"/>
      <c r="R3" s="202"/>
      <c r="S3" s="200" t="s">
        <v>158</v>
      </c>
      <c r="T3" s="200"/>
      <c r="U3" s="200"/>
      <c r="V3" s="201"/>
      <c r="X3" s="195" t="s">
        <v>160</v>
      </c>
      <c r="Y3" s="195"/>
      <c r="Z3" s="195"/>
    </row>
    <row r="4" spans="1:26" ht="48">
      <c r="A4" s="102" t="s">
        <v>0</v>
      </c>
      <c r="B4" s="103" t="s">
        <v>58</v>
      </c>
      <c r="C4" s="99" t="s">
        <v>101</v>
      </c>
      <c r="D4" s="208"/>
      <c r="E4" s="67" t="s">
        <v>152</v>
      </c>
      <c r="F4" s="67" t="s">
        <v>154</v>
      </c>
      <c r="G4" s="67" t="s">
        <v>153</v>
      </c>
      <c r="H4" s="72" t="s">
        <v>144</v>
      </c>
      <c r="I4" s="72" t="s">
        <v>155</v>
      </c>
      <c r="J4" s="72" t="s">
        <v>156</v>
      </c>
      <c r="K4" s="73" t="s">
        <v>146</v>
      </c>
      <c r="L4" s="64" t="s">
        <v>143</v>
      </c>
      <c r="M4" s="79" t="s">
        <v>144</v>
      </c>
      <c r="N4" s="203"/>
      <c r="O4" s="204"/>
      <c r="P4" s="87" t="s">
        <v>48</v>
      </c>
      <c r="Q4" s="87" t="s">
        <v>145</v>
      </c>
      <c r="R4" s="87" t="s">
        <v>139</v>
      </c>
      <c r="S4" s="72" t="s">
        <v>49</v>
      </c>
      <c r="T4" s="72" t="s">
        <v>141</v>
      </c>
      <c r="U4" s="72" t="s">
        <v>140</v>
      </c>
      <c r="V4" s="73" t="s">
        <v>147</v>
      </c>
      <c r="W4" s="56"/>
      <c r="X4" s="54" t="s">
        <v>150</v>
      </c>
      <c r="Y4" s="54" t="s">
        <v>151</v>
      </c>
      <c r="Z4" s="54" t="s">
        <v>161</v>
      </c>
    </row>
    <row r="5" spans="1:26">
      <c r="A5" s="104" t="s">
        <v>51</v>
      </c>
      <c r="B5" s="101" t="s">
        <v>63</v>
      </c>
      <c r="C5" s="60">
        <v>6.82</v>
      </c>
      <c r="D5" s="100">
        <v>4977</v>
      </c>
      <c r="E5" s="68">
        <v>9</v>
      </c>
      <c r="F5" s="68">
        <f>+D5-I5</f>
        <v>1317</v>
      </c>
      <c r="G5" s="69">
        <f>+(D5-I5)/E5</f>
        <v>146.33333333333334</v>
      </c>
      <c r="H5" s="74">
        <v>8</v>
      </c>
      <c r="I5" s="74">
        <f>+J5*H5*30.5</f>
        <v>3660</v>
      </c>
      <c r="J5" s="75">
        <v>15</v>
      </c>
      <c r="K5" s="76">
        <f>+I5/30.5</f>
        <v>120</v>
      </c>
      <c r="L5" s="65">
        <f>+F5/D5</f>
        <v>0.26461723930078362</v>
      </c>
      <c r="M5" s="80">
        <f>+I5/D5</f>
        <v>0.73538276069921638</v>
      </c>
      <c r="N5" s="83">
        <v>0.15</v>
      </c>
      <c r="O5" s="82">
        <f>+D5-D5*N5</f>
        <v>4230.45</v>
      </c>
      <c r="P5" s="68">
        <v>9</v>
      </c>
      <c r="Q5" s="89">
        <f>+O5*L5</f>
        <v>1119.45</v>
      </c>
      <c r="R5" s="89">
        <f>+Q5/P5</f>
        <v>124.38333333333334</v>
      </c>
      <c r="S5" s="74">
        <v>8</v>
      </c>
      <c r="T5" s="75">
        <f>+O5*M5</f>
        <v>3111</v>
      </c>
      <c r="U5" s="75">
        <f>+T5/S5/30.5</f>
        <v>12.75</v>
      </c>
      <c r="V5" s="92">
        <f>+T5/30.5</f>
        <v>102</v>
      </c>
      <c r="W5" s="191">
        <f>+D5-O5</f>
        <v>746.55000000000018</v>
      </c>
      <c r="X5" s="63">
        <f>+C5*D5</f>
        <v>33943.14</v>
      </c>
      <c r="Y5" s="63">
        <f>+C5*O5</f>
        <v>28851.669000000002</v>
      </c>
      <c r="Z5" s="95">
        <f>+X5-Y5</f>
        <v>5091.4709999999977</v>
      </c>
    </row>
    <row r="6" spans="1:26">
      <c r="A6" s="104" t="s">
        <v>34</v>
      </c>
      <c r="B6" s="101" t="s">
        <v>97</v>
      </c>
      <c r="C6" s="60">
        <v>2.84</v>
      </c>
      <c r="D6" s="100">
        <v>2185</v>
      </c>
      <c r="E6" s="68">
        <v>21</v>
      </c>
      <c r="F6" s="68">
        <f>+D6-I6</f>
        <v>965</v>
      </c>
      <c r="G6" s="69">
        <f>+(D6-I6)/E6</f>
        <v>45.952380952380949</v>
      </c>
      <c r="H6" s="74">
        <v>8</v>
      </c>
      <c r="I6" s="74">
        <f>+J6*H6*30.5</f>
        <v>1220</v>
      </c>
      <c r="J6" s="74">
        <v>5</v>
      </c>
      <c r="K6" s="76">
        <f>+I6/30.5</f>
        <v>40</v>
      </c>
      <c r="L6" s="65">
        <f>+F6/D6</f>
        <v>0.4416475972540046</v>
      </c>
      <c r="M6" s="80">
        <f>+I6/D6</f>
        <v>0.5583524027459954</v>
      </c>
      <c r="N6" s="84">
        <v>0.1</v>
      </c>
      <c r="O6" s="82">
        <f>+D6-D6*N6</f>
        <v>1966.5</v>
      </c>
      <c r="P6" s="68">
        <v>21</v>
      </c>
      <c r="Q6" s="89">
        <f t="shared" ref="Q6" si="0">+O6*L6</f>
        <v>868.5</v>
      </c>
      <c r="R6" s="89">
        <f t="shared" ref="R6" si="1">+Q6/P6</f>
        <v>41.357142857142854</v>
      </c>
      <c r="S6" s="74">
        <v>8</v>
      </c>
      <c r="T6" s="75">
        <f t="shared" ref="T6" si="2">+O6*M6</f>
        <v>1098</v>
      </c>
      <c r="U6" s="75">
        <f t="shared" ref="U6" si="3">+T6/S6/30.5</f>
        <v>4.5</v>
      </c>
      <c r="V6" s="92">
        <f t="shared" ref="V6" si="4">+T6/30.5</f>
        <v>36</v>
      </c>
      <c r="W6" s="191">
        <f t="shared" ref="W6:W7" si="5">+D6-O6</f>
        <v>218.5</v>
      </c>
      <c r="X6" s="63">
        <f t="shared" ref="X6:X7" si="6">+C6*D6</f>
        <v>6205.4</v>
      </c>
      <c r="Y6" s="63">
        <f t="shared" ref="Y6:Y7" si="7">+C6*O6</f>
        <v>5584.86</v>
      </c>
      <c r="Z6" s="95">
        <f t="shared" ref="Z6:Z7" si="8">+X6-Y6</f>
        <v>620.54</v>
      </c>
    </row>
    <row r="7" spans="1:26">
      <c r="A7" s="104" t="s">
        <v>39</v>
      </c>
      <c r="B7" s="101" t="s">
        <v>94</v>
      </c>
      <c r="C7" s="60">
        <v>7.2</v>
      </c>
      <c r="D7" s="100">
        <v>1176</v>
      </c>
      <c r="E7" s="68">
        <v>7</v>
      </c>
      <c r="F7" s="68">
        <f>+D7-I7</f>
        <v>1176</v>
      </c>
      <c r="G7" s="69">
        <f>+(D7-I7)/E7</f>
        <v>168</v>
      </c>
      <c r="H7" s="74">
        <v>4</v>
      </c>
      <c r="I7" s="74">
        <f>+J7*H7*30.5</f>
        <v>0</v>
      </c>
      <c r="J7" s="74">
        <v>0</v>
      </c>
      <c r="K7" s="76">
        <f>+I7/30.5</f>
        <v>0</v>
      </c>
      <c r="L7" s="65">
        <f>+F7/D7</f>
        <v>1</v>
      </c>
      <c r="M7" s="80">
        <f>+I7/D7</f>
        <v>0</v>
      </c>
      <c r="N7" s="84">
        <v>0.1</v>
      </c>
      <c r="O7" s="82">
        <f>+D7-D7*N7</f>
        <v>1058.4000000000001</v>
      </c>
      <c r="P7" s="68">
        <v>7</v>
      </c>
      <c r="Q7" s="89">
        <f>+O7*L7</f>
        <v>1058.4000000000001</v>
      </c>
      <c r="R7" s="89">
        <f>+Q7/P7</f>
        <v>151.20000000000002</v>
      </c>
      <c r="S7" s="74">
        <v>4</v>
      </c>
      <c r="T7" s="75">
        <f>+O7*M7</f>
        <v>0</v>
      </c>
      <c r="U7" s="75">
        <f>+T7/S7/30.5</f>
        <v>0</v>
      </c>
      <c r="V7" s="92">
        <f>+T7/30.5</f>
        <v>0</v>
      </c>
      <c r="W7" s="191">
        <f t="shared" si="5"/>
        <v>117.59999999999991</v>
      </c>
      <c r="X7" s="63">
        <f t="shared" si="6"/>
        <v>8467.2000000000007</v>
      </c>
      <c r="Y7" s="63">
        <f t="shared" si="7"/>
        <v>7620.4800000000005</v>
      </c>
      <c r="Z7" s="95">
        <f t="shared" si="8"/>
        <v>846.72000000000025</v>
      </c>
    </row>
    <row r="8" spans="1:26">
      <c r="L8" s="50"/>
      <c r="X8" s="96">
        <f>SUM(X5:X7)</f>
        <v>48615.740000000005</v>
      </c>
      <c r="Y8" s="96">
        <f>SUM(Y5:Y7)</f>
        <v>42057.009000000005</v>
      </c>
      <c r="Z8" s="96">
        <f>SUM(Z5:Z7)</f>
        <v>6558.7309999999979</v>
      </c>
    </row>
    <row r="9" spans="1:26">
      <c r="Z9" s="97">
        <f>+Z8/X8</f>
        <v>0.13490961980626023</v>
      </c>
    </row>
    <row r="11" spans="1:26">
      <c r="X11" s="95">
        <f>+'PUNTOS DE INYECCIÓN'!J81</f>
        <v>54929.569999999992</v>
      </c>
      <c r="Y11" s="95">
        <f>+X11-Z11</f>
        <v>48370.838999999993</v>
      </c>
      <c r="Z11" s="95">
        <f>+Z8</f>
        <v>6558.7309999999979</v>
      </c>
    </row>
    <row r="12" spans="1:26">
      <c r="Z12" s="113">
        <f>+Z11/X11</f>
        <v>0.11940255494444975</v>
      </c>
    </row>
  </sheetData>
  <mergeCells count="11">
    <mergeCell ref="X3:Z3"/>
    <mergeCell ref="D2:K2"/>
    <mergeCell ref="N2:V2"/>
    <mergeCell ref="D3:D4"/>
    <mergeCell ref="E3:G3"/>
    <mergeCell ref="H3:K3"/>
    <mergeCell ref="L3:M3"/>
    <mergeCell ref="N3:N4"/>
    <mergeCell ref="O3:O4"/>
    <mergeCell ref="P3:R3"/>
    <mergeCell ref="S3: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1E34-EF49-4BD7-9E69-9F9BD9695F8D}">
  <dimension ref="B2:I26"/>
  <sheetViews>
    <sheetView showGridLines="0" tabSelected="1" zoomScale="80" zoomScaleNormal="80" workbookViewId="0">
      <selection activeCell="B3" sqref="B3:B13"/>
    </sheetView>
  </sheetViews>
  <sheetFormatPr baseColWidth="10" defaultColWidth="22.5703125" defaultRowHeight="16.5"/>
  <cols>
    <col min="1" max="2" width="22.5703125" style="185"/>
    <col min="3" max="3" width="13.28515625" style="185" customWidth="1"/>
    <col min="4" max="4" width="41.42578125" style="185" customWidth="1"/>
    <col min="5" max="5" width="19.5703125" style="185" customWidth="1"/>
    <col min="6" max="6" width="14" style="185" customWidth="1"/>
    <col min="7" max="8" width="22.5703125" style="185"/>
    <col min="9" max="9" width="15.42578125" style="185" bestFit="1" customWidth="1"/>
    <col min="10" max="16384" width="22.5703125" style="185"/>
  </cols>
  <sheetData>
    <row r="2" spans="2:9" s="189" customFormat="1" ht="43.5" customHeight="1">
      <c r="C2" s="190" t="s">
        <v>102</v>
      </c>
      <c r="D2" s="190" t="s">
        <v>203</v>
      </c>
      <c r="E2" s="190" t="s">
        <v>204</v>
      </c>
      <c r="F2" s="190" t="s">
        <v>207</v>
      </c>
      <c r="G2" s="190" t="s">
        <v>206</v>
      </c>
      <c r="H2" s="190" t="s">
        <v>210</v>
      </c>
      <c r="I2" s="190" t="s">
        <v>205</v>
      </c>
    </row>
    <row r="3" spans="2:9">
      <c r="B3" s="185" t="s">
        <v>211</v>
      </c>
      <c r="C3" s="210" t="s">
        <v>183</v>
      </c>
      <c r="D3" s="186" t="s">
        <v>198</v>
      </c>
      <c r="E3" s="187">
        <f>+Ugar.!N5</f>
        <v>0.15</v>
      </c>
      <c r="F3" s="192">
        <f>+Ugar.!W5</f>
        <v>746.55000000000018</v>
      </c>
      <c r="G3" s="188">
        <f>+Ugar.!Z5</f>
        <v>5091.4709999999977</v>
      </c>
      <c r="H3" s="209">
        <f>+F3+F4+F5</f>
        <v>1082.6500000000001</v>
      </c>
      <c r="I3" s="209">
        <f>+G3+G4+G5</f>
        <v>6558.7309999999979</v>
      </c>
    </row>
    <row r="4" spans="2:9">
      <c r="B4" s="185" t="s">
        <v>212</v>
      </c>
      <c r="C4" s="210"/>
      <c r="D4" s="186" t="s">
        <v>199</v>
      </c>
      <c r="E4" s="187">
        <f>+Ugar.!N6</f>
        <v>0.1</v>
      </c>
      <c r="F4" s="192">
        <f>+Ugar.!W6</f>
        <v>218.5</v>
      </c>
      <c r="G4" s="188">
        <f>+Ugar.!Z6</f>
        <v>620.54</v>
      </c>
      <c r="H4" s="209"/>
      <c r="I4" s="209"/>
    </row>
    <row r="5" spans="2:9">
      <c r="B5" s="185" t="s">
        <v>213</v>
      </c>
      <c r="C5" s="210"/>
      <c r="D5" s="186" t="s">
        <v>39</v>
      </c>
      <c r="E5" s="187">
        <f>+Ugar.!N7</f>
        <v>0.1</v>
      </c>
      <c r="F5" s="192">
        <f>+Ugar.!W7</f>
        <v>117.59999999999991</v>
      </c>
      <c r="G5" s="188">
        <f>+Ugar.!Z7</f>
        <v>846.72000000000025</v>
      </c>
      <c r="H5" s="209"/>
      <c r="I5" s="209"/>
    </row>
    <row r="6" spans="2:9">
      <c r="B6" s="185" t="s">
        <v>214</v>
      </c>
      <c r="C6" s="210" t="s">
        <v>196</v>
      </c>
      <c r="D6" s="186" t="s">
        <v>198</v>
      </c>
      <c r="E6" s="187">
        <f>+Barr!N5</f>
        <v>0.2</v>
      </c>
      <c r="F6" s="192">
        <f>+Barr!W5</f>
        <v>3409.2000000000007</v>
      </c>
      <c r="G6" s="188">
        <f>+Barr!Z5</f>
        <v>23250.744000000006</v>
      </c>
      <c r="H6" s="209">
        <f>+SUM(F6:F12)</f>
        <v>12264.7</v>
      </c>
      <c r="I6" s="209">
        <f>+SUM(G6:G12)</f>
        <v>64728.756999999998</v>
      </c>
    </row>
    <row r="7" spans="2:9">
      <c r="B7" s="185" t="s">
        <v>215</v>
      </c>
      <c r="C7" s="210"/>
      <c r="D7" s="186" t="s">
        <v>199</v>
      </c>
      <c r="E7" s="187">
        <f>+Barr!N6</f>
        <v>0.15</v>
      </c>
      <c r="F7" s="192">
        <f>+Barr!W6</f>
        <v>2553.4500000000007</v>
      </c>
      <c r="G7" s="188">
        <f>+Barr!Z6</f>
        <v>12052.284</v>
      </c>
      <c r="H7" s="209"/>
      <c r="I7" s="209"/>
    </row>
    <row r="8" spans="2:9">
      <c r="B8" s="185" t="s">
        <v>216</v>
      </c>
      <c r="C8" s="210"/>
      <c r="D8" s="186" t="s">
        <v>200</v>
      </c>
      <c r="E8" s="187">
        <f>+Barr!N7</f>
        <v>0.15</v>
      </c>
      <c r="F8" s="192">
        <f>+Barr!W7</f>
        <v>2272.0499999999993</v>
      </c>
      <c r="G8" s="188">
        <f>+Barr!Z7</f>
        <v>8406.5849999999991</v>
      </c>
      <c r="H8" s="209"/>
      <c r="I8" s="209"/>
    </row>
    <row r="9" spans="2:9">
      <c r="B9" s="185" t="s">
        <v>217</v>
      </c>
      <c r="C9" s="210"/>
      <c r="D9" s="186" t="s">
        <v>201</v>
      </c>
      <c r="E9" s="187">
        <f>+Barr!N8</f>
        <v>0.15</v>
      </c>
      <c r="F9" s="192">
        <f>+Barr!W8</f>
        <v>999.30000000000018</v>
      </c>
      <c r="G9" s="188">
        <f>+Barr!Z8</f>
        <v>4017.1860000000015</v>
      </c>
      <c r="H9" s="209"/>
      <c r="I9" s="209"/>
    </row>
    <row r="10" spans="2:9">
      <c r="B10" s="185" t="s">
        <v>218</v>
      </c>
      <c r="C10" s="210"/>
      <c r="D10" s="186" t="s">
        <v>45</v>
      </c>
      <c r="E10" s="187">
        <f>+Barr!N9</f>
        <v>0.2</v>
      </c>
      <c r="F10" s="192">
        <f>+Barr!W9</f>
        <v>1405</v>
      </c>
      <c r="G10" s="188">
        <f>+Barr!Z9</f>
        <v>4566.25</v>
      </c>
      <c r="H10" s="209"/>
      <c r="I10" s="209"/>
    </row>
    <row r="11" spans="2:9">
      <c r="B11" s="185" t="s">
        <v>219</v>
      </c>
      <c r="C11" s="210"/>
      <c r="D11" s="186" t="s">
        <v>46</v>
      </c>
      <c r="E11" s="187">
        <f>+Barr!N10</f>
        <v>0.2</v>
      </c>
      <c r="F11" s="192">
        <f>+Barr!W10</f>
        <v>956.40000000000009</v>
      </c>
      <c r="G11" s="188">
        <f>+Barr!Z10</f>
        <v>7536.4319999999971</v>
      </c>
      <c r="H11" s="209"/>
      <c r="I11" s="209"/>
    </row>
    <row r="12" spans="2:9">
      <c r="B12" s="185" t="s">
        <v>220</v>
      </c>
      <c r="C12" s="210"/>
      <c r="D12" s="186" t="s">
        <v>39</v>
      </c>
      <c r="E12" s="187">
        <f>+Barr!N11</f>
        <v>0.15</v>
      </c>
      <c r="F12" s="192">
        <f>+Barr!W11</f>
        <v>669.30000000000018</v>
      </c>
      <c r="G12" s="188">
        <f>+Barr!Z11</f>
        <v>4899.2760000000017</v>
      </c>
      <c r="H12" s="209"/>
      <c r="I12" s="209"/>
    </row>
    <row r="13" spans="2:9">
      <c r="B13" s="185" t="s">
        <v>221</v>
      </c>
      <c r="C13" s="210" t="s">
        <v>185</v>
      </c>
      <c r="D13" s="186" t="s">
        <v>200</v>
      </c>
      <c r="E13" s="187">
        <f>+LV!N5</f>
        <v>0.1</v>
      </c>
      <c r="F13" s="192">
        <f>+LV!W5</f>
        <v>1820.7999999999993</v>
      </c>
      <c r="G13" s="188">
        <f>+LV!Z5</f>
        <v>6736.9599999999991</v>
      </c>
      <c r="H13" s="209">
        <f>+SUM(F13:F16)</f>
        <v>4588.75</v>
      </c>
      <c r="I13" s="209">
        <f>+SUM(G13:G16)</f>
        <v>18096.6715</v>
      </c>
    </row>
    <row r="14" spans="2:9">
      <c r="C14" s="210"/>
      <c r="D14" s="186" t="s">
        <v>199</v>
      </c>
      <c r="E14" s="187">
        <f>+LV!N6</f>
        <v>0.1</v>
      </c>
      <c r="F14" s="192">
        <f>+LV!W6</f>
        <v>800.10000000000036</v>
      </c>
      <c r="G14" s="188">
        <f>+LV!Z6</f>
        <v>3600.4500000000007</v>
      </c>
      <c r="H14" s="209"/>
      <c r="I14" s="209"/>
    </row>
    <row r="15" spans="2:9">
      <c r="C15" s="210"/>
      <c r="D15" s="186" t="s">
        <v>30</v>
      </c>
      <c r="E15" s="187">
        <f>+LV!N7</f>
        <v>0.15</v>
      </c>
      <c r="F15" s="192">
        <f>+LV!W7</f>
        <v>1165.3500000000004</v>
      </c>
      <c r="G15" s="188">
        <f>+LV!Z7</f>
        <v>4533.2115000000013</v>
      </c>
      <c r="H15" s="209"/>
      <c r="I15" s="209"/>
    </row>
    <row r="16" spans="2:9">
      <c r="C16" s="210"/>
      <c r="D16" s="186" t="s">
        <v>201</v>
      </c>
      <c r="E16" s="187">
        <f>+LV!N8</f>
        <v>0.15</v>
      </c>
      <c r="F16" s="192">
        <f>+LV!W8</f>
        <v>802.5</v>
      </c>
      <c r="G16" s="188">
        <f>+LV!Z8</f>
        <v>3226.0499999999993</v>
      </c>
      <c r="H16" s="209"/>
      <c r="I16" s="209"/>
    </row>
    <row r="17" spans="3:9">
      <c r="C17" s="210" t="s">
        <v>186</v>
      </c>
      <c r="D17" s="186" t="s">
        <v>202</v>
      </c>
      <c r="E17" s="187">
        <f>+MGÜE!N7</f>
        <v>0.2</v>
      </c>
      <c r="F17" s="192">
        <f>+MGÜE!W5+MGÜE!W6+MGÜE!W7</f>
        <v>5350.2463980000011</v>
      </c>
      <c r="G17" s="188">
        <f>+MGÜE!Z5+MGÜE!Z6+MGÜE!Z7</f>
        <v>27144.118952720011</v>
      </c>
      <c r="H17" s="209">
        <f>+SUM(F17:F21)</f>
        <v>12367.981398</v>
      </c>
      <c r="I17" s="209">
        <f>+SUM(G17:G21)</f>
        <v>59286.810362719996</v>
      </c>
    </row>
    <row r="18" spans="3:9">
      <c r="C18" s="210"/>
      <c r="D18" s="186" t="s">
        <v>199</v>
      </c>
      <c r="E18" s="187">
        <f>+MGÜE!N13</f>
        <v>0.15</v>
      </c>
      <c r="F18" s="192">
        <f>+MGÜE!W13</f>
        <v>2274.7649999999994</v>
      </c>
      <c r="G18" s="188">
        <f>+MGÜE!Z13</f>
        <v>13830.571199999991</v>
      </c>
      <c r="H18" s="209"/>
      <c r="I18" s="209"/>
    </row>
    <row r="19" spans="3:9">
      <c r="C19" s="210"/>
      <c r="D19" s="186" t="s">
        <v>39</v>
      </c>
      <c r="E19" s="187">
        <f>+MGÜE!N14</f>
        <v>0.15</v>
      </c>
      <c r="F19" s="192">
        <f>+MGÜE!W14</f>
        <v>1765.2119999999995</v>
      </c>
      <c r="G19" s="188">
        <f>+MGÜE!Z14</f>
        <v>8296.4963999999964</v>
      </c>
      <c r="H19" s="209"/>
      <c r="I19" s="209"/>
    </row>
    <row r="20" spans="3:9">
      <c r="C20" s="210"/>
      <c r="D20" s="186" t="s">
        <v>201</v>
      </c>
      <c r="E20" s="187">
        <f>+MGÜE!N15</f>
        <v>0.15</v>
      </c>
      <c r="F20" s="192">
        <f>+MGÜE!W15</f>
        <v>1692.6689999999999</v>
      </c>
      <c r="G20" s="188">
        <f>+MGÜE!Z15</f>
        <v>5890.4881199999945</v>
      </c>
      <c r="H20" s="209"/>
      <c r="I20" s="209"/>
    </row>
    <row r="21" spans="3:9">
      <c r="C21" s="210"/>
      <c r="D21" s="186" t="s">
        <v>200</v>
      </c>
      <c r="E21" s="187">
        <f>+MGÜE!N16</f>
        <v>0.15</v>
      </c>
      <c r="F21" s="192">
        <f>+MGÜE!W16</f>
        <v>1285.0889999999999</v>
      </c>
      <c r="G21" s="188">
        <f>+MGÜE!Z16</f>
        <v>4125.1356900000028</v>
      </c>
      <c r="H21" s="209"/>
      <c r="I21" s="209"/>
    </row>
    <row r="22" spans="3:9">
      <c r="C22" s="210" t="s">
        <v>197</v>
      </c>
      <c r="D22" s="186" t="s">
        <v>200</v>
      </c>
      <c r="E22" s="187">
        <f>+Vizca!N5</f>
        <v>0.1</v>
      </c>
      <c r="F22" s="192">
        <f>+Vizca!W5</f>
        <v>3317.2000000000007</v>
      </c>
      <c r="G22" s="188">
        <f>+Vizca!Z5</f>
        <v>10648.212</v>
      </c>
      <c r="H22" s="209">
        <f>+SUM(F22:F25)</f>
        <v>8887.4499999999989</v>
      </c>
      <c r="I22" s="209">
        <f>+SUM(G22:G25)</f>
        <v>34436.597999999991</v>
      </c>
    </row>
    <row r="23" spans="3:9">
      <c r="C23" s="210"/>
      <c r="D23" s="186" t="s">
        <v>199</v>
      </c>
      <c r="E23" s="187">
        <f>+Vizca!N6</f>
        <v>0.15</v>
      </c>
      <c r="F23" s="192">
        <f>+Vizca!W6</f>
        <v>2278.0499999999993</v>
      </c>
      <c r="G23" s="188">
        <f>+Vizca!Z6</f>
        <v>6469.6619999999966</v>
      </c>
      <c r="H23" s="209"/>
      <c r="I23" s="209"/>
    </row>
    <row r="24" spans="3:9">
      <c r="C24" s="210"/>
      <c r="D24" s="186" t="s">
        <v>201</v>
      </c>
      <c r="E24" s="187">
        <f>+Vizca!N7</f>
        <v>0.15</v>
      </c>
      <c r="F24" s="192">
        <f>+Vizca!W7</f>
        <v>1721.3999999999996</v>
      </c>
      <c r="G24" s="188">
        <f>+Vizca!Z7</f>
        <v>6920.0279999999984</v>
      </c>
      <c r="H24" s="209"/>
      <c r="I24" s="209"/>
    </row>
    <row r="25" spans="3:9">
      <c r="C25" s="210"/>
      <c r="D25" s="186" t="s">
        <v>198</v>
      </c>
      <c r="E25" s="187">
        <f>+Vizca!N8</f>
        <v>0.15</v>
      </c>
      <c r="F25" s="192">
        <f>+Vizca!W8</f>
        <v>1570.7999999999993</v>
      </c>
      <c r="G25" s="188">
        <f>+Vizca!Z8</f>
        <v>10398.695999999996</v>
      </c>
      <c r="H25" s="209"/>
      <c r="I25" s="209"/>
    </row>
    <row r="26" spans="3:9">
      <c r="C26" s="193"/>
      <c r="D26" s="193"/>
      <c r="E26" s="11" t="s">
        <v>209</v>
      </c>
      <c r="F26" s="194">
        <f>+SUM(F3:F25)</f>
        <v>39191.531398000006</v>
      </c>
      <c r="G26" s="194" t="s">
        <v>208</v>
      </c>
      <c r="H26" s="194">
        <f>+H22+H17+H13+H6+H3</f>
        <v>39191.531397999999</v>
      </c>
      <c r="I26" s="194">
        <f>+I22+I17+I13+I6+I3</f>
        <v>183107.56786271997</v>
      </c>
    </row>
  </sheetData>
  <mergeCells count="15">
    <mergeCell ref="H3:H5"/>
    <mergeCell ref="H6:H12"/>
    <mergeCell ref="H13:H16"/>
    <mergeCell ref="H17:H21"/>
    <mergeCell ref="H22:H25"/>
    <mergeCell ref="C3:C5"/>
    <mergeCell ref="C6:C12"/>
    <mergeCell ref="C13:C16"/>
    <mergeCell ref="C17:C21"/>
    <mergeCell ref="C22:C25"/>
    <mergeCell ref="I3:I5"/>
    <mergeCell ref="I6:I12"/>
    <mergeCell ref="I13:I16"/>
    <mergeCell ref="I17:I21"/>
    <mergeCell ref="I22:I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6173-89FC-4D3F-9970-4B072F839E48}">
  <dimension ref="A1:Z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W5" sqref="W5:W8"/>
    </sheetView>
  </sheetViews>
  <sheetFormatPr baseColWidth="10" defaultRowHeight="15"/>
  <cols>
    <col min="4" max="4" width="11.7109375" style="49" customWidth="1"/>
    <col min="5" max="5" width="8" style="49" customWidth="1"/>
    <col min="6" max="6" width="7.85546875" style="49" customWidth="1"/>
    <col min="7" max="7" width="8.5703125" style="49" customWidth="1"/>
    <col min="8" max="8" width="8" style="49" customWidth="1"/>
    <col min="9" max="9" width="8.85546875" style="49" customWidth="1"/>
    <col min="10" max="10" width="6" style="49" customWidth="1"/>
    <col min="11" max="11" width="7.42578125" style="49" customWidth="1"/>
    <col min="12" max="14" width="11.42578125" style="49"/>
    <col min="15" max="15" width="9.85546875" style="49" customWidth="1"/>
    <col min="16" max="16" width="6.85546875" style="49" customWidth="1"/>
    <col min="17" max="17" width="8.42578125" style="49" customWidth="1"/>
    <col min="18" max="18" width="8" style="49" customWidth="1"/>
    <col min="19" max="20" width="7.7109375" style="49" customWidth="1"/>
    <col min="21" max="21" width="8.42578125" style="49" customWidth="1"/>
    <col min="22" max="22" width="11.42578125" style="49"/>
    <col min="23" max="23" width="13.140625" style="49" customWidth="1"/>
    <col min="24" max="26" width="11.42578125" style="49"/>
  </cols>
  <sheetData>
    <row r="1" spans="1:26" ht="15.75" thickBot="1"/>
    <row r="2" spans="1:26" ht="15.75" thickBot="1">
      <c r="D2" s="196" t="s">
        <v>142</v>
      </c>
      <c r="E2" s="197"/>
      <c r="F2" s="197"/>
      <c r="G2" s="197"/>
      <c r="H2" s="197"/>
      <c r="I2" s="197"/>
      <c r="J2" s="197"/>
      <c r="K2" s="198"/>
      <c r="N2" s="196" t="s">
        <v>149</v>
      </c>
      <c r="O2" s="197"/>
      <c r="P2" s="197"/>
      <c r="Q2" s="197"/>
      <c r="R2" s="197"/>
      <c r="S2" s="197"/>
      <c r="T2" s="197"/>
      <c r="U2" s="197"/>
      <c r="V2" s="198"/>
    </row>
    <row r="3" spans="1:26">
      <c r="D3" s="206" t="s">
        <v>47</v>
      </c>
      <c r="E3" s="199" t="s">
        <v>157</v>
      </c>
      <c r="F3" s="199"/>
      <c r="G3" s="199"/>
      <c r="H3" s="200" t="s">
        <v>158</v>
      </c>
      <c r="I3" s="200"/>
      <c r="J3" s="200"/>
      <c r="K3" s="201"/>
      <c r="L3" s="205" t="s">
        <v>148</v>
      </c>
      <c r="M3" s="205"/>
      <c r="N3" s="203" t="s">
        <v>137</v>
      </c>
      <c r="O3" s="204" t="s">
        <v>138</v>
      </c>
      <c r="P3" s="202" t="s">
        <v>157</v>
      </c>
      <c r="Q3" s="202"/>
      <c r="R3" s="202"/>
      <c r="S3" s="200" t="s">
        <v>158</v>
      </c>
      <c r="T3" s="200"/>
      <c r="U3" s="200"/>
      <c r="V3" s="201"/>
      <c r="X3" s="195" t="s">
        <v>160</v>
      </c>
      <c r="Y3" s="195"/>
      <c r="Z3" s="195"/>
    </row>
    <row r="4" spans="1:26" s="109" customFormat="1" ht="64.5">
      <c r="A4" s="127" t="s">
        <v>0</v>
      </c>
      <c r="B4" s="127" t="s">
        <v>58</v>
      </c>
      <c r="C4" s="129" t="s">
        <v>101</v>
      </c>
      <c r="D4" s="207"/>
      <c r="E4" s="67" t="s">
        <v>152</v>
      </c>
      <c r="F4" s="67" t="s">
        <v>154</v>
      </c>
      <c r="G4" s="67" t="s">
        <v>153</v>
      </c>
      <c r="H4" s="72" t="s">
        <v>144</v>
      </c>
      <c r="I4" s="72" t="s">
        <v>155</v>
      </c>
      <c r="J4" s="72" t="s">
        <v>156</v>
      </c>
      <c r="K4" s="73" t="s">
        <v>146</v>
      </c>
      <c r="L4" s="64" t="s">
        <v>143</v>
      </c>
      <c r="M4" s="79" t="s">
        <v>144</v>
      </c>
      <c r="N4" s="203"/>
      <c r="O4" s="204"/>
      <c r="P4" s="87" t="s">
        <v>48</v>
      </c>
      <c r="Q4" s="87" t="s">
        <v>145</v>
      </c>
      <c r="R4" s="87" t="s">
        <v>139</v>
      </c>
      <c r="S4" s="72" t="s">
        <v>49</v>
      </c>
      <c r="T4" s="72" t="s">
        <v>141</v>
      </c>
      <c r="U4" s="72" t="s">
        <v>140</v>
      </c>
      <c r="V4" s="73" t="s">
        <v>147</v>
      </c>
      <c r="W4" s="56"/>
      <c r="X4" s="54" t="s">
        <v>150</v>
      </c>
      <c r="Y4" s="54" t="s">
        <v>151</v>
      </c>
      <c r="Z4" s="54" t="s">
        <v>161</v>
      </c>
    </row>
    <row r="5" spans="1:26">
      <c r="A5" s="128" t="s">
        <v>52</v>
      </c>
      <c r="B5" s="128" t="s">
        <v>70</v>
      </c>
      <c r="C5" s="130">
        <v>3.7</v>
      </c>
      <c r="D5" s="59">
        <v>18208</v>
      </c>
      <c r="E5" s="68">
        <v>70</v>
      </c>
      <c r="F5" s="68">
        <f>+D5-I5</f>
        <v>7533</v>
      </c>
      <c r="G5" s="69">
        <f>+(D5-I5)/E5</f>
        <v>107.61428571428571</v>
      </c>
      <c r="H5" s="74">
        <v>35</v>
      </c>
      <c r="I5" s="74">
        <f>+J5*H5*30.5</f>
        <v>10675</v>
      </c>
      <c r="J5" s="75">
        <v>10</v>
      </c>
      <c r="K5" s="76">
        <f>+I5/30.5</f>
        <v>350</v>
      </c>
      <c r="L5" s="65">
        <f>+F5/D5</f>
        <v>0.41371924428822493</v>
      </c>
      <c r="M5" s="80">
        <f>+I5/D5</f>
        <v>0.58628075571177507</v>
      </c>
      <c r="N5" s="83">
        <v>0.1</v>
      </c>
      <c r="O5" s="82">
        <f>+D5-D5*N5</f>
        <v>16387.2</v>
      </c>
      <c r="P5" s="88">
        <v>70</v>
      </c>
      <c r="Q5" s="89">
        <f>+O5*L5</f>
        <v>6779.7</v>
      </c>
      <c r="R5" s="89">
        <f>+Q5/P5</f>
        <v>96.852857142857147</v>
      </c>
      <c r="S5" s="74">
        <v>35</v>
      </c>
      <c r="T5" s="75">
        <f>+O5*M5</f>
        <v>9607.5</v>
      </c>
      <c r="U5" s="75">
        <f>+T5/S5/30.5</f>
        <v>9</v>
      </c>
      <c r="V5" s="92">
        <f>+T5/30.5</f>
        <v>315</v>
      </c>
      <c r="W5" s="191">
        <f>+D5-O5</f>
        <v>1820.7999999999993</v>
      </c>
      <c r="X5" s="63">
        <f>+C5*D5</f>
        <v>67369.600000000006</v>
      </c>
      <c r="Y5" s="63">
        <f>+C5*O5</f>
        <v>60632.640000000007</v>
      </c>
      <c r="Z5" s="95">
        <f>+X5-Y5</f>
        <v>6736.9599999999991</v>
      </c>
    </row>
    <row r="6" spans="1:26">
      <c r="A6" s="128" t="s">
        <v>34</v>
      </c>
      <c r="B6" s="128" t="s">
        <v>78</v>
      </c>
      <c r="C6" s="130">
        <v>4.5</v>
      </c>
      <c r="D6" s="59">
        <v>8001</v>
      </c>
      <c r="E6" s="68">
        <v>53</v>
      </c>
      <c r="F6" s="68">
        <f>+D6-I6</f>
        <v>5439</v>
      </c>
      <c r="G6" s="69">
        <f>+(D6-I6)/E6</f>
        <v>102.62264150943396</v>
      </c>
      <c r="H6" s="74">
        <v>12</v>
      </c>
      <c r="I6" s="74">
        <f>+J6*H6*30.5</f>
        <v>2562</v>
      </c>
      <c r="J6" s="74">
        <v>7</v>
      </c>
      <c r="K6" s="76">
        <f>+I6/30.5</f>
        <v>84</v>
      </c>
      <c r="L6" s="65">
        <f>+F6/D6</f>
        <v>0.67979002624671914</v>
      </c>
      <c r="M6" s="80">
        <f>+I6/D6</f>
        <v>0.32020997375328086</v>
      </c>
      <c r="N6" s="84">
        <v>0.1</v>
      </c>
      <c r="O6" s="82">
        <f>+D6-D6*N6</f>
        <v>7200.9</v>
      </c>
      <c r="P6" s="88">
        <v>53</v>
      </c>
      <c r="Q6" s="89">
        <f t="shared" ref="Q6:Q7" si="0">+O6*L6</f>
        <v>4895.0999999999995</v>
      </c>
      <c r="R6" s="89">
        <f t="shared" ref="R6:R7" si="1">+Q6/P6</f>
        <v>92.360377358490553</v>
      </c>
      <c r="S6" s="74">
        <v>12</v>
      </c>
      <c r="T6" s="75">
        <f t="shared" ref="T6:T7" si="2">+O6*M6</f>
        <v>2305.8000000000002</v>
      </c>
      <c r="U6" s="75">
        <f t="shared" ref="U6:U7" si="3">+T6/S6/30.5</f>
        <v>6.3</v>
      </c>
      <c r="V6" s="92">
        <f t="shared" ref="V6:V7" si="4">+T6/30.5</f>
        <v>75.600000000000009</v>
      </c>
      <c r="W6" s="191">
        <f t="shared" ref="W6:W8" si="5">+D6-O6</f>
        <v>800.10000000000036</v>
      </c>
      <c r="X6" s="63">
        <f t="shared" ref="X6:X8" si="6">+C6*D6</f>
        <v>36004.5</v>
      </c>
      <c r="Y6" s="63">
        <f t="shared" ref="Y6:Y8" si="7">+C6*O6</f>
        <v>32404.05</v>
      </c>
      <c r="Z6" s="95">
        <f t="shared" ref="Z6:Z8" si="8">+X6-Y6</f>
        <v>3600.4500000000007</v>
      </c>
    </row>
    <row r="7" spans="1:26">
      <c r="A7" s="128" t="s">
        <v>30</v>
      </c>
      <c r="B7" s="128" t="s">
        <v>68</v>
      </c>
      <c r="C7" s="130">
        <v>3.89</v>
      </c>
      <c r="D7" s="59">
        <v>7769</v>
      </c>
      <c r="E7" s="68">
        <v>2</v>
      </c>
      <c r="F7" s="68">
        <f>+D7-I7</f>
        <v>144</v>
      </c>
      <c r="G7" s="69">
        <f>+(D7-I7)/E7</f>
        <v>72</v>
      </c>
      <c r="H7" s="74">
        <v>10</v>
      </c>
      <c r="I7" s="74">
        <f>+J7*H7*30.5</f>
        <v>7625</v>
      </c>
      <c r="J7" s="74">
        <v>25</v>
      </c>
      <c r="K7" s="76">
        <f>+I7/30.5</f>
        <v>250</v>
      </c>
      <c r="L7" s="65">
        <f>+F7/D7</f>
        <v>1.8535204015960871E-2</v>
      </c>
      <c r="M7" s="80">
        <f>+I7/D7</f>
        <v>0.98146479598403913</v>
      </c>
      <c r="N7" s="84">
        <v>0.15</v>
      </c>
      <c r="O7" s="82">
        <f>+D7-D7*N7</f>
        <v>6603.65</v>
      </c>
      <c r="P7" s="88">
        <v>2</v>
      </c>
      <c r="Q7" s="89">
        <f t="shared" si="0"/>
        <v>122.4</v>
      </c>
      <c r="R7" s="89">
        <f t="shared" si="1"/>
        <v>61.2</v>
      </c>
      <c r="S7" s="74">
        <v>10</v>
      </c>
      <c r="T7" s="75">
        <f t="shared" si="2"/>
        <v>6481.25</v>
      </c>
      <c r="U7" s="75">
        <f t="shared" si="3"/>
        <v>21.25</v>
      </c>
      <c r="V7" s="92">
        <f t="shared" si="4"/>
        <v>212.5</v>
      </c>
      <c r="W7" s="191">
        <f t="shared" si="5"/>
        <v>1165.3500000000004</v>
      </c>
      <c r="X7" s="63">
        <f t="shared" si="6"/>
        <v>30221.41</v>
      </c>
      <c r="Y7" s="63">
        <f t="shared" si="7"/>
        <v>25688.198499999999</v>
      </c>
      <c r="Z7" s="95">
        <f t="shared" si="8"/>
        <v>4533.2115000000013</v>
      </c>
    </row>
    <row r="8" spans="1:26" ht="15.75" thickBot="1">
      <c r="A8" s="128" t="s">
        <v>21</v>
      </c>
      <c r="B8" s="128" t="s">
        <v>71</v>
      </c>
      <c r="C8" s="130">
        <v>4.0199999999999996</v>
      </c>
      <c r="D8" s="61">
        <v>5350</v>
      </c>
      <c r="E8" s="70">
        <v>3</v>
      </c>
      <c r="F8" s="70">
        <f>+D8-I8</f>
        <v>409</v>
      </c>
      <c r="G8" s="71">
        <f>+(D8-I8)/E8</f>
        <v>136.33333333333334</v>
      </c>
      <c r="H8" s="77">
        <v>9</v>
      </c>
      <c r="I8" s="77">
        <f>+J8*H8*30.5</f>
        <v>4941</v>
      </c>
      <c r="J8" s="77">
        <v>18</v>
      </c>
      <c r="K8" s="78">
        <f>+I8/30.5</f>
        <v>162</v>
      </c>
      <c r="L8" s="65">
        <f>+F8/D8</f>
        <v>7.6448598130841122E-2</v>
      </c>
      <c r="M8" s="80">
        <f>+I8/D8</f>
        <v>0.92355140186915885</v>
      </c>
      <c r="N8" s="84">
        <v>0.15</v>
      </c>
      <c r="O8" s="82">
        <f>+D8-D8*N8</f>
        <v>4547.5</v>
      </c>
      <c r="P8" s="88">
        <v>3</v>
      </c>
      <c r="Q8" s="89">
        <f>+O8*L8</f>
        <v>347.65</v>
      </c>
      <c r="R8" s="89">
        <f>+Q8/P8</f>
        <v>115.88333333333333</v>
      </c>
      <c r="S8" s="74">
        <v>9</v>
      </c>
      <c r="T8" s="75">
        <f>+O8*M8</f>
        <v>4199.8499999999995</v>
      </c>
      <c r="U8" s="75">
        <f>+T8/S8/30.5</f>
        <v>15.299999999999997</v>
      </c>
      <c r="V8" s="92">
        <f>+T8/30.5</f>
        <v>137.69999999999999</v>
      </c>
      <c r="W8" s="191">
        <f t="shared" si="5"/>
        <v>802.5</v>
      </c>
      <c r="X8" s="63">
        <f t="shared" si="6"/>
        <v>21506.999999999996</v>
      </c>
      <c r="Y8" s="63">
        <f t="shared" si="7"/>
        <v>18280.949999999997</v>
      </c>
      <c r="Z8" s="95">
        <f t="shared" si="8"/>
        <v>3226.0499999999993</v>
      </c>
    </row>
    <row r="9" spans="1:26">
      <c r="L9" s="50"/>
      <c r="X9" s="96">
        <f>SUM(X5:X8)</f>
        <v>155102.51</v>
      </c>
      <c r="Y9" s="96">
        <f>SUM(Y5:Y8)</f>
        <v>137005.83850000001</v>
      </c>
      <c r="Z9" s="96">
        <f>SUM(Z5:Z8)</f>
        <v>18096.6715</v>
      </c>
    </row>
    <row r="10" spans="1:26">
      <c r="Z10" s="97">
        <f>+Z9/X9</f>
        <v>0.11667555541170803</v>
      </c>
    </row>
    <row r="12" spans="1:26">
      <c r="X12" s="62">
        <f>+'PUNTOS DE INYECCIÓN'!J28</f>
        <v>243242.23999999999</v>
      </c>
      <c r="Y12" s="62">
        <f>+X12-Z12</f>
        <v>225145.56849999999</v>
      </c>
      <c r="Z12" s="62">
        <f>+Z9</f>
        <v>18096.6715</v>
      </c>
    </row>
    <row r="13" spans="1:26">
      <c r="Z13" s="97">
        <f>+Z12/X12</f>
        <v>7.4397734127098977E-2</v>
      </c>
    </row>
  </sheetData>
  <mergeCells count="11">
    <mergeCell ref="X3:Z3"/>
    <mergeCell ref="D2:K2"/>
    <mergeCell ref="N2:V2"/>
    <mergeCell ref="D3:D4"/>
    <mergeCell ref="E3:G3"/>
    <mergeCell ref="H3:K3"/>
    <mergeCell ref="L3:M3"/>
    <mergeCell ref="N3:N4"/>
    <mergeCell ref="O3:O4"/>
    <mergeCell ref="P3:R3"/>
    <mergeCell ref="S3: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CF50-44AA-4378-9075-C36EECE379B8}">
  <dimension ref="A1:AB25"/>
  <sheetViews>
    <sheetView workbookViewId="0">
      <pane xSplit="3" ySplit="3" topLeftCell="I4" activePane="bottomRight" state="frozen"/>
      <selection pane="topRight" activeCell="D1" sqref="D1"/>
      <selection pane="bottomLeft" activeCell="A4" sqref="A4"/>
      <selection pane="bottomRight" activeCell="K19" sqref="K19"/>
    </sheetView>
  </sheetViews>
  <sheetFormatPr baseColWidth="10" defaultRowHeight="15"/>
  <cols>
    <col min="1" max="1" width="13.7109375" customWidth="1"/>
    <col min="6" max="6" width="11.7109375" style="49" customWidth="1"/>
    <col min="7" max="7" width="8" style="49" customWidth="1"/>
    <col min="8" max="8" width="7.85546875" style="49" customWidth="1"/>
    <col min="9" max="9" width="8.5703125" style="49" customWidth="1"/>
    <col min="10" max="10" width="8" style="49" customWidth="1"/>
    <col min="11" max="11" width="8.85546875" style="49" customWidth="1"/>
    <col min="12" max="12" width="6" style="49" customWidth="1"/>
    <col min="13" max="13" width="7.42578125" style="49" customWidth="1"/>
    <col min="14" max="16" width="11.42578125" style="49"/>
    <col min="17" max="17" width="9.85546875" style="49" customWidth="1"/>
    <col min="18" max="18" width="6.85546875" style="49" customWidth="1"/>
    <col min="19" max="19" width="8.42578125" style="49" customWidth="1"/>
    <col min="20" max="20" width="8" style="49" customWidth="1"/>
    <col min="21" max="22" width="7.7109375" style="49" customWidth="1"/>
    <col min="23" max="23" width="8.42578125" style="49" customWidth="1"/>
    <col min="24" max="24" width="11.42578125" style="49"/>
    <col min="25" max="25" width="13.140625" style="49" customWidth="1"/>
    <col min="26" max="28" width="11.42578125" style="49"/>
  </cols>
  <sheetData>
    <row r="1" spans="1:28" ht="15.75" thickBot="1">
      <c r="D1" s="49"/>
      <c r="E1" s="49"/>
      <c r="AA1"/>
      <c r="AB1"/>
    </row>
    <row r="2" spans="1:28" ht="15.75" thickBot="1">
      <c r="D2" s="196" t="s">
        <v>142</v>
      </c>
      <c r="E2" s="197"/>
      <c r="F2" s="197"/>
      <c r="G2" s="197"/>
      <c r="H2" s="197"/>
      <c r="I2" s="197"/>
      <c r="J2" s="197"/>
      <c r="K2" s="198"/>
      <c r="N2" s="196" t="s">
        <v>149</v>
      </c>
      <c r="O2" s="197"/>
      <c r="P2" s="197"/>
      <c r="Q2" s="197"/>
      <c r="R2" s="197"/>
      <c r="S2" s="197"/>
      <c r="T2" s="197"/>
      <c r="U2" s="197"/>
      <c r="V2" s="198"/>
      <c r="AA2"/>
      <c r="AB2"/>
    </row>
    <row r="3" spans="1:28">
      <c r="D3" s="206" t="s">
        <v>47</v>
      </c>
      <c r="E3" s="199" t="s">
        <v>157</v>
      </c>
      <c r="F3" s="199"/>
      <c r="G3" s="199"/>
      <c r="H3" s="200" t="s">
        <v>158</v>
      </c>
      <c r="I3" s="200"/>
      <c r="J3" s="200"/>
      <c r="K3" s="201"/>
      <c r="L3" s="205" t="s">
        <v>148</v>
      </c>
      <c r="M3" s="205"/>
      <c r="N3" s="203" t="s">
        <v>137</v>
      </c>
      <c r="O3" s="204" t="s">
        <v>138</v>
      </c>
      <c r="P3" s="202" t="s">
        <v>157</v>
      </c>
      <c r="Q3" s="202"/>
      <c r="R3" s="202"/>
      <c r="S3" s="200" t="s">
        <v>158</v>
      </c>
      <c r="T3" s="200"/>
      <c r="U3" s="200"/>
      <c r="V3" s="201"/>
      <c r="X3" s="195" t="s">
        <v>160</v>
      </c>
      <c r="Y3" s="195"/>
      <c r="Z3" s="195"/>
      <c r="AA3"/>
      <c r="AB3"/>
    </row>
    <row r="4" spans="1:28" ht="48">
      <c r="D4" s="207"/>
      <c r="E4" s="67" t="s">
        <v>152</v>
      </c>
      <c r="F4" s="67" t="s">
        <v>154</v>
      </c>
      <c r="G4" s="67" t="s">
        <v>153</v>
      </c>
      <c r="H4" s="72" t="s">
        <v>144</v>
      </c>
      <c r="I4" s="72" t="s">
        <v>155</v>
      </c>
      <c r="J4" s="72" t="s">
        <v>156</v>
      </c>
      <c r="K4" s="73" t="s">
        <v>146</v>
      </c>
      <c r="L4" s="64" t="s">
        <v>143</v>
      </c>
      <c r="M4" s="79" t="s">
        <v>144</v>
      </c>
      <c r="N4" s="203"/>
      <c r="O4" s="204"/>
      <c r="P4" s="87" t="s">
        <v>48</v>
      </c>
      <c r="Q4" s="87" t="s">
        <v>145</v>
      </c>
      <c r="R4" s="87" t="s">
        <v>139</v>
      </c>
      <c r="S4" s="72" t="s">
        <v>49</v>
      </c>
      <c r="T4" s="72" t="s">
        <v>141</v>
      </c>
      <c r="U4" s="72" t="s">
        <v>140</v>
      </c>
      <c r="V4" s="73" t="s">
        <v>147</v>
      </c>
      <c r="W4" s="56"/>
      <c r="X4" s="54" t="s">
        <v>150</v>
      </c>
      <c r="Y4" s="54" t="s">
        <v>151</v>
      </c>
      <c r="Z4" s="54" t="s">
        <v>161</v>
      </c>
      <c r="AA4"/>
      <c r="AB4"/>
    </row>
    <row r="5" spans="1:28">
      <c r="A5" t="s">
        <v>53</v>
      </c>
      <c r="B5" t="s">
        <v>61</v>
      </c>
      <c r="C5">
        <v>3.25</v>
      </c>
      <c r="D5" s="123">
        <v>12907.000819999999</v>
      </c>
      <c r="E5" s="124"/>
      <c r="F5" s="124"/>
      <c r="G5" s="124"/>
      <c r="H5" s="125">
        <v>23</v>
      </c>
      <c r="I5" s="125">
        <f>+D5</f>
        <v>12907.000819999999</v>
      </c>
      <c r="J5" s="125">
        <f>+I5/H5/30.5</f>
        <v>18.39914585887384</v>
      </c>
      <c r="K5" s="126">
        <f>+I5/30.5</f>
        <v>423.18035475409835</v>
      </c>
      <c r="L5" s="65">
        <f>+F5/D5</f>
        <v>0</v>
      </c>
      <c r="M5" s="80">
        <f>+I5/D5</f>
        <v>1</v>
      </c>
      <c r="N5" s="83">
        <v>0.2</v>
      </c>
      <c r="O5" s="82">
        <f>+D5-D5*N5</f>
        <v>10325.600655999999</v>
      </c>
      <c r="P5" s="88"/>
      <c r="Q5" s="89"/>
      <c r="R5" s="89"/>
      <c r="S5" s="74">
        <v>23</v>
      </c>
      <c r="T5" s="75">
        <f>+O5*M5</f>
        <v>10325.600655999999</v>
      </c>
      <c r="U5" s="75">
        <f>+T5/S5/30.5</f>
        <v>14.719316687099072</v>
      </c>
      <c r="V5" s="92">
        <f>+T5/30.5</f>
        <v>338.54428380327863</v>
      </c>
      <c r="W5" s="191">
        <f>+D5-O5</f>
        <v>2581.4001640000006</v>
      </c>
      <c r="X5" s="63">
        <f>+D5*C5</f>
        <v>41947.752665</v>
      </c>
      <c r="Y5" s="63">
        <f>+O5*C5</f>
        <v>33558.202131999999</v>
      </c>
      <c r="Z5" s="95">
        <f>+X5-Y5</f>
        <v>8389.5505330000015</v>
      </c>
      <c r="AA5"/>
      <c r="AB5"/>
    </row>
    <row r="6" spans="1:28">
      <c r="A6" t="s">
        <v>53</v>
      </c>
      <c r="B6" t="s">
        <v>86</v>
      </c>
      <c r="C6">
        <v>7.22</v>
      </c>
      <c r="D6" s="123">
        <v>11059.31813</v>
      </c>
      <c r="E6" s="124">
        <v>1</v>
      </c>
      <c r="F6" s="124">
        <f>+D6-I6</f>
        <v>384.31812999999966</v>
      </c>
      <c r="G6" s="124">
        <f>+(D6-I6)/E6</f>
        <v>384.31812999999966</v>
      </c>
      <c r="H6" s="125">
        <v>10</v>
      </c>
      <c r="I6" s="125">
        <f>+J6*H6*30.5</f>
        <v>10675</v>
      </c>
      <c r="J6" s="125">
        <v>35</v>
      </c>
      <c r="K6" s="126">
        <f>+I6/30.5</f>
        <v>350</v>
      </c>
      <c r="L6" s="65">
        <f>+F6/D6</f>
        <v>3.4750617125072221E-2</v>
      </c>
      <c r="M6" s="80">
        <f>+I6/D6</f>
        <v>0.96524938287492779</v>
      </c>
      <c r="N6" s="84">
        <v>0.2</v>
      </c>
      <c r="O6" s="82">
        <f>+D6-D6*N6</f>
        <v>8847.4545039999994</v>
      </c>
      <c r="P6" s="88">
        <v>1</v>
      </c>
      <c r="Q6" s="89">
        <f t="shared" ref="Q6:Q7" si="0">+O6*L6</f>
        <v>307.45450399999976</v>
      </c>
      <c r="R6" s="89">
        <f t="shared" ref="R6:R7" si="1">+Q6/P6</f>
        <v>307.45450399999976</v>
      </c>
      <c r="S6" s="74">
        <v>10</v>
      </c>
      <c r="T6" s="75">
        <f t="shared" ref="T6:T7" si="2">+O6*M6</f>
        <v>8540</v>
      </c>
      <c r="U6" s="75">
        <f t="shared" ref="U6:U7" si="3">+T6/S6/30.5</f>
        <v>28</v>
      </c>
      <c r="V6" s="92">
        <f t="shared" ref="V6:V7" si="4">+T6/30.5</f>
        <v>280</v>
      </c>
      <c r="W6" s="191">
        <f t="shared" ref="W6:W16" si="5">+D6-O6</f>
        <v>2211.8636260000003</v>
      </c>
      <c r="X6" s="63">
        <f>+D6*C6</f>
        <v>79848.276898600001</v>
      </c>
      <c r="Y6" s="63">
        <f>+O6*C6</f>
        <v>63878.621518879991</v>
      </c>
      <c r="Z6" s="95">
        <f t="shared" ref="Z6" si="6">+X6-Y6</f>
        <v>15969.65537972001</v>
      </c>
      <c r="AA6"/>
      <c r="AB6"/>
    </row>
    <row r="7" spans="1:28">
      <c r="A7" t="s">
        <v>53</v>
      </c>
      <c r="B7" t="s">
        <v>87</v>
      </c>
      <c r="C7">
        <v>5</v>
      </c>
      <c r="D7" s="123">
        <v>2784.9130399999999</v>
      </c>
      <c r="E7" s="124">
        <v>1</v>
      </c>
      <c r="F7" s="124">
        <f>+D7-I7</f>
        <v>344.91303999999991</v>
      </c>
      <c r="G7" s="124">
        <f>+(D7-I7)/E7</f>
        <v>344.91303999999991</v>
      </c>
      <c r="H7" s="125">
        <v>4</v>
      </c>
      <c r="I7" s="125">
        <f>+J7*H7*30.5</f>
        <v>2440</v>
      </c>
      <c r="J7" s="125">
        <v>20</v>
      </c>
      <c r="K7" s="126">
        <f>+I7/30.5</f>
        <v>80</v>
      </c>
      <c r="L7" s="65">
        <f>+F7/D7</f>
        <v>0.12385056015968093</v>
      </c>
      <c r="M7" s="80">
        <f>+I7/D7</f>
        <v>0.87614943984031901</v>
      </c>
      <c r="N7" s="84">
        <v>0.2</v>
      </c>
      <c r="O7" s="82">
        <f>+D7-D7*N7</f>
        <v>2227.9304320000001</v>
      </c>
      <c r="P7" s="88">
        <v>1</v>
      </c>
      <c r="Q7" s="89">
        <f t="shared" si="0"/>
        <v>275.93043199999994</v>
      </c>
      <c r="R7" s="89">
        <f t="shared" si="1"/>
        <v>275.93043199999994</v>
      </c>
      <c r="S7" s="74">
        <v>4</v>
      </c>
      <c r="T7" s="75">
        <f t="shared" si="2"/>
        <v>1952</v>
      </c>
      <c r="U7" s="75">
        <f t="shared" si="3"/>
        <v>16</v>
      </c>
      <c r="V7" s="92">
        <f t="shared" si="4"/>
        <v>64</v>
      </c>
      <c r="W7" s="191">
        <f t="shared" si="5"/>
        <v>556.9826079999998</v>
      </c>
      <c r="X7" s="63">
        <f>+D7*C7</f>
        <v>13924.565199999999</v>
      </c>
      <c r="Y7" s="63">
        <f>+O7*C7</f>
        <v>11139.652160000001</v>
      </c>
      <c r="Z7" s="95">
        <f t="shared" ref="Z7" si="7">+X7-Y7</f>
        <v>2784.9130399999976</v>
      </c>
      <c r="AA7"/>
      <c r="AB7"/>
    </row>
    <row r="8" spans="1:28" s="116" customFormat="1">
      <c r="D8" s="117"/>
      <c r="E8" s="117"/>
      <c r="F8" s="117"/>
      <c r="G8" s="118"/>
      <c r="H8" s="117"/>
      <c r="I8" s="117"/>
      <c r="J8" s="117"/>
      <c r="K8" s="117"/>
      <c r="L8" s="119"/>
      <c r="M8" s="119"/>
      <c r="N8" s="120"/>
      <c r="O8" s="121"/>
      <c r="P8" s="117"/>
      <c r="Q8" s="118"/>
      <c r="R8" s="118"/>
      <c r="S8" s="117"/>
      <c r="T8" s="118"/>
      <c r="U8" s="118"/>
      <c r="V8" s="118"/>
      <c r="W8" s="191"/>
      <c r="X8" s="122">
        <f>SUM(X5:X7)</f>
        <v>135720.59476360001</v>
      </c>
      <c r="Y8" s="122">
        <f>SUM(Y5:Y7)</f>
        <v>108576.47581087999</v>
      </c>
      <c r="Z8" s="122">
        <f>SUM(Z5:Z7)</f>
        <v>27144.118952720011</v>
      </c>
    </row>
    <row r="9" spans="1:28" ht="15.75" thickBot="1">
      <c r="D9" s="49"/>
      <c r="E9" s="49"/>
      <c r="L9" s="50"/>
      <c r="W9" s="191"/>
      <c r="Z9" s="97">
        <f>+Z8/X8</f>
        <v>0.20000000000000007</v>
      </c>
      <c r="AA9"/>
      <c r="AB9"/>
    </row>
    <row r="10" spans="1:28" ht="15.75" thickBot="1">
      <c r="D10" s="196" t="s">
        <v>142</v>
      </c>
      <c r="E10" s="197"/>
      <c r="F10" s="197"/>
      <c r="G10" s="197"/>
      <c r="H10" s="197"/>
      <c r="I10" s="197"/>
      <c r="J10" s="197"/>
      <c r="K10" s="198"/>
      <c r="N10" s="196" t="s">
        <v>149</v>
      </c>
      <c r="O10" s="197"/>
      <c r="P10" s="197"/>
      <c r="Q10" s="197"/>
      <c r="R10" s="197"/>
      <c r="S10" s="197"/>
      <c r="T10" s="197"/>
      <c r="U10" s="197"/>
      <c r="V10" s="198"/>
      <c r="W10" s="191"/>
      <c r="AA10"/>
      <c r="AB10"/>
    </row>
    <row r="11" spans="1:28">
      <c r="D11" s="206" t="s">
        <v>47</v>
      </c>
      <c r="E11" s="199" t="s">
        <v>157</v>
      </c>
      <c r="F11" s="199"/>
      <c r="G11" s="199"/>
      <c r="H11" s="200" t="s">
        <v>158</v>
      </c>
      <c r="I11" s="200"/>
      <c r="J11" s="200"/>
      <c r="K11" s="201"/>
      <c r="L11" s="205" t="s">
        <v>148</v>
      </c>
      <c r="M11" s="205"/>
      <c r="N11" s="203" t="s">
        <v>137</v>
      </c>
      <c r="O11" s="204" t="s">
        <v>138</v>
      </c>
      <c r="P11" s="202" t="s">
        <v>157</v>
      </c>
      <c r="Q11" s="202"/>
      <c r="R11" s="202"/>
      <c r="S11" s="200" t="s">
        <v>158</v>
      </c>
      <c r="T11" s="200"/>
      <c r="U11" s="200"/>
      <c r="V11" s="201"/>
      <c r="W11" s="191"/>
      <c r="X11" s="195" t="s">
        <v>160</v>
      </c>
      <c r="Y11" s="195"/>
      <c r="Z11" s="195"/>
      <c r="AA11"/>
      <c r="AB11"/>
    </row>
    <row r="12" spans="1:28" ht="48">
      <c r="D12" s="207"/>
      <c r="E12" s="67" t="s">
        <v>152</v>
      </c>
      <c r="F12" s="67" t="s">
        <v>154</v>
      </c>
      <c r="G12" s="67" t="s">
        <v>153</v>
      </c>
      <c r="H12" s="72" t="s">
        <v>144</v>
      </c>
      <c r="I12" s="72" t="s">
        <v>155</v>
      </c>
      <c r="J12" s="72" t="s">
        <v>156</v>
      </c>
      <c r="K12" s="73" t="s">
        <v>146</v>
      </c>
      <c r="L12" s="64" t="s">
        <v>143</v>
      </c>
      <c r="M12" s="79" t="s">
        <v>144</v>
      </c>
      <c r="N12" s="203"/>
      <c r="O12" s="204"/>
      <c r="P12" s="87" t="s">
        <v>48</v>
      </c>
      <c r="Q12" s="87" t="s">
        <v>145</v>
      </c>
      <c r="R12" s="87" t="s">
        <v>139</v>
      </c>
      <c r="S12" s="72" t="s">
        <v>49</v>
      </c>
      <c r="T12" s="72" t="s">
        <v>141</v>
      </c>
      <c r="U12" s="72" t="s">
        <v>140</v>
      </c>
      <c r="V12" s="73" t="s">
        <v>147</v>
      </c>
      <c r="W12" s="191"/>
      <c r="X12" s="54" t="s">
        <v>150</v>
      </c>
      <c r="Y12" s="54" t="s">
        <v>151</v>
      </c>
      <c r="Z12" s="54" t="s">
        <v>161</v>
      </c>
      <c r="AA12"/>
      <c r="AB12"/>
    </row>
    <row r="13" spans="1:28">
      <c r="A13" t="s">
        <v>55</v>
      </c>
      <c r="B13" t="s">
        <v>84</v>
      </c>
      <c r="C13">
        <v>6.08</v>
      </c>
      <c r="D13" s="123">
        <v>15165.1</v>
      </c>
      <c r="E13" s="124">
        <v>129</v>
      </c>
      <c r="F13" s="124">
        <f>+D13-I13</f>
        <v>13945.1</v>
      </c>
      <c r="G13" s="124">
        <f>+(D13-I13)/E13</f>
        <v>108.1015503875969</v>
      </c>
      <c r="H13" s="125">
        <v>4</v>
      </c>
      <c r="I13" s="125">
        <f>+J13*H13*30.5</f>
        <v>1220</v>
      </c>
      <c r="J13" s="125">
        <v>10</v>
      </c>
      <c r="K13" s="126">
        <f>+I13/30.5</f>
        <v>40</v>
      </c>
      <c r="L13" s="65">
        <f>+F13/D13</f>
        <v>0.91955212956063592</v>
      </c>
      <c r="M13" s="80">
        <f>+I13/D13</f>
        <v>8.0447870439364064E-2</v>
      </c>
      <c r="N13" s="84">
        <v>0.15</v>
      </c>
      <c r="O13" s="82">
        <f>+D13-D13*N13</f>
        <v>12890.335000000001</v>
      </c>
      <c r="P13" s="88">
        <v>129</v>
      </c>
      <c r="Q13" s="89">
        <f>+O13*L13</f>
        <v>11853.335000000001</v>
      </c>
      <c r="R13" s="89">
        <f>+Q13/P13</f>
        <v>91.886317829457369</v>
      </c>
      <c r="S13" s="74">
        <v>4</v>
      </c>
      <c r="T13" s="75">
        <f>+O13*M13</f>
        <v>1037</v>
      </c>
      <c r="U13" s="75">
        <f>+T13/S13/30.5</f>
        <v>8.5</v>
      </c>
      <c r="V13" s="92">
        <f>+T13/30.5</f>
        <v>34</v>
      </c>
      <c r="W13" s="191">
        <f t="shared" si="5"/>
        <v>2274.7649999999994</v>
      </c>
      <c r="X13" s="63">
        <f t="shared" ref="X13:X16" si="8">+D13*C13</f>
        <v>92203.808000000005</v>
      </c>
      <c r="Y13" s="63">
        <f t="shared" ref="Y13:Y16" si="9">+O13*C13</f>
        <v>78373.236800000013</v>
      </c>
      <c r="Z13" s="95">
        <f t="shared" ref="Z13:Z16" si="10">+X13-Y13</f>
        <v>13830.571199999991</v>
      </c>
      <c r="AA13"/>
      <c r="AB13"/>
    </row>
    <row r="14" spans="1:28">
      <c r="A14" t="s">
        <v>8</v>
      </c>
      <c r="B14" t="s">
        <v>89</v>
      </c>
      <c r="C14">
        <v>4.7</v>
      </c>
      <c r="D14" s="123">
        <v>11768.080000000002</v>
      </c>
      <c r="E14" s="124">
        <v>19</v>
      </c>
      <c r="F14" s="124">
        <f>+D14-I14</f>
        <v>5668.0800000000017</v>
      </c>
      <c r="G14" s="124">
        <f>+(D14-I14)/E14</f>
        <v>298.32000000000011</v>
      </c>
      <c r="H14" s="125">
        <v>20</v>
      </c>
      <c r="I14" s="125">
        <f>+J14*H14*30.5</f>
        <v>6100</v>
      </c>
      <c r="J14" s="125">
        <v>10</v>
      </c>
      <c r="K14" s="126">
        <f>+I14/30.5</f>
        <v>200</v>
      </c>
      <c r="L14" s="65">
        <f>+F14/D14</f>
        <v>0.48164866316340482</v>
      </c>
      <c r="M14" s="80">
        <f>+I14/D14</f>
        <v>0.51835133683659518</v>
      </c>
      <c r="N14" s="84">
        <v>0.15</v>
      </c>
      <c r="O14" s="82">
        <f>+D14-D14*N14</f>
        <v>10002.868000000002</v>
      </c>
      <c r="P14" s="88">
        <v>19</v>
      </c>
      <c r="Q14" s="89">
        <f t="shared" ref="Q14" si="11">+O14*L14</f>
        <v>4817.8680000000022</v>
      </c>
      <c r="R14" s="89">
        <f t="shared" ref="R14" si="12">+Q14/P14</f>
        <v>253.57200000000012</v>
      </c>
      <c r="S14" s="74">
        <v>20</v>
      </c>
      <c r="T14" s="75">
        <f t="shared" ref="T14:T15" si="13">+O14*M14</f>
        <v>5185</v>
      </c>
      <c r="U14" s="75">
        <f t="shared" ref="U14:U15" si="14">+T14/S14/30.5</f>
        <v>8.5</v>
      </c>
      <c r="V14" s="92">
        <f t="shared" ref="V14:V15" si="15">+T14/30.5</f>
        <v>170</v>
      </c>
      <c r="W14" s="191">
        <f t="shared" si="5"/>
        <v>1765.2119999999995</v>
      </c>
      <c r="X14" s="63">
        <f t="shared" si="8"/>
        <v>55309.97600000001</v>
      </c>
      <c r="Y14" s="63">
        <f t="shared" si="9"/>
        <v>47013.479600000013</v>
      </c>
      <c r="Z14" s="95">
        <f t="shared" si="10"/>
        <v>8296.4963999999964</v>
      </c>
      <c r="AA14"/>
      <c r="AB14"/>
    </row>
    <row r="15" spans="1:28">
      <c r="A15" t="s">
        <v>21</v>
      </c>
      <c r="B15" t="s">
        <v>69</v>
      </c>
      <c r="C15">
        <v>3.48</v>
      </c>
      <c r="D15" s="123">
        <v>11284.460000000001</v>
      </c>
      <c r="E15" s="124"/>
      <c r="F15" s="124"/>
      <c r="G15" s="124"/>
      <c r="H15" s="125">
        <v>23</v>
      </c>
      <c r="I15" s="125">
        <f>+D15</f>
        <v>11284.460000000001</v>
      </c>
      <c r="J15" s="125">
        <f>+I15/H15/30.5</f>
        <v>16.086186742694228</v>
      </c>
      <c r="K15" s="126">
        <f>+I15/30.5</f>
        <v>369.98229508196727</v>
      </c>
      <c r="L15" s="65">
        <f>+F15/D15</f>
        <v>0</v>
      </c>
      <c r="M15" s="80">
        <f>+I15/D15</f>
        <v>1</v>
      </c>
      <c r="N15" s="84">
        <v>0.15</v>
      </c>
      <c r="O15" s="82">
        <f>+D15-D15*N15</f>
        <v>9591.7910000000011</v>
      </c>
      <c r="P15" s="88"/>
      <c r="Q15" s="89"/>
      <c r="R15" s="89"/>
      <c r="S15" s="74">
        <v>23</v>
      </c>
      <c r="T15" s="75">
        <f t="shared" si="13"/>
        <v>9591.7910000000011</v>
      </c>
      <c r="U15" s="75">
        <f t="shared" si="14"/>
        <v>13.673258731290094</v>
      </c>
      <c r="V15" s="92">
        <f t="shared" si="15"/>
        <v>314.48495081967218</v>
      </c>
      <c r="W15" s="191">
        <f t="shared" si="5"/>
        <v>1692.6689999999999</v>
      </c>
      <c r="X15" s="63">
        <f t="shared" si="8"/>
        <v>39269.9208</v>
      </c>
      <c r="Y15" s="63">
        <f t="shared" si="9"/>
        <v>33379.432680000005</v>
      </c>
      <c r="Z15" s="95">
        <f t="shared" si="10"/>
        <v>5890.4881199999945</v>
      </c>
      <c r="AA15"/>
      <c r="AB15"/>
    </row>
    <row r="16" spans="1:28">
      <c r="A16" t="s">
        <v>52</v>
      </c>
      <c r="B16" t="s">
        <v>93</v>
      </c>
      <c r="C16">
        <v>3.21</v>
      </c>
      <c r="D16" s="123">
        <v>8567.26</v>
      </c>
      <c r="E16" s="124">
        <v>37</v>
      </c>
      <c r="F16" s="124">
        <f>+D16-I16</f>
        <v>5212.26</v>
      </c>
      <c r="G16" s="124">
        <f>+(D16-I16)/E16</f>
        <v>140.87189189189189</v>
      </c>
      <c r="H16" s="125">
        <v>11</v>
      </c>
      <c r="I16" s="125">
        <f>+J16*H16*30.5</f>
        <v>3355</v>
      </c>
      <c r="J16" s="125">
        <v>10</v>
      </c>
      <c r="K16" s="126">
        <f>+I16/30.5</f>
        <v>110</v>
      </c>
      <c r="L16" s="65">
        <f>+F16/D16</f>
        <v>0.60839288173815198</v>
      </c>
      <c r="M16" s="80">
        <f>+I16/D16</f>
        <v>0.39160711826184802</v>
      </c>
      <c r="N16" s="84">
        <v>0.15</v>
      </c>
      <c r="O16" s="82">
        <f>+D16-D16*N16</f>
        <v>7282.1710000000003</v>
      </c>
      <c r="P16" s="88">
        <v>37</v>
      </c>
      <c r="Q16" s="89">
        <f>+O16*L16</f>
        <v>4430.4210000000003</v>
      </c>
      <c r="R16" s="89">
        <f>+Q16/P16</f>
        <v>119.74110810810812</v>
      </c>
      <c r="S16" s="74">
        <v>11</v>
      </c>
      <c r="T16" s="75">
        <f>+O16*M16</f>
        <v>2851.75</v>
      </c>
      <c r="U16" s="75">
        <f>+T16/S16/30.5</f>
        <v>8.5</v>
      </c>
      <c r="V16" s="92">
        <f>+T16/30.5</f>
        <v>93.5</v>
      </c>
      <c r="W16" s="191">
        <f t="shared" si="5"/>
        <v>1285.0889999999999</v>
      </c>
      <c r="X16" s="63">
        <f t="shared" si="8"/>
        <v>27500.904600000002</v>
      </c>
      <c r="Y16" s="63">
        <f t="shared" si="9"/>
        <v>23375.768909999999</v>
      </c>
      <c r="Z16" s="95">
        <f t="shared" si="10"/>
        <v>4125.1356900000028</v>
      </c>
      <c r="AA16"/>
      <c r="AB16"/>
    </row>
    <row r="17" spans="4:28">
      <c r="D17" s="49"/>
      <c r="E17" s="49"/>
      <c r="X17" s="96">
        <f>SUM(X13:X16)</f>
        <v>214284.60940000002</v>
      </c>
      <c r="Y17" s="96">
        <f>SUM(Y13:Y16)</f>
        <v>182141.91799000005</v>
      </c>
      <c r="Z17" s="96">
        <f>SUM(Z13:Z16)</f>
        <v>32142.691409999985</v>
      </c>
      <c r="AA17"/>
      <c r="AB17"/>
    </row>
    <row r="18" spans="4:28">
      <c r="D18" s="49"/>
      <c r="E18" s="49"/>
      <c r="L18" s="50"/>
      <c r="Z18" s="97">
        <f>+Z17/X17</f>
        <v>0.14999999999999991</v>
      </c>
      <c r="AA18"/>
      <c r="AB18"/>
    </row>
    <row r="19" spans="4:28">
      <c r="D19" s="49"/>
      <c r="E19" s="49"/>
      <c r="AA19"/>
      <c r="AB19"/>
    </row>
    <row r="20" spans="4:28">
      <c r="D20" s="49"/>
      <c r="E20" s="49"/>
      <c r="X20" s="95">
        <f>+'PUNTOS DE INYECCIÓN'!J50</f>
        <v>504590.9309636</v>
      </c>
      <c r="Y20" s="95">
        <f>+X20-Z20</f>
        <v>445304.12060088001</v>
      </c>
      <c r="Z20" s="95">
        <f>+Z8+Z17</f>
        <v>59286.810362719996</v>
      </c>
      <c r="AA20"/>
      <c r="AB20"/>
    </row>
    <row r="21" spans="4:28">
      <c r="D21" s="49"/>
      <c r="E21" s="49"/>
      <c r="Z21" s="112">
        <f>+Z20/X20</f>
        <v>0.11749479969745395</v>
      </c>
      <c r="AA21"/>
      <c r="AB21"/>
    </row>
    <row r="22" spans="4:28">
      <c r="D22" s="49"/>
      <c r="E22" s="49"/>
      <c r="AA22"/>
      <c r="AB22"/>
    </row>
    <row r="23" spans="4:28">
      <c r="D23" s="49"/>
      <c r="E23" s="49"/>
      <c r="AA23"/>
      <c r="AB23"/>
    </row>
    <row r="24" spans="4:28">
      <c r="D24" s="49"/>
      <c r="E24" s="49"/>
      <c r="AA24"/>
      <c r="AB24"/>
    </row>
    <row r="25" spans="4:28">
      <c r="D25" s="49"/>
      <c r="E25" s="49"/>
      <c r="AA25"/>
      <c r="AB25"/>
    </row>
  </sheetData>
  <mergeCells count="22">
    <mergeCell ref="D2:K2"/>
    <mergeCell ref="N2:V2"/>
    <mergeCell ref="D3:D4"/>
    <mergeCell ref="E3:G3"/>
    <mergeCell ref="H3:K3"/>
    <mergeCell ref="L3:M3"/>
    <mergeCell ref="N3:N4"/>
    <mergeCell ref="O3:O4"/>
    <mergeCell ref="P3:R3"/>
    <mergeCell ref="S3:V3"/>
    <mergeCell ref="X3:Z3"/>
    <mergeCell ref="X11:Z11"/>
    <mergeCell ref="S11:V11"/>
    <mergeCell ref="P11:R11"/>
    <mergeCell ref="O11:O12"/>
    <mergeCell ref="L11:M11"/>
    <mergeCell ref="H11:K11"/>
    <mergeCell ref="E11:G11"/>
    <mergeCell ref="D11:D12"/>
    <mergeCell ref="N10:V10"/>
    <mergeCell ref="D10:K10"/>
    <mergeCell ref="N11:N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BD78-18F5-4D46-AAA6-F1A71E94B271}">
  <dimension ref="A1:Z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6" sqref="O16"/>
    </sheetView>
  </sheetViews>
  <sheetFormatPr baseColWidth="10" defaultRowHeight="15"/>
  <cols>
    <col min="4" max="4" width="11.7109375" style="49" customWidth="1"/>
    <col min="5" max="5" width="8" style="49" customWidth="1"/>
    <col min="6" max="6" width="7.85546875" style="49" customWidth="1"/>
    <col min="7" max="7" width="8.5703125" style="49" customWidth="1"/>
    <col min="8" max="8" width="8" style="49" customWidth="1"/>
    <col min="9" max="9" width="8.85546875" style="49" customWidth="1"/>
    <col min="10" max="10" width="6" style="49" customWidth="1"/>
    <col min="11" max="11" width="7.42578125" style="49" customWidth="1"/>
    <col min="12" max="14" width="11.42578125" style="49"/>
    <col min="15" max="15" width="9.85546875" style="49" customWidth="1"/>
    <col min="16" max="16" width="6.85546875" style="49" customWidth="1"/>
    <col min="17" max="17" width="8.42578125" style="49" customWidth="1"/>
    <col min="18" max="18" width="8" style="49" customWidth="1"/>
    <col min="19" max="20" width="7.7109375" style="49" customWidth="1"/>
    <col min="21" max="21" width="8.42578125" style="49" customWidth="1"/>
    <col min="22" max="22" width="11.42578125" style="49"/>
    <col min="23" max="23" width="15.7109375" style="49" customWidth="1"/>
    <col min="24" max="26" width="11.42578125" style="49"/>
  </cols>
  <sheetData>
    <row r="1" spans="1:26" ht="15.75" thickBot="1"/>
    <row r="2" spans="1:26" ht="15.75" thickBot="1">
      <c r="D2" s="196" t="s">
        <v>142</v>
      </c>
      <c r="E2" s="197"/>
      <c r="F2" s="197"/>
      <c r="G2" s="197"/>
      <c r="H2" s="197"/>
      <c r="I2" s="197"/>
      <c r="J2" s="197"/>
      <c r="K2" s="198"/>
      <c r="N2" s="196" t="s">
        <v>149</v>
      </c>
      <c r="O2" s="197"/>
      <c r="P2" s="197"/>
      <c r="Q2" s="197"/>
      <c r="R2" s="197"/>
      <c r="S2" s="197"/>
      <c r="T2" s="197"/>
      <c r="U2" s="197"/>
      <c r="V2" s="198"/>
    </row>
    <row r="3" spans="1:26">
      <c r="D3" s="206" t="s">
        <v>47</v>
      </c>
      <c r="E3" s="199" t="s">
        <v>157</v>
      </c>
      <c r="F3" s="199"/>
      <c r="G3" s="199"/>
      <c r="H3" s="200" t="s">
        <v>158</v>
      </c>
      <c r="I3" s="200"/>
      <c r="J3" s="200"/>
      <c r="K3" s="201"/>
      <c r="L3" s="205" t="s">
        <v>148</v>
      </c>
      <c r="M3" s="205"/>
      <c r="N3" s="203" t="s">
        <v>137</v>
      </c>
      <c r="O3" s="204" t="s">
        <v>138</v>
      </c>
      <c r="P3" s="202" t="s">
        <v>157</v>
      </c>
      <c r="Q3" s="202"/>
      <c r="R3" s="202"/>
      <c r="S3" s="200" t="s">
        <v>158</v>
      </c>
      <c r="T3" s="200"/>
      <c r="U3" s="200"/>
      <c r="V3" s="201"/>
      <c r="X3" s="195" t="s">
        <v>160</v>
      </c>
      <c r="Y3" s="195"/>
      <c r="Z3" s="195"/>
    </row>
    <row r="4" spans="1:26" ht="48">
      <c r="D4" s="207"/>
      <c r="E4" s="67" t="s">
        <v>152</v>
      </c>
      <c r="F4" s="67" t="s">
        <v>154</v>
      </c>
      <c r="G4" s="67" t="s">
        <v>153</v>
      </c>
      <c r="H4" s="72" t="s">
        <v>144</v>
      </c>
      <c r="I4" s="72" t="s">
        <v>155</v>
      </c>
      <c r="J4" s="72" t="s">
        <v>156</v>
      </c>
      <c r="K4" s="73" t="s">
        <v>146</v>
      </c>
      <c r="L4" s="64" t="s">
        <v>143</v>
      </c>
      <c r="M4" s="79" t="s">
        <v>144</v>
      </c>
      <c r="N4" s="203"/>
      <c r="O4" s="204"/>
      <c r="P4" s="87" t="s">
        <v>48</v>
      </c>
      <c r="Q4" s="87" t="s">
        <v>145</v>
      </c>
      <c r="R4" s="87" t="s">
        <v>139</v>
      </c>
      <c r="S4" s="72" t="s">
        <v>49</v>
      </c>
      <c r="T4" s="72" t="s">
        <v>141</v>
      </c>
      <c r="U4" s="72" t="s">
        <v>140</v>
      </c>
      <c r="V4" s="73" t="s">
        <v>147</v>
      </c>
      <c r="W4" s="56"/>
      <c r="X4" s="54" t="s">
        <v>150</v>
      </c>
      <c r="Y4" s="54" t="s">
        <v>151</v>
      </c>
      <c r="Z4" s="54" t="s">
        <v>161</v>
      </c>
    </row>
    <row r="5" spans="1:26">
      <c r="A5" t="s">
        <v>52</v>
      </c>
      <c r="B5" t="s">
        <v>93</v>
      </c>
      <c r="C5">
        <v>3.21</v>
      </c>
      <c r="D5" s="59">
        <v>33172</v>
      </c>
      <c r="E5" s="68">
        <v>190</v>
      </c>
      <c r="F5" s="68">
        <f>+D5-I5</f>
        <v>20057</v>
      </c>
      <c r="G5" s="69">
        <f>+(D5-I5)/E5</f>
        <v>105.56315789473685</v>
      </c>
      <c r="H5" s="74">
        <v>43</v>
      </c>
      <c r="I5" s="74">
        <f>+J5*H5*30.5</f>
        <v>13115</v>
      </c>
      <c r="J5" s="75">
        <v>10</v>
      </c>
      <c r="K5" s="76">
        <f>+I5/30.5</f>
        <v>430</v>
      </c>
      <c r="L5" s="65">
        <f>+F5/D5</f>
        <v>0.60463644037139752</v>
      </c>
      <c r="M5" s="80">
        <f>+I5/D5</f>
        <v>0.39536355962860242</v>
      </c>
      <c r="N5" s="84">
        <v>0.1</v>
      </c>
      <c r="O5" s="82">
        <f>+D5-D5*N5</f>
        <v>29854.799999999999</v>
      </c>
      <c r="P5" s="88">
        <v>190</v>
      </c>
      <c r="Q5" s="89">
        <f>+O5*L5</f>
        <v>18051.3</v>
      </c>
      <c r="R5" s="89">
        <f>+Q5/P5</f>
        <v>95.006842105263161</v>
      </c>
      <c r="S5" s="74">
        <v>43</v>
      </c>
      <c r="T5" s="75">
        <f>+O5*M5</f>
        <v>11803.5</v>
      </c>
      <c r="U5" s="75">
        <f>+T5/S5/30.5</f>
        <v>9</v>
      </c>
      <c r="V5" s="92">
        <f>+T5/30.5</f>
        <v>387</v>
      </c>
      <c r="W5" s="191">
        <f>+D5-O5</f>
        <v>3317.2000000000007</v>
      </c>
      <c r="X5" s="63">
        <f>+C5*D5</f>
        <v>106482.12</v>
      </c>
      <c r="Y5" s="63">
        <f>+O5*C5</f>
        <v>95833.907999999996</v>
      </c>
      <c r="Z5" s="95">
        <f>+X5-Y5</f>
        <v>10648.212</v>
      </c>
    </row>
    <row r="6" spans="1:26">
      <c r="A6" t="s">
        <v>34</v>
      </c>
      <c r="B6" t="s">
        <v>97</v>
      </c>
      <c r="C6">
        <v>2.84</v>
      </c>
      <c r="D6" s="59">
        <v>15187</v>
      </c>
      <c r="E6" s="68">
        <v>10</v>
      </c>
      <c r="F6" s="68">
        <f>+D6-I6</f>
        <v>1523</v>
      </c>
      <c r="G6" s="69">
        <f>+(D6-I6)/E6</f>
        <v>152.30000000000001</v>
      </c>
      <c r="H6" s="74">
        <v>28</v>
      </c>
      <c r="I6" s="74">
        <f>+J6*H6*30.5</f>
        <v>13664</v>
      </c>
      <c r="J6" s="74">
        <v>16</v>
      </c>
      <c r="K6" s="76">
        <f>+I6/30.5</f>
        <v>448</v>
      </c>
      <c r="L6" s="65">
        <f>+F6/D6</f>
        <v>0.10028313689339567</v>
      </c>
      <c r="M6" s="80">
        <f>+I6/D6</f>
        <v>0.89971686310660437</v>
      </c>
      <c r="N6" s="84">
        <v>0.15</v>
      </c>
      <c r="O6" s="82">
        <f>+D6-D6*N6</f>
        <v>12908.95</v>
      </c>
      <c r="P6" s="88">
        <v>10</v>
      </c>
      <c r="Q6" s="89">
        <f t="shared" ref="Q6:Q7" si="0">+O6*L6</f>
        <v>1294.5500000000002</v>
      </c>
      <c r="R6" s="89">
        <f t="shared" ref="R6:R7" si="1">+Q6/P6</f>
        <v>129.45500000000001</v>
      </c>
      <c r="S6" s="74">
        <v>28</v>
      </c>
      <c r="T6" s="75">
        <f t="shared" ref="T6:T7" si="2">+O6*M6</f>
        <v>11614.400000000001</v>
      </c>
      <c r="U6" s="75">
        <f t="shared" ref="U6:U7" si="3">+T6/S6/30.5</f>
        <v>13.600000000000001</v>
      </c>
      <c r="V6" s="92">
        <f t="shared" ref="V6:V7" si="4">+T6/30.5</f>
        <v>380.80000000000007</v>
      </c>
      <c r="W6" s="191">
        <f t="shared" ref="W6:W8" si="5">+D6-O6</f>
        <v>2278.0499999999993</v>
      </c>
      <c r="X6" s="63">
        <f t="shared" ref="X6:X8" si="6">+C6*D6</f>
        <v>43131.079999999994</v>
      </c>
      <c r="Y6" s="63">
        <f t="shared" ref="Y6:Y8" si="7">+O6*C6</f>
        <v>36661.417999999998</v>
      </c>
      <c r="Z6" s="95">
        <f t="shared" ref="Z6:Z8" si="8">+X6-Y6</f>
        <v>6469.6619999999966</v>
      </c>
    </row>
    <row r="7" spans="1:26">
      <c r="A7" t="s">
        <v>21</v>
      </c>
      <c r="B7" t="s">
        <v>71</v>
      </c>
      <c r="C7">
        <v>4.0199999999999996</v>
      </c>
      <c r="D7" s="59">
        <v>11476</v>
      </c>
      <c r="E7" s="68">
        <v>2</v>
      </c>
      <c r="F7" s="68">
        <f>+D7-I7</f>
        <v>1106</v>
      </c>
      <c r="G7" s="69">
        <f>+(D7-I7)/E7</f>
        <v>553</v>
      </c>
      <c r="H7" s="74">
        <v>34</v>
      </c>
      <c r="I7" s="74">
        <f>+J7*H7*30.5</f>
        <v>10370</v>
      </c>
      <c r="J7" s="74">
        <v>10</v>
      </c>
      <c r="K7" s="76">
        <f>+I7/30.5</f>
        <v>340</v>
      </c>
      <c r="L7" s="65">
        <f>+F7/D7</f>
        <v>9.6375043569187871E-2</v>
      </c>
      <c r="M7" s="80">
        <f>+I7/D7</f>
        <v>0.90362495643081209</v>
      </c>
      <c r="N7" s="84">
        <v>0.15</v>
      </c>
      <c r="O7" s="82">
        <f>+D7-D7*N7</f>
        <v>9754.6</v>
      </c>
      <c r="P7" s="88">
        <v>2</v>
      </c>
      <c r="Q7" s="89">
        <f t="shared" si="0"/>
        <v>940.1</v>
      </c>
      <c r="R7" s="89">
        <f t="shared" si="1"/>
        <v>470.05</v>
      </c>
      <c r="S7" s="74">
        <v>34</v>
      </c>
      <c r="T7" s="75">
        <f t="shared" si="2"/>
        <v>8814.5</v>
      </c>
      <c r="U7" s="75">
        <f t="shared" si="3"/>
        <v>8.5</v>
      </c>
      <c r="V7" s="92">
        <f t="shared" si="4"/>
        <v>289</v>
      </c>
      <c r="W7" s="191">
        <f t="shared" si="5"/>
        <v>1721.3999999999996</v>
      </c>
      <c r="X7" s="63">
        <f t="shared" si="6"/>
        <v>46133.52</v>
      </c>
      <c r="Y7" s="63">
        <f t="shared" si="7"/>
        <v>39213.491999999998</v>
      </c>
      <c r="Z7" s="95">
        <f t="shared" si="8"/>
        <v>6920.0279999999984</v>
      </c>
    </row>
    <row r="8" spans="1:26" ht="15.75" thickBot="1">
      <c r="A8" t="s">
        <v>51</v>
      </c>
      <c r="B8" t="s">
        <v>98</v>
      </c>
      <c r="C8">
        <v>6.62</v>
      </c>
      <c r="D8" s="61">
        <v>10472</v>
      </c>
      <c r="E8" s="70">
        <v>5</v>
      </c>
      <c r="F8" s="70">
        <f>+D8-I8</f>
        <v>956</v>
      </c>
      <c r="G8" s="71">
        <f>+(D8-I8)/E8</f>
        <v>191.2</v>
      </c>
      <c r="H8" s="77">
        <v>26</v>
      </c>
      <c r="I8" s="77">
        <f>+J8*H8*30.5</f>
        <v>9516</v>
      </c>
      <c r="J8" s="77">
        <v>12</v>
      </c>
      <c r="K8" s="78">
        <f>+I8/30.5</f>
        <v>312</v>
      </c>
      <c r="L8" s="65">
        <f>+F8/D8</f>
        <v>9.129106187929717E-2</v>
      </c>
      <c r="M8" s="80">
        <f>+I8/D8</f>
        <v>0.90870893812070286</v>
      </c>
      <c r="N8" s="84">
        <v>0.15</v>
      </c>
      <c r="O8" s="82">
        <f>+D8-D8*N8</f>
        <v>8901.2000000000007</v>
      </c>
      <c r="P8" s="88">
        <v>5</v>
      </c>
      <c r="Q8" s="89">
        <f>+O8*L8</f>
        <v>812.6</v>
      </c>
      <c r="R8" s="89">
        <f>+Q8/P8</f>
        <v>162.52000000000001</v>
      </c>
      <c r="S8" s="74">
        <v>26</v>
      </c>
      <c r="T8" s="75">
        <f>+O8*M8</f>
        <v>8088.6000000000013</v>
      </c>
      <c r="U8" s="75">
        <f>+T8/S8/30.5</f>
        <v>10.200000000000001</v>
      </c>
      <c r="V8" s="92">
        <f>+T8/30.5</f>
        <v>265.20000000000005</v>
      </c>
      <c r="W8" s="191">
        <f t="shared" si="5"/>
        <v>1570.7999999999993</v>
      </c>
      <c r="X8" s="63">
        <f t="shared" si="6"/>
        <v>69324.639999999999</v>
      </c>
      <c r="Y8" s="63">
        <f t="shared" si="7"/>
        <v>58925.944000000003</v>
      </c>
      <c r="Z8" s="95">
        <f t="shared" si="8"/>
        <v>10398.695999999996</v>
      </c>
    </row>
    <row r="9" spans="1:26">
      <c r="L9" s="50"/>
      <c r="X9" s="96">
        <f>SUM(X5:X8)</f>
        <v>265071.35999999999</v>
      </c>
      <c r="Y9" s="96">
        <f>SUM(Y5:Y8)</f>
        <v>230634.76199999999</v>
      </c>
      <c r="Z9" s="96">
        <f>SUM(Z5:Z8)</f>
        <v>34436.597999999991</v>
      </c>
    </row>
    <row r="10" spans="1:26">
      <c r="Z10" s="97">
        <f>+Z9/X9</f>
        <v>0.12991444266177982</v>
      </c>
    </row>
    <row r="12" spans="1:26">
      <c r="X12" s="62">
        <f>+'PUNTOS DE INYECCIÓN'!J91</f>
        <v>291054.12</v>
      </c>
      <c r="Y12" s="62">
        <f>+X12-Z12</f>
        <v>256617.522</v>
      </c>
      <c r="Z12" s="62">
        <f>+Z9</f>
        <v>34436.597999999991</v>
      </c>
    </row>
    <row r="13" spans="1:26">
      <c r="Z13" s="97">
        <f>+Z12/X12</f>
        <v>0.11831682025322297</v>
      </c>
    </row>
  </sheetData>
  <mergeCells count="11">
    <mergeCell ref="X3:Z3"/>
    <mergeCell ref="D2:K2"/>
    <mergeCell ref="N2:V2"/>
    <mergeCell ref="D3:D4"/>
    <mergeCell ref="E3:G3"/>
    <mergeCell ref="H3:K3"/>
    <mergeCell ref="L3:M3"/>
    <mergeCell ref="N3:N4"/>
    <mergeCell ref="O3:O4"/>
    <mergeCell ref="P3:R3"/>
    <mergeCell ref="S3: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D7C6-C71C-4162-90AB-16394D1EDD57}">
  <sheetPr>
    <tabColor rgb="FFFF0000"/>
  </sheetPr>
  <dimension ref="A1:AA128"/>
  <sheetViews>
    <sheetView showGridLines="0" topLeftCell="A112" workbookViewId="0">
      <selection activeCell="F119" sqref="F119"/>
    </sheetView>
  </sheetViews>
  <sheetFormatPr baseColWidth="10" defaultRowHeight="15.75"/>
  <cols>
    <col min="1" max="1" width="33.28515625" style="137" bestFit="1" customWidth="1"/>
    <col min="2" max="4" width="11.5703125" style="137" bestFit="1" customWidth="1"/>
    <col min="5" max="5" width="14" style="137" bestFit="1" customWidth="1"/>
    <col min="6" max="7" width="17.5703125" style="137" bestFit="1" customWidth="1"/>
    <col min="8" max="8" width="11.7109375" style="137" bestFit="1" customWidth="1"/>
    <col min="9" max="9" width="14.7109375" style="181" bestFit="1" customWidth="1"/>
    <col min="10" max="10" width="11.5703125" style="137" bestFit="1" customWidth="1"/>
    <col min="11" max="27" width="11.42578125" style="137"/>
    <col min="28" max="16384" width="11.42578125" style="153"/>
  </cols>
  <sheetData>
    <row r="1" spans="1:27" ht="21">
      <c r="A1" s="212" t="s">
        <v>28</v>
      </c>
      <c r="B1" s="213"/>
      <c r="C1" s="151"/>
      <c r="D1" s="151"/>
      <c r="E1" s="151"/>
      <c r="F1" s="151"/>
      <c r="G1" s="151"/>
      <c r="H1" s="151"/>
      <c r="I1" s="152"/>
    </row>
    <row r="2" spans="1:27" s="134" customFormat="1" ht="15.95" customHeight="1">
      <c r="A2" s="140"/>
      <c r="B2" s="141"/>
      <c r="C2" s="141"/>
      <c r="D2" s="214" t="s">
        <v>164</v>
      </c>
      <c r="E2" s="214"/>
      <c r="F2" s="214"/>
      <c r="G2" s="214" t="s">
        <v>168</v>
      </c>
      <c r="H2" s="214"/>
      <c r="I2" s="215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</row>
    <row r="3" spans="1:27" s="134" customFormat="1" ht="15.95" customHeight="1">
      <c r="A3" s="142" t="s">
        <v>136</v>
      </c>
      <c r="B3" s="135" t="s">
        <v>162</v>
      </c>
      <c r="C3" s="135" t="s">
        <v>163</v>
      </c>
      <c r="D3" s="135" t="s">
        <v>165</v>
      </c>
      <c r="E3" s="135" t="s">
        <v>166</v>
      </c>
      <c r="F3" s="135" t="s">
        <v>167</v>
      </c>
      <c r="G3" s="135" t="s">
        <v>165</v>
      </c>
      <c r="H3" s="135" t="s">
        <v>166</v>
      </c>
      <c r="I3" s="143" t="s">
        <v>169</v>
      </c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</row>
    <row r="4" spans="1:27" s="159" customFormat="1">
      <c r="A4" s="154" t="str">
        <f>+Barr!A5</f>
        <v>Deshidratación y Calidad de entrega</v>
      </c>
      <c r="B4" s="131" t="str">
        <f>+Barr!B5</f>
        <v>DBC4893</v>
      </c>
      <c r="C4" s="131">
        <f>+Barr!C5</f>
        <v>6.82</v>
      </c>
      <c r="D4" s="131">
        <f>+Barr!D5</f>
        <v>17046</v>
      </c>
      <c r="E4" s="155">
        <f>+Barr!O5</f>
        <v>13636.8</v>
      </c>
      <c r="F4" s="156">
        <f>+Barr!N5</f>
        <v>0.2</v>
      </c>
      <c r="G4" s="157">
        <f>+Barr!X5</f>
        <v>116253.72</v>
      </c>
      <c r="H4" s="157">
        <f>+Barr!Y5</f>
        <v>93002.975999999995</v>
      </c>
      <c r="I4" s="158">
        <f>+G4-H4</f>
        <v>23250.744000000006</v>
      </c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</row>
    <row r="5" spans="1:27" s="159" customFormat="1">
      <c r="A5" s="154" t="str">
        <f>+Barr!A6</f>
        <v>Biocida</v>
      </c>
      <c r="B5" s="131" t="str">
        <f>+Barr!B6</f>
        <v>BX707</v>
      </c>
      <c r="C5" s="131">
        <f>+Barr!C6</f>
        <v>4.72</v>
      </c>
      <c r="D5" s="131">
        <f>+Barr!D6</f>
        <v>17023</v>
      </c>
      <c r="E5" s="155">
        <f>+Barr!O6</f>
        <v>14469.55</v>
      </c>
      <c r="F5" s="156">
        <f>+Barr!N6</f>
        <v>0.15</v>
      </c>
      <c r="G5" s="157">
        <f>+Barr!X6</f>
        <v>80348.56</v>
      </c>
      <c r="H5" s="157">
        <f>+Barr!Y6</f>
        <v>68296.275999999998</v>
      </c>
      <c r="I5" s="158">
        <f t="shared" ref="I5:I7" si="0">+G5-H5</f>
        <v>12052.284</v>
      </c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</row>
    <row r="6" spans="1:27" s="159" customFormat="1">
      <c r="A6" s="154" t="str">
        <f>+Barr!A7</f>
        <v>INHIBIDOR DE CORROSIÓN</v>
      </c>
      <c r="B6" s="131" t="str">
        <f>+Barr!B7</f>
        <v>CYB589</v>
      </c>
      <c r="C6" s="131">
        <f>+Barr!C7</f>
        <v>3.7</v>
      </c>
      <c r="D6" s="131">
        <f>+Barr!D7</f>
        <v>15147</v>
      </c>
      <c r="E6" s="155">
        <f>+Barr!O7</f>
        <v>12874.95</v>
      </c>
      <c r="F6" s="156">
        <f>+Barr!N7</f>
        <v>0.15</v>
      </c>
      <c r="G6" s="157">
        <f>+Barr!X7</f>
        <v>56043.9</v>
      </c>
      <c r="H6" s="157">
        <f>+Barr!Y7</f>
        <v>47637.315000000002</v>
      </c>
      <c r="I6" s="158">
        <f t="shared" si="0"/>
        <v>8406.5849999999991</v>
      </c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</row>
    <row r="7" spans="1:27" s="159" customFormat="1">
      <c r="A7" s="154" t="str">
        <f>+Barr!A8</f>
        <v>INHIBIDOR DE INCRUSTACIONES</v>
      </c>
      <c r="B7" s="131" t="str">
        <f>+Barr!B8</f>
        <v>IC5091</v>
      </c>
      <c r="C7" s="131">
        <f>+Barr!C8</f>
        <v>4.0199999999999996</v>
      </c>
      <c r="D7" s="131">
        <f>+Barr!D8</f>
        <v>6662</v>
      </c>
      <c r="E7" s="155">
        <f>+Barr!O8</f>
        <v>5662.7</v>
      </c>
      <c r="F7" s="156">
        <f>+Barr!N8</f>
        <v>0.15</v>
      </c>
      <c r="G7" s="157">
        <f>+Barr!X8</f>
        <v>26781.239999999998</v>
      </c>
      <c r="H7" s="157">
        <f>+Barr!Y8</f>
        <v>22764.053999999996</v>
      </c>
      <c r="I7" s="158">
        <f t="shared" si="0"/>
        <v>4017.1860000000015</v>
      </c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</row>
    <row r="8" spans="1:27" s="159" customFormat="1">
      <c r="A8" s="154" t="str">
        <f>+Barr!A9</f>
        <v>Mejorador de flujo y de Parafinas</v>
      </c>
      <c r="B8" s="131" t="str">
        <f>+Barr!B9</f>
        <v>DBM4022CT</v>
      </c>
      <c r="C8" s="131">
        <f>+Barr!C9</f>
        <v>3.25</v>
      </c>
      <c r="D8" s="131">
        <f>+Barr!D9</f>
        <v>7025</v>
      </c>
      <c r="E8" s="155">
        <f>+Barr!O9</f>
        <v>5620</v>
      </c>
      <c r="F8" s="156">
        <f>+Barr!N9</f>
        <v>0.2</v>
      </c>
      <c r="G8" s="157">
        <f>+Barr!X9</f>
        <v>22831.25</v>
      </c>
      <c r="H8" s="157">
        <f>+Barr!Y9</f>
        <v>18265</v>
      </c>
      <c r="I8" s="158">
        <f>+G8-H8</f>
        <v>4566.25</v>
      </c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</row>
    <row r="9" spans="1:27" s="159" customFormat="1">
      <c r="A9" s="154" t="str">
        <f>+Barr!A10</f>
        <v>Reductor de Viscocidad</v>
      </c>
      <c r="B9" s="131" t="str">
        <f>+Barr!B10</f>
        <v>IPB935CT</v>
      </c>
      <c r="C9" s="131">
        <f>+Barr!C10</f>
        <v>7.88</v>
      </c>
      <c r="D9" s="131">
        <f>+Barr!D10</f>
        <v>4782</v>
      </c>
      <c r="E9" s="155">
        <f>+Barr!O10</f>
        <v>3825.6</v>
      </c>
      <c r="F9" s="156">
        <f>+Barr!N10</f>
        <v>0.2</v>
      </c>
      <c r="G9" s="157">
        <f>+Barr!X10</f>
        <v>37682.159999999996</v>
      </c>
      <c r="H9" s="157">
        <f>+Barr!Y10</f>
        <v>30145.727999999999</v>
      </c>
      <c r="I9" s="158">
        <f t="shared" ref="I9:I10" si="1">+G9-H9</f>
        <v>7536.4319999999971</v>
      </c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</row>
    <row r="10" spans="1:27" s="159" customFormat="1">
      <c r="A10" s="154" t="str">
        <f>+Barr!A11</f>
        <v>Dispersante de parafinas y/o asfaltenos</v>
      </c>
      <c r="B10" s="131" t="str">
        <f>+Barr!B11</f>
        <v>IPB650A</v>
      </c>
      <c r="C10" s="131">
        <f>+Barr!C11</f>
        <v>7.32</v>
      </c>
      <c r="D10" s="131">
        <f>+Barr!D11</f>
        <v>4462</v>
      </c>
      <c r="E10" s="155">
        <f>+Barr!O11</f>
        <v>3792.7</v>
      </c>
      <c r="F10" s="156">
        <f>+Barr!N11</f>
        <v>0.15</v>
      </c>
      <c r="G10" s="157">
        <f>+Barr!X11</f>
        <v>32661.84</v>
      </c>
      <c r="H10" s="157">
        <f>+Barr!Y11</f>
        <v>27762.563999999998</v>
      </c>
      <c r="I10" s="158">
        <f t="shared" si="1"/>
        <v>4899.2760000000017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</row>
    <row r="11" spans="1:27" s="159" customFormat="1">
      <c r="A11" s="216" t="s">
        <v>187</v>
      </c>
      <c r="B11" s="217"/>
      <c r="C11" s="217"/>
      <c r="D11" s="217"/>
      <c r="E11" s="217"/>
      <c r="F11" s="217"/>
      <c r="G11" s="160">
        <f>SUM(G4:G10)</f>
        <v>372602.67</v>
      </c>
      <c r="H11" s="160">
        <f t="shared" ref="H11" si="2">SUM(H4:H10)</f>
        <v>307873.913</v>
      </c>
      <c r="I11" s="161">
        <f>+G11-H11</f>
        <v>64728.756999999983</v>
      </c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</row>
    <row r="12" spans="1:27" s="159" customFormat="1">
      <c r="A12" s="162"/>
      <c r="B12" s="163"/>
      <c r="C12" s="163"/>
      <c r="D12" s="163"/>
      <c r="E12" s="163"/>
      <c r="F12" s="163"/>
      <c r="G12" s="163"/>
      <c r="H12" s="163"/>
      <c r="I12" s="148">
        <f>+I11/G11</f>
        <v>0.17372059357491987</v>
      </c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</row>
    <row r="13" spans="1:27" s="159" customFormat="1" ht="9" customHeight="1">
      <c r="A13" s="162"/>
      <c r="B13" s="163"/>
      <c r="C13" s="163"/>
      <c r="D13" s="163"/>
      <c r="E13" s="163"/>
      <c r="F13" s="163"/>
      <c r="G13" s="163"/>
      <c r="H13" s="163"/>
      <c r="I13" s="164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</row>
    <row r="14" spans="1:27" s="159" customFormat="1" ht="28.5" customHeight="1">
      <c r="A14" s="162"/>
      <c r="B14" s="163"/>
      <c r="C14" s="165"/>
      <c r="D14" s="55" t="s">
        <v>105</v>
      </c>
      <c r="E14" s="55" t="s">
        <v>104</v>
      </c>
      <c r="F14" s="55" t="s">
        <v>178</v>
      </c>
      <c r="G14" s="55" t="s">
        <v>181</v>
      </c>
      <c r="H14" s="55" t="s">
        <v>180</v>
      </c>
      <c r="I14" s="144" t="s">
        <v>179</v>
      </c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</row>
    <row r="15" spans="1:27" s="159" customFormat="1" ht="15.95" customHeight="1">
      <c r="A15" s="166"/>
      <c r="B15" s="218" t="s">
        <v>170</v>
      </c>
      <c r="C15" s="219"/>
      <c r="D15" s="167">
        <f>+Servicio!F3</f>
        <v>25094.778748119199</v>
      </c>
      <c r="E15" s="167">
        <f>+Servicio!D3</f>
        <v>540</v>
      </c>
      <c r="F15" s="167">
        <f>+E15*80%</f>
        <v>432</v>
      </c>
      <c r="G15" s="139">
        <f>+E15*D15</f>
        <v>13551180.523984367</v>
      </c>
      <c r="H15" s="139">
        <f>+D15*F15</f>
        <v>10840944.419187494</v>
      </c>
      <c r="I15" s="168">
        <f>+G15-H15</f>
        <v>2710236.1047968734</v>
      </c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</row>
    <row r="16" spans="1:27" s="159" customFormat="1" ht="15.95" customHeight="1">
      <c r="A16" s="166"/>
      <c r="B16" s="165"/>
      <c r="C16" s="165"/>
      <c r="D16" s="165"/>
      <c r="E16" s="165"/>
      <c r="F16" s="165"/>
      <c r="G16" s="165"/>
      <c r="H16" s="165"/>
      <c r="I16" s="169">
        <f>+I15/G15</f>
        <v>0.2</v>
      </c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</row>
    <row r="17" spans="1:11" ht="10.5" customHeight="1">
      <c r="A17" s="170"/>
      <c r="B17" s="171"/>
      <c r="C17" s="171"/>
      <c r="D17" s="171"/>
      <c r="E17" s="171"/>
      <c r="F17" s="171"/>
      <c r="G17" s="171"/>
      <c r="H17" s="171"/>
      <c r="I17" s="172"/>
    </row>
    <row r="18" spans="1:11" ht="15.95" customHeight="1">
      <c r="A18" s="170"/>
      <c r="B18" s="171"/>
      <c r="C18" s="171"/>
      <c r="D18" s="171"/>
      <c r="E18" s="171"/>
      <c r="F18" s="135" t="s">
        <v>175</v>
      </c>
      <c r="G18" s="135" t="s">
        <v>176</v>
      </c>
      <c r="H18" s="135" t="s">
        <v>184</v>
      </c>
      <c r="I18" s="145" t="s">
        <v>182</v>
      </c>
    </row>
    <row r="19" spans="1:11">
      <c r="A19" s="170"/>
      <c r="B19" s="217" t="s">
        <v>188</v>
      </c>
      <c r="C19" s="217"/>
      <c r="D19" s="217"/>
      <c r="E19" s="217"/>
      <c r="F19" s="157">
        <f>+'PUNTOS DE INYECCIÓN'!J4</f>
        <v>404438.44</v>
      </c>
      <c r="G19" s="157">
        <f>+F19-H19</f>
        <v>339709.68300000002</v>
      </c>
      <c r="H19" s="173">
        <f>+I11</f>
        <v>64728.756999999983</v>
      </c>
      <c r="I19" s="148">
        <f>+H19/F19</f>
        <v>0.16004600601268262</v>
      </c>
    </row>
    <row r="20" spans="1:11">
      <c r="A20" s="170"/>
      <c r="B20" s="217" t="s">
        <v>172</v>
      </c>
      <c r="C20" s="217"/>
      <c r="D20" s="217"/>
      <c r="E20" s="217"/>
      <c r="F20" s="139">
        <f>+(Servicio!H3+Servicio!G3)/I25</f>
        <v>52802.994701046671</v>
      </c>
      <c r="G20" s="139">
        <f>+F20-H20</f>
        <v>49640.525500583579</v>
      </c>
      <c r="H20" s="139">
        <f>+I15/I25</f>
        <v>3162.4692004630961</v>
      </c>
      <c r="I20" s="148">
        <f>+H20/F20</f>
        <v>5.9891853073257777E-2</v>
      </c>
    </row>
    <row r="21" spans="1:11">
      <c r="A21" s="170"/>
      <c r="B21" s="217" t="s">
        <v>173</v>
      </c>
      <c r="C21" s="217"/>
      <c r="D21" s="217"/>
      <c r="E21" s="217"/>
      <c r="F21" s="139">
        <f>SUM(F19:F20)</f>
        <v>457241.43470104667</v>
      </c>
      <c r="G21" s="139">
        <f>SUM(G19:G20)</f>
        <v>389350.2085005836</v>
      </c>
      <c r="H21" s="174">
        <f>+G21-G21*98%</f>
        <v>7787.0041700116708</v>
      </c>
      <c r="I21" s="169">
        <v>0.02</v>
      </c>
    </row>
    <row r="22" spans="1:11" ht="6" customHeight="1">
      <c r="A22" s="170"/>
      <c r="B22" s="171"/>
      <c r="C22" s="171"/>
      <c r="D22" s="171"/>
      <c r="E22" s="171"/>
      <c r="F22" s="171"/>
      <c r="G22" s="171"/>
      <c r="H22" s="171"/>
      <c r="I22" s="175"/>
      <c r="K22" s="138"/>
    </row>
    <row r="23" spans="1:11">
      <c r="A23" s="170"/>
      <c r="B23" s="220" t="s">
        <v>174</v>
      </c>
      <c r="C23" s="220"/>
      <c r="D23" s="220"/>
      <c r="E23" s="220"/>
      <c r="F23" s="220"/>
      <c r="G23" s="220"/>
      <c r="H23" s="176">
        <f>SUM(H19:H21)</f>
        <v>75678.230370474746</v>
      </c>
      <c r="I23" s="169">
        <f>+H23/F21</f>
        <v>0.16551043852785266</v>
      </c>
    </row>
    <row r="24" spans="1:11" ht="6" customHeight="1">
      <c r="A24" s="170"/>
      <c r="B24" s="171"/>
      <c r="C24" s="171"/>
      <c r="D24" s="171"/>
      <c r="E24" s="171"/>
      <c r="F24" s="171"/>
      <c r="G24" s="171"/>
      <c r="H24" s="171"/>
      <c r="I24" s="172"/>
    </row>
    <row r="25" spans="1:11" ht="16.5" thickBot="1">
      <c r="A25" s="177"/>
      <c r="B25" s="178"/>
      <c r="C25" s="178"/>
      <c r="D25" s="178"/>
      <c r="E25" s="178"/>
      <c r="F25" s="178"/>
      <c r="G25" s="178"/>
      <c r="H25" s="179" t="s">
        <v>171</v>
      </c>
      <c r="I25" s="180">
        <v>857</v>
      </c>
    </row>
    <row r="27" spans="1:11" ht="16.5" thickBot="1"/>
    <row r="28" spans="1:11" ht="21">
      <c r="A28" s="212" t="s">
        <v>183</v>
      </c>
      <c r="B28" s="213"/>
      <c r="C28" s="151"/>
      <c r="D28" s="151"/>
      <c r="E28" s="151"/>
      <c r="F28" s="151"/>
      <c r="G28" s="151"/>
      <c r="H28" s="151"/>
      <c r="I28" s="152"/>
    </row>
    <row r="29" spans="1:11" ht="15">
      <c r="A29" s="140"/>
      <c r="B29" s="141"/>
      <c r="C29" s="141"/>
      <c r="D29" s="214" t="s">
        <v>164</v>
      </c>
      <c r="E29" s="214"/>
      <c r="F29" s="214"/>
      <c r="G29" s="214" t="s">
        <v>168</v>
      </c>
      <c r="H29" s="214"/>
      <c r="I29" s="215"/>
    </row>
    <row r="30" spans="1:11" ht="15">
      <c r="A30" s="142" t="s">
        <v>136</v>
      </c>
      <c r="B30" s="135" t="s">
        <v>162</v>
      </c>
      <c r="C30" s="135" t="s">
        <v>163</v>
      </c>
      <c r="D30" s="135" t="s">
        <v>165</v>
      </c>
      <c r="E30" s="135" t="s">
        <v>166</v>
      </c>
      <c r="F30" s="135" t="s">
        <v>167</v>
      </c>
      <c r="G30" s="135" t="s">
        <v>165</v>
      </c>
      <c r="H30" s="135" t="s">
        <v>166</v>
      </c>
      <c r="I30" s="143" t="s">
        <v>169</v>
      </c>
    </row>
    <row r="31" spans="1:11">
      <c r="A31" s="154" t="s">
        <v>51</v>
      </c>
      <c r="B31" s="131" t="s">
        <v>63</v>
      </c>
      <c r="C31" s="131">
        <v>6.82</v>
      </c>
      <c r="D31" s="131">
        <f>+Ugar.!D5</f>
        <v>4977</v>
      </c>
      <c r="E31" s="155">
        <f>+Ugar.!O5</f>
        <v>4230.45</v>
      </c>
      <c r="F31" s="182">
        <f>+Ugar.!N5</f>
        <v>0.15</v>
      </c>
      <c r="G31" s="157">
        <f>+Ugar.!X5</f>
        <v>33943.14</v>
      </c>
      <c r="H31" s="157">
        <f>+Ugar.!Y5</f>
        <v>28851.669000000002</v>
      </c>
      <c r="I31" s="158">
        <f>+G31-H31</f>
        <v>5091.4709999999977</v>
      </c>
    </row>
    <row r="32" spans="1:11">
      <c r="A32" s="154" t="s">
        <v>34</v>
      </c>
      <c r="B32" s="131" t="s">
        <v>97</v>
      </c>
      <c r="C32" s="131">
        <v>2.84</v>
      </c>
      <c r="D32" s="131">
        <f>+Ugar.!D6</f>
        <v>2185</v>
      </c>
      <c r="E32" s="155">
        <f>+Ugar.!O6</f>
        <v>1966.5</v>
      </c>
      <c r="F32" s="182">
        <f>+Ugar.!N6</f>
        <v>0.1</v>
      </c>
      <c r="G32" s="157">
        <f>+Ugar.!X6</f>
        <v>6205.4</v>
      </c>
      <c r="H32" s="157">
        <f>+Ugar.!Y6</f>
        <v>5584.86</v>
      </c>
      <c r="I32" s="158">
        <f t="shared" ref="I32:I33" si="3">+G32-H32</f>
        <v>620.54</v>
      </c>
    </row>
    <row r="33" spans="1:9">
      <c r="A33" s="154" t="s">
        <v>39</v>
      </c>
      <c r="B33" s="131" t="s">
        <v>94</v>
      </c>
      <c r="C33" s="131">
        <v>7.2</v>
      </c>
      <c r="D33" s="131">
        <f>+Ugar.!D7</f>
        <v>1176</v>
      </c>
      <c r="E33" s="155">
        <f>+Ugar.!O7</f>
        <v>1058.4000000000001</v>
      </c>
      <c r="F33" s="182">
        <f>+Ugar.!N7</f>
        <v>0.1</v>
      </c>
      <c r="G33" s="157">
        <f>+Ugar.!X7</f>
        <v>8467.2000000000007</v>
      </c>
      <c r="H33" s="157">
        <f>+Ugar.!Y7</f>
        <v>7620.4800000000005</v>
      </c>
      <c r="I33" s="158">
        <f t="shared" si="3"/>
        <v>846.72000000000025</v>
      </c>
    </row>
    <row r="34" spans="1:9">
      <c r="A34" s="216" t="s">
        <v>189</v>
      </c>
      <c r="B34" s="217"/>
      <c r="C34" s="217"/>
      <c r="D34" s="217"/>
      <c r="E34" s="217"/>
      <c r="F34" s="217"/>
      <c r="G34" s="160">
        <f>SUM(G31:G33)</f>
        <v>48615.740000000005</v>
      </c>
      <c r="H34" s="160">
        <f>SUM(H31:H33)</f>
        <v>42057.009000000005</v>
      </c>
      <c r="I34" s="161">
        <f>+G34-H34</f>
        <v>6558.7309999999998</v>
      </c>
    </row>
    <row r="35" spans="1:9">
      <c r="A35" s="162"/>
      <c r="B35" s="163"/>
      <c r="C35" s="163"/>
      <c r="D35" s="163"/>
      <c r="E35" s="163"/>
      <c r="F35" s="163"/>
      <c r="G35" s="163"/>
      <c r="H35" s="163"/>
      <c r="I35" s="148">
        <f>+I34/G34</f>
        <v>0.13490961980626026</v>
      </c>
    </row>
    <row r="36" spans="1:9" ht="5.25" customHeight="1">
      <c r="A36" s="162"/>
      <c r="B36" s="163"/>
      <c r="C36" s="163"/>
      <c r="D36" s="163"/>
      <c r="E36" s="163"/>
      <c r="F36" s="163"/>
      <c r="G36" s="163"/>
      <c r="H36" s="163"/>
      <c r="I36" s="164"/>
    </row>
    <row r="37" spans="1:9" ht="36">
      <c r="A37" s="162"/>
      <c r="B37" s="163"/>
      <c r="C37" s="165"/>
      <c r="D37" s="55" t="s">
        <v>105</v>
      </c>
      <c r="E37" s="55" t="s">
        <v>104</v>
      </c>
      <c r="F37" s="55" t="s">
        <v>178</v>
      </c>
      <c r="G37" s="55" t="s">
        <v>181</v>
      </c>
      <c r="H37" s="55" t="s">
        <v>180</v>
      </c>
      <c r="I37" s="144" t="s">
        <v>179</v>
      </c>
    </row>
    <row r="38" spans="1:9" ht="15">
      <c r="A38" s="166"/>
      <c r="B38" s="218" t="s">
        <v>170</v>
      </c>
      <c r="C38" s="219"/>
      <c r="D38" s="167">
        <f>+D15</f>
        <v>25094.778748119199</v>
      </c>
      <c r="E38" s="167">
        <f>+Servicio!C6</f>
        <v>41</v>
      </c>
      <c r="F38" s="167">
        <f>+E38*80%</f>
        <v>32.800000000000004</v>
      </c>
      <c r="G38" s="139">
        <f>+E38*D38</f>
        <v>1028885.9286728872</v>
      </c>
      <c r="H38" s="139">
        <f>+D38*F38</f>
        <v>823108.74293830979</v>
      </c>
      <c r="I38" s="168">
        <f>+G38-H38</f>
        <v>205777.18573457736</v>
      </c>
    </row>
    <row r="39" spans="1:9">
      <c r="A39" s="166"/>
      <c r="B39" s="165"/>
      <c r="C39" s="165"/>
      <c r="D39" s="165"/>
      <c r="E39" s="165"/>
      <c r="F39" s="165"/>
      <c r="G39" s="165"/>
      <c r="H39" s="165"/>
      <c r="I39" s="169">
        <f>+I38/G38</f>
        <v>0.19999999999999993</v>
      </c>
    </row>
    <row r="40" spans="1:9" ht="5.25" customHeight="1">
      <c r="A40" s="170"/>
      <c r="B40" s="171"/>
      <c r="C40" s="171"/>
      <c r="D40" s="171"/>
      <c r="E40" s="171"/>
      <c r="F40" s="171"/>
      <c r="G40" s="171"/>
      <c r="H40" s="171"/>
      <c r="I40" s="172"/>
    </row>
    <row r="41" spans="1:9">
      <c r="A41" s="170"/>
      <c r="B41" s="171"/>
      <c r="C41" s="171"/>
      <c r="D41" s="171"/>
      <c r="E41" s="171"/>
      <c r="F41" s="135" t="s">
        <v>175</v>
      </c>
      <c r="G41" s="135" t="s">
        <v>176</v>
      </c>
      <c r="H41" s="135" t="s">
        <v>177</v>
      </c>
      <c r="I41" s="145" t="s">
        <v>182</v>
      </c>
    </row>
    <row r="42" spans="1:9">
      <c r="A42" s="170"/>
      <c r="B42" s="217" t="s">
        <v>188</v>
      </c>
      <c r="C42" s="217"/>
      <c r="D42" s="217"/>
      <c r="E42" s="217"/>
      <c r="F42" s="157">
        <f>+'PUNTOS DE INYECCIÓN'!J81</f>
        <v>54929.569999999992</v>
      </c>
      <c r="G42" s="157">
        <f>+F42-H42</f>
        <v>48370.838999999993</v>
      </c>
      <c r="H42" s="173">
        <f>+I34</f>
        <v>6558.7309999999998</v>
      </c>
      <c r="I42" s="148">
        <f>+H42/F42</f>
        <v>0.11940255494444979</v>
      </c>
    </row>
    <row r="43" spans="1:9">
      <c r="A43" s="170"/>
      <c r="B43" s="217" t="s">
        <v>172</v>
      </c>
      <c r="C43" s="217"/>
      <c r="D43" s="217"/>
      <c r="E43" s="217"/>
      <c r="F43" s="139">
        <f>+(Servicio!G6+Servicio!H6)/PROPUESTA!I48</f>
        <v>11712.786521866637</v>
      </c>
      <c r="G43" s="139">
        <f>+F43-H43</f>
        <v>11472.673119609255</v>
      </c>
      <c r="H43" s="139">
        <f>+I38/I48</f>
        <v>240.11340225738314</v>
      </c>
      <c r="I43" s="148">
        <f>+H43/F43</f>
        <v>2.0500109159260666E-2</v>
      </c>
    </row>
    <row r="44" spans="1:9">
      <c r="A44" s="170"/>
      <c r="B44" s="217" t="s">
        <v>173</v>
      </c>
      <c r="C44" s="217"/>
      <c r="D44" s="217"/>
      <c r="E44" s="217"/>
      <c r="F44" s="139">
        <f>SUM(F42:F43)</f>
        <v>66642.356521866634</v>
      </c>
      <c r="G44" s="139">
        <f>SUM(G42:G43)</f>
        <v>59843.512119609251</v>
      </c>
      <c r="H44" s="174">
        <f>+G44-G44*98%</f>
        <v>1196.8702423921859</v>
      </c>
      <c r="I44" s="169">
        <v>0.02</v>
      </c>
    </row>
    <row r="45" spans="1:9" ht="5.25" customHeight="1">
      <c r="A45" s="170"/>
      <c r="B45" s="171"/>
      <c r="C45" s="171"/>
      <c r="D45" s="171"/>
      <c r="E45" s="171"/>
      <c r="F45" s="171"/>
      <c r="G45" s="171"/>
      <c r="H45" s="171"/>
      <c r="I45" s="175"/>
    </row>
    <row r="46" spans="1:9">
      <c r="A46" s="170"/>
      <c r="B46" s="220" t="s">
        <v>174</v>
      </c>
      <c r="C46" s="220"/>
      <c r="D46" s="220"/>
      <c r="E46" s="220"/>
      <c r="F46" s="220"/>
      <c r="G46" s="220"/>
      <c r="H46" s="176">
        <f>SUM(H42:H44)</f>
        <v>7995.714644649569</v>
      </c>
      <c r="I46" s="169">
        <f>+H46/F44</f>
        <v>0.1199794704442365</v>
      </c>
    </row>
    <row r="47" spans="1:9">
      <c r="A47" s="170"/>
      <c r="B47" s="171"/>
      <c r="C47" s="171"/>
      <c r="D47" s="171"/>
      <c r="E47" s="171"/>
      <c r="F47" s="171"/>
      <c r="G47" s="171"/>
      <c r="H47" s="171"/>
      <c r="I47" s="172"/>
    </row>
    <row r="48" spans="1:9" ht="16.5" thickBot="1">
      <c r="A48" s="177"/>
      <c r="B48" s="178"/>
      <c r="C48" s="178"/>
      <c r="D48" s="178"/>
      <c r="E48" s="178"/>
      <c r="F48" s="178"/>
      <c r="G48" s="178"/>
      <c r="H48" s="179" t="s">
        <v>171</v>
      </c>
      <c r="I48" s="180">
        <v>857</v>
      </c>
    </row>
    <row r="50" spans="1:9" ht="16.5" thickBot="1"/>
    <row r="51" spans="1:9" ht="21">
      <c r="A51" s="212" t="s">
        <v>185</v>
      </c>
      <c r="B51" s="213"/>
      <c r="C51" s="151"/>
      <c r="D51" s="151"/>
      <c r="E51" s="151"/>
      <c r="F51" s="151"/>
      <c r="G51" s="151"/>
      <c r="H51" s="151"/>
      <c r="I51" s="152"/>
    </row>
    <row r="52" spans="1:9" ht="15">
      <c r="A52" s="140"/>
      <c r="B52" s="141"/>
      <c r="C52" s="141"/>
      <c r="D52" s="214" t="s">
        <v>164</v>
      </c>
      <c r="E52" s="214"/>
      <c r="F52" s="214"/>
      <c r="G52" s="214" t="s">
        <v>168</v>
      </c>
      <c r="H52" s="214"/>
      <c r="I52" s="215"/>
    </row>
    <row r="53" spans="1:9" ht="15">
      <c r="A53" s="142" t="s">
        <v>136</v>
      </c>
      <c r="B53" s="135" t="s">
        <v>162</v>
      </c>
      <c r="C53" s="135" t="s">
        <v>163</v>
      </c>
      <c r="D53" s="135" t="s">
        <v>165</v>
      </c>
      <c r="E53" s="135" t="s">
        <v>166</v>
      </c>
      <c r="F53" s="135" t="s">
        <v>167</v>
      </c>
      <c r="G53" s="135" t="s">
        <v>165</v>
      </c>
      <c r="H53" s="135" t="s">
        <v>166</v>
      </c>
      <c r="I53" s="143" t="s">
        <v>169</v>
      </c>
    </row>
    <row r="54" spans="1:9">
      <c r="A54" s="142" t="s">
        <v>52</v>
      </c>
      <c r="B54" s="131" t="s">
        <v>70</v>
      </c>
      <c r="C54" s="131">
        <v>3.7</v>
      </c>
      <c r="D54" s="131">
        <f>+LV!D5</f>
        <v>18208</v>
      </c>
      <c r="E54" s="155">
        <f>+LV!O5</f>
        <v>16387.2</v>
      </c>
      <c r="F54" s="182">
        <f>+LV!N5</f>
        <v>0.1</v>
      </c>
      <c r="G54" s="157">
        <f>+LV!X5</f>
        <v>67369.600000000006</v>
      </c>
      <c r="H54" s="157">
        <f>+LV!Y5</f>
        <v>60632.640000000007</v>
      </c>
      <c r="I54" s="158">
        <f>+G54-H54</f>
        <v>6736.9599999999991</v>
      </c>
    </row>
    <row r="55" spans="1:9">
      <c r="A55" s="142" t="s">
        <v>34</v>
      </c>
      <c r="B55" s="131" t="s">
        <v>78</v>
      </c>
      <c r="C55" s="131">
        <v>4.5</v>
      </c>
      <c r="D55" s="131">
        <f>+LV!D6</f>
        <v>8001</v>
      </c>
      <c r="E55" s="155">
        <f>+LV!O6</f>
        <v>7200.9</v>
      </c>
      <c r="F55" s="182">
        <f>+LV!N6</f>
        <v>0.1</v>
      </c>
      <c r="G55" s="157">
        <f>+LV!X6</f>
        <v>36004.5</v>
      </c>
      <c r="H55" s="157">
        <f>+LV!Y6</f>
        <v>32404.05</v>
      </c>
      <c r="I55" s="158">
        <f>+G55-H55</f>
        <v>3600.4500000000007</v>
      </c>
    </row>
    <row r="56" spans="1:9">
      <c r="A56" s="154" t="s">
        <v>30</v>
      </c>
      <c r="B56" s="131" t="s">
        <v>68</v>
      </c>
      <c r="C56" s="131">
        <v>3.89</v>
      </c>
      <c r="D56" s="131">
        <f>+LV!D7</f>
        <v>7769</v>
      </c>
      <c r="E56" s="155">
        <f>+LV!O7</f>
        <v>6603.65</v>
      </c>
      <c r="F56" s="182">
        <f>+LV!N7</f>
        <v>0.15</v>
      </c>
      <c r="G56" s="157">
        <f>+LV!X7</f>
        <v>30221.41</v>
      </c>
      <c r="H56" s="157">
        <f>+LV!Y7</f>
        <v>25688.198499999999</v>
      </c>
      <c r="I56" s="158">
        <f>+G56-H56</f>
        <v>4533.2115000000013</v>
      </c>
    </row>
    <row r="57" spans="1:9">
      <c r="A57" s="154" t="s">
        <v>21</v>
      </c>
      <c r="B57" s="131" t="s">
        <v>71</v>
      </c>
      <c r="C57" s="131">
        <v>4.0199999999999996</v>
      </c>
      <c r="D57" s="131">
        <f>+LV!D8</f>
        <v>5350</v>
      </c>
      <c r="E57" s="155">
        <f>+LV!O8</f>
        <v>4547.5</v>
      </c>
      <c r="F57" s="182">
        <f>+LV!N8</f>
        <v>0.15</v>
      </c>
      <c r="G57" s="157">
        <f>+LV!X8</f>
        <v>21506.999999999996</v>
      </c>
      <c r="H57" s="157">
        <f>+LV!Y8</f>
        <v>18280.949999999997</v>
      </c>
      <c r="I57" s="158">
        <f t="shared" ref="I57" si="4">+G57-H57</f>
        <v>3226.0499999999993</v>
      </c>
    </row>
    <row r="58" spans="1:9">
      <c r="A58" s="216" t="s">
        <v>190</v>
      </c>
      <c r="B58" s="217"/>
      <c r="C58" s="217"/>
      <c r="D58" s="217"/>
      <c r="E58" s="217"/>
      <c r="F58" s="217"/>
      <c r="G58" s="160">
        <f>SUM(G54:G57)</f>
        <v>155102.51</v>
      </c>
      <c r="H58" s="160">
        <f>SUM(H54:H57)</f>
        <v>137005.83850000001</v>
      </c>
      <c r="I58" s="161">
        <f>+G58-H58</f>
        <v>18096.671499999997</v>
      </c>
    </row>
    <row r="59" spans="1:9">
      <c r="A59" s="162"/>
      <c r="B59" s="163"/>
      <c r="C59" s="163"/>
      <c r="D59" s="163"/>
      <c r="E59" s="163"/>
      <c r="F59" s="163"/>
      <c r="G59" s="163"/>
      <c r="H59" s="163"/>
      <c r="I59" s="148">
        <f>+I58/G58</f>
        <v>0.11667555541170802</v>
      </c>
    </row>
    <row r="60" spans="1:9">
      <c r="A60" s="162"/>
      <c r="B60" s="163"/>
      <c r="C60" s="163"/>
      <c r="D60" s="163"/>
      <c r="E60" s="163"/>
      <c r="F60" s="163"/>
      <c r="G60" s="163"/>
      <c r="H60" s="163"/>
      <c r="I60" s="164"/>
    </row>
    <row r="61" spans="1:9" ht="36">
      <c r="A61" s="162"/>
      <c r="B61" s="163"/>
      <c r="C61" s="165"/>
      <c r="D61" s="55" t="s">
        <v>105</v>
      </c>
      <c r="E61" s="55" t="s">
        <v>104</v>
      </c>
      <c r="F61" s="55" t="s">
        <v>178</v>
      </c>
      <c r="G61" s="55" t="s">
        <v>181</v>
      </c>
      <c r="H61" s="55" t="s">
        <v>180</v>
      </c>
      <c r="I61" s="144" t="s">
        <v>179</v>
      </c>
    </row>
    <row r="62" spans="1:9" ht="15">
      <c r="A62" s="166"/>
      <c r="B62" s="218" t="s">
        <v>170</v>
      </c>
      <c r="C62" s="219"/>
      <c r="D62" s="167">
        <f>+D38</f>
        <v>25094.778748119199</v>
      </c>
      <c r="E62" s="139">
        <f>+Servicio!D4</f>
        <v>148</v>
      </c>
      <c r="F62" s="139">
        <f>+E62*88%</f>
        <v>130.24</v>
      </c>
      <c r="G62" s="139">
        <f>+E62*D62</f>
        <v>3714027.2547216415</v>
      </c>
      <c r="H62" s="139">
        <f>+D62*F62</f>
        <v>3268343.9841550449</v>
      </c>
      <c r="I62" s="168">
        <f>+G62-H62</f>
        <v>445683.27056659665</v>
      </c>
    </row>
    <row r="63" spans="1:9">
      <c r="A63" s="166"/>
      <c r="B63" s="165"/>
      <c r="C63" s="165"/>
      <c r="D63" s="165"/>
      <c r="E63" s="165"/>
      <c r="F63" s="165"/>
      <c r="G63" s="165"/>
      <c r="H63" s="165"/>
      <c r="I63" s="169">
        <f>+I62/G62</f>
        <v>0.11999999999999991</v>
      </c>
    </row>
    <row r="64" spans="1:9">
      <c r="A64" s="170"/>
      <c r="B64" s="171"/>
      <c r="C64" s="171"/>
      <c r="D64" s="171"/>
      <c r="E64" s="171"/>
      <c r="F64" s="171"/>
      <c r="G64" s="171"/>
      <c r="H64" s="171"/>
      <c r="I64" s="172"/>
    </row>
    <row r="65" spans="1:9">
      <c r="A65" s="170"/>
      <c r="B65" s="171"/>
      <c r="C65" s="171"/>
      <c r="D65" s="171"/>
      <c r="E65" s="171"/>
      <c r="F65" s="135" t="s">
        <v>175</v>
      </c>
      <c r="G65" s="135" t="s">
        <v>176</v>
      </c>
      <c r="H65" s="135" t="s">
        <v>177</v>
      </c>
      <c r="I65" s="145" t="s">
        <v>182</v>
      </c>
    </row>
    <row r="66" spans="1:9">
      <c r="A66" s="170"/>
      <c r="B66" s="217" t="s">
        <v>188</v>
      </c>
      <c r="C66" s="217"/>
      <c r="D66" s="217"/>
      <c r="E66" s="217"/>
      <c r="F66" s="157">
        <f>+'PUNTOS DE INYECCIÓN'!J28</f>
        <v>243242.23999999999</v>
      </c>
      <c r="G66" s="157">
        <f>+F66-H66</f>
        <v>225145.56849999999</v>
      </c>
      <c r="H66" s="173">
        <f>+I58</f>
        <v>18096.671499999997</v>
      </c>
      <c r="I66" s="148">
        <f>+H66/F66</f>
        <v>7.4397734127098963E-2</v>
      </c>
    </row>
    <row r="67" spans="1:9">
      <c r="A67" s="170"/>
      <c r="B67" s="217" t="s">
        <v>172</v>
      </c>
      <c r="C67" s="217"/>
      <c r="D67" s="217"/>
      <c r="E67" s="217"/>
      <c r="F67" s="139">
        <f>+(Servicio!G4+Servicio!H4)/PROPUESTA!I72</f>
        <v>36960.337492336977</v>
      </c>
      <c r="G67" s="139">
        <f>+F67-H67</f>
        <v>36440.287001594159</v>
      </c>
      <c r="H67" s="139">
        <f>+I62/I72</f>
        <v>520.05049074281987</v>
      </c>
      <c r="I67" s="148">
        <f>+H67/F67</f>
        <v>1.4070501679013143E-2</v>
      </c>
    </row>
    <row r="68" spans="1:9">
      <c r="A68" s="170"/>
      <c r="B68" s="217" t="s">
        <v>173</v>
      </c>
      <c r="C68" s="217"/>
      <c r="D68" s="217"/>
      <c r="E68" s="217"/>
      <c r="F68" s="139">
        <f>SUM(F66:F67)</f>
        <v>280202.57749233698</v>
      </c>
      <c r="G68" s="139">
        <f>SUM(G66:G67)</f>
        <v>261585.85550159414</v>
      </c>
      <c r="H68" s="174">
        <f>+G68-G68*98%</f>
        <v>5231.7171100318956</v>
      </c>
      <c r="I68" s="169">
        <v>0.02</v>
      </c>
    </row>
    <row r="69" spans="1:9">
      <c r="A69" s="170"/>
      <c r="B69" s="171"/>
      <c r="C69" s="171"/>
      <c r="D69" s="171"/>
      <c r="E69" s="171"/>
      <c r="F69" s="171"/>
      <c r="G69" s="171"/>
      <c r="H69" s="171"/>
      <c r="I69" s="175"/>
    </row>
    <row r="70" spans="1:9">
      <c r="A70" s="170"/>
      <c r="B70" s="220" t="s">
        <v>174</v>
      </c>
      <c r="C70" s="220"/>
      <c r="D70" s="220"/>
      <c r="E70" s="220"/>
      <c r="F70" s="220"/>
      <c r="G70" s="220"/>
      <c r="H70" s="176">
        <f>SUM(H66:H68)</f>
        <v>23848.439100774711</v>
      </c>
      <c r="I70" s="169">
        <f>+H70/F68</f>
        <v>8.5111419438769875E-2</v>
      </c>
    </row>
    <row r="71" spans="1:9">
      <c r="A71" s="170"/>
      <c r="B71" s="171"/>
      <c r="C71" s="171"/>
      <c r="D71" s="171"/>
      <c r="E71" s="171"/>
      <c r="F71" s="171"/>
      <c r="G71" s="171"/>
      <c r="H71" s="171"/>
      <c r="I71" s="172"/>
    </row>
    <row r="72" spans="1:9" ht="16.5" thickBot="1">
      <c r="A72" s="177"/>
      <c r="B72" s="178"/>
      <c r="C72" s="178"/>
      <c r="D72" s="178"/>
      <c r="E72" s="178"/>
      <c r="F72" s="178"/>
      <c r="G72" s="178"/>
      <c r="H72" s="179" t="s">
        <v>171</v>
      </c>
      <c r="I72" s="180">
        <v>857</v>
      </c>
    </row>
    <row r="74" spans="1:9" ht="16.5" thickBot="1"/>
    <row r="75" spans="1:9" ht="21">
      <c r="A75" s="212" t="s">
        <v>186</v>
      </c>
      <c r="B75" s="213"/>
      <c r="C75" s="151"/>
      <c r="D75" s="151"/>
      <c r="E75" s="151"/>
      <c r="F75" s="151"/>
      <c r="G75" s="151"/>
      <c r="H75" s="151"/>
      <c r="I75" s="152"/>
    </row>
    <row r="76" spans="1:9" ht="15">
      <c r="A76" s="140"/>
      <c r="B76" s="141"/>
      <c r="C76" s="141"/>
      <c r="D76" s="214" t="s">
        <v>164</v>
      </c>
      <c r="E76" s="214"/>
      <c r="F76" s="214"/>
      <c r="G76" s="214" t="s">
        <v>168</v>
      </c>
      <c r="H76" s="214"/>
      <c r="I76" s="215"/>
    </row>
    <row r="77" spans="1:9" ht="15">
      <c r="A77" s="142" t="s">
        <v>136</v>
      </c>
      <c r="B77" s="135" t="s">
        <v>162</v>
      </c>
      <c r="C77" s="135" t="s">
        <v>163</v>
      </c>
      <c r="D77" s="135" t="s">
        <v>165</v>
      </c>
      <c r="E77" s="135" t="s">
        <v>166</v>
      </c>
      <c r="F77" s="135" t="s">
        <v>167</v>
      </c>
      <c r="G77" s="135" t="s">
        <v>165</v>
      </c>
      <c r="H77" s="135" t="s">
        <v>166</v>
      </c>
      <c r="I77" s="143" t="s">
        <v>169</v>
      </c>
    </row>
    <row r="78" spans="1:9">
      <c r="A78" s="142" t="s">
        <v>53</v>
      </c>
      <c r="B78" s="136" t="s">
        <v>61</v>
      </c>
      <c r="C78" s="136">
        <v>3.25</v>
      </c>
      <c r="D78" s="157">
        <f>+MGÜE!D5</f>
        <v>12907.000819999999</v>
      </c>
      <c r="E78" s="155">
        <f>+MGÜE!O5</f>
        <v>10325.600655999999</v>
      </c>
      <c r="F78" s="182">
        <f>+MGÜE!N5</f>
        <v>0.2</v>
      </c>
      <c r="G78" s="157">
        <f>+MGÜE!X5</f>
        <v>41947.752665</v>
      </c>
      <c r="H78" s="157">
        <f>+MGÜE!Y5</f>
        <v>33558.202131999999</v>
      </c>
      <c r="I78" s="158">
        <f t="shared" ref="I78:I81" si="5">+G78-H78</f>
        <v>8389.5505330000015</v>
      </c>
    </row>
    <row r="79" spans="1:9">
      <c r="A79" s="142" t="s">
        <v>53</v>
      </c>
      <c r="B79" s="136" t="s">
        <v>86</v>
      </c>
      <c r="C79" s="136">
        <v>7.22</v>
      </c>
      <c r="D79" s="157">
        <f>+MGÜE!D6</f>
        <v>11059.31813</v>
      </c>
      <c r="E79" s="155">
        <f>+MGÜE!O6</f>
        <v>8847.4545039999994</v>
      </c>
      <c r="F79" s="182">
        <f>+MGÜE!N6</f>
        <v>0.2</v>
      </c>
      <c r="G79" s="157">
        <f>+MGÜE!X6</f>
        <v>79848.276898600001</v>
      </c>
      <c r="H79" s="157">
        <f>+MGÜE!Y6</f>
        <v>63878.621518879991</v>
      </c>
      <c r="I79" s="158">
        <f t="shared" si="5"/>
        <v>15969.65537972001</v>
      </c>
    </row>
    <row r="80" spans="1:9">
      <c r="A80" s="142" t="s">
        <v>53</v>
      </c>
      <c r="B80" s="136" t="s">
        <v>87</v>
      </c>
      <c r="C80" s="136">
        <v>5</v>
      </c>
      <c r="D80" s="157">
        <f>+MGÜE!D7</f>
        <v>2784.9130399999999</v>
      </c>
      <c r="E80" s="155">
        <f>+MGÜE!O7</f>
        <v>2227.9304320000001</v>
      </c>
      <c r="F80" s="182">
        <f>+MGÜE!N7</f>
        <v>0.2</v>
      </c>
      <c r="G80" s="157">
        <f>+MGÜE!X7</f>
        <v>13924.565199999999</v>
      </c>
      <c r="H80" s="157">
        <f>+MGÜE!Y7</f>
        <v>11139.652160000001</v>
      </c>
      <c r="I80" s="158">
        <f t="shared" si="5"/>
        <v>2784.9130399999976</v>
      </c>
    </row>
    <row r="81" spans="1:9">
      <c r="A81" s="142" t="s">
        <v>55</v>
      </c>
      <c r="B81" s="136" t="s">
        <v>84</v>
      </c>
      <c r="C81" s="136">
        <v>6.08</v>
      </c>
      <c r="D81" s="157">
        <f>+MGÜE!D13</f>
        <v>15165.1</v>
      </c>
      <c r="E81" s="155">
        <f>+MGÜE!O13</f>
        <v>12890.335000000001</v>
      </c>
      <c r="F81" s="182">
        <f>+MGÜE!N13</f>
        <v>0.15</v>
      </c>
      <c r="G81" s="157">
        <f>+MGÜE!X13</f>
        <v>92203.808000000005</v>
      </c>
      <c r="H81" s="157">
        <f>+MGÜE!Y13</f>
        <v>78373.236800000013</v>
      </c>
      <c r="I81" s="158">
        <f t="shared" si="5"/>
        <v>13830.571199999991</v>
      </c>
    </row>
    <row r="82" spans="1:9">
      <c r="A82" s="142" t="s">
        <v>8</v>
      </c>
      <c r="B82" s="131" t="s">
        <v>89</v>
      </c>
      <c r="C82" s="131">
        <v>4.7</v>
      </c>
      <c r="D82" s="157">
        <f>+MGÜE!D14</f>
        <v>11768.080000000002</v>
      </c>
      <c r="E82" s="155">
        <f>+MGÜE!O14</f>
        <v>10002.868000000002</v>
      </c>
      <c r="F82" s="182">
        <f>+MGÜE!N14</f>
        <v>0.15</v>
      </c>
      <c r="G82" s="157">
        <f>+MGÜE!X14</f>
        <v>55309.97600000001</v>
      </c>
      <c r="H82" s="157">
        <f>+MGÜE!Y14</f>
        <v>47013.479600000013</v>
      </c>
      <c r="I82" s="158">
        <f>+G82-H82</f>
        <v>8296.4963999999964</v>
      </c>
    </row>
    <row r="83" spans="1:9">
      <c r="A83" s="142" t="s">
        <v>21</v>
      </c>
      <c r="B83" s="131" t="s">
        <v>69</v>
      </c>
      <c r="C83" s="131">
        <v>3.48</v>
      </c>
      <c r="D83" s="157">
        <f>+MGÜE!D15</f>
        <v>11284.460000000001</v>
      </c>
      <c r="E83" s="155">
        <f>+MGÜE!O15</f>
        <v>9591.7910000000011</v>
      </c>
      <c r="F83" s="182">
        <f>+MGÜE!N15</f>
        <v>0.15</v>
      </c>
      <c r="G83" s="157">
        <f>+MGÜE!X15</f>
        <v>39269.9208</v>
      </c>
      <c r="H83" s="157">
        <f>+MGÜE!Y15</f>
        <v>33379.432680000005</v>
      </c>
      <c r="I83" s="158">
        <f>+G83-H83</f>
        <v>5890.4881199999945</v>
      </c>
    </row>
    <row r="84" spans="1:9">
      <c r="A84" s="154" t="s">
        <v>52</v>
      </c>
      <c r="B84" s="131" t="s">
        <v>93</v>
      </c>
      <c r="C84" s="131">
        <v>3.21</v>
      </c>
      <c r="D84" s="157">
        <f>+MGÜE!D16</f>
        <v>8567.26</v>
      </c>
      <c r="E84" s="155">
        <f>+MGÜE!O16</f>
        <v>7282.1710000000003</v>
      </c>
      <c r="F84" s="182">
        <f>+MGÜE!N16</f>
        <v>0.15</v>
      </c>
      <c r="G84" s="157">
        <f>+MGÜE!X16</f>
        <v>27500.904600000002</v>
      </c>
      <c r="H84" s="157">
        <f>+MGÜE!Y16</f>
        <v>23375.768909999999</v>
      </c>
      <c r="I84" s="158">
        <f>+G84-H84</f>
        <v>4125.1356900000028</v>
      </c>
    </row>
    <row r="85" spans="1:9">
      <c r="A85" s="216" t="s">
        <v>191</v>
      </c>
      <c r="B85" s="217"/>
      <c r="C85" s="217"/>
      <c r="D85" s="217"/>
      <c r="E85" s="217"/>
      <c r="F85" s="217"/>
      <c r="G85" s="160">
        <f>SUM(G79:G84)</f>
        <v>308057.45149860007</v>
      </c>
      <c r="H85" s="160">
        <f>SUM(H79:H84)</f>
        <v>257160.19166888006</v>
      </c>
      <c r="I85" s="161">
        <f>+G85-H85</f>
        <v>50897.259829720017</v>
      </c>
    </row>
    <row r="86" spans="1:9">
      <c r="A86" s="162"/>
      <c r="B86" s="163"/>
      <c r="C86" s="163"/>
      <c r="D86" s="163"/>
      <c r="E86" s="163"/>
      <c r="F86" s="163"/>
      <c r="G86" s="163"/>
      <c r="H86" s="163"/>
      <c r="I86" s="148">
        <f>+I85/G85</f>
        <v>0.16522002497300836</v>
      </c>
    </row>
    <row r="87" spans="1:9">
      <c r="A87" s="162"/>
      <c r="B87" s="163"/>
      <c r="C87" s="163"/>
      <c r="D87" s="163"/>
      <c r="E87" s="163"/>
      <c r="F87" s="163"/>
      <c r="G87" s="163"/>
      <c r="H87" s="163"/>
      <c r="I87" s="164"/>
    </row>
    <row r="88" spans="1:9" ht="36">
      <c r="A88" s="162"/>
      <c r="B88" s="163"/>
      <c r="C88" s="165"/>
      <c r="D88" s="55" t="s">
        <v>105</v>
      </c>
      <c r="E88" s="55" t="s">
        <v>104</v>
      </c>
      <c r="F88" s="55" t="s">
        <v>178</v>
      </c>
      <c r="G88" s="55" t="s">
        <v>181</v>
      </c>
      <c r="H88" s="55" t="s">
        <v>180</v>
      </c>
      <c r="I88" s="144" t="s">
        <v>179</v>
      </c>
    </row>
    <row r="89" spans="1:9" ht="15">
      <c r="A89" s="166"/>
      <c r="B89" s="218" t="s">
        <v>170</v>
      </c>
      <c r="C89" s="219"/>
      <c r="D89" s="167">
        <f>+D62</f>
        <v>25094.778748119199</v>
      </c>
      <c r="E89" s="139">
        <f>+Servicio!D5</f>
        <v>195</v>
      </c>
      <c r="F89" s="139">
        <f>+E89*80%</f>
        <v>156</v>
      </c>
      <c r="G89" s="139">
        <f>+E89*D89</f>
        <v>4893481.8558832435</v>
      </c>
      <c r="H89" s="139">
        <f>+D89*F89</f>
        <v>3914785.4847065951</v>
      </c>
      <c r="I89" s="168">
        <f>+G89-H89</f>
        <v>978696.37117664842</v>
      </c>
    </row>
    <row r="90" spans="1:9">
      <c r="A90" s="166"/>
      <c r="B90" s="165"/>
      <c r="C90" s="165"/>
      <c r="D90" s="165"/>
      <c r="E90" s="165"/>
      <c r="F90" s="165"/>
      <c r="G90" s="165"/>
      <c r="H90" s="165"/>
      <c r="I90" s="169">
        <f>+I89/G89</f>
        <v>0.19999999999999996</v>
      </c>
    </row>
    <row r="91" spans="1:9">
      <c r="A91" s="170"/>
      <c r="B91" s="171"/>
      <c r="C91" s="171"/>
      <c r="D91" s="171"/>
      <c r="E91" s="171"/>
      <c r="F91" s="171"/>
      <c r="G91" s="171"/>
      <c r="H91" s="171"/>
      <c r="I91" s="172"/>
    </row>
    <row r="92" spans="1:9">
      <c r="A92" s="170"/>
      <c r="B92" s="171"/>
      <c r="C92" s="171"/>
      <c r="D92" s="171"/>
      <c r="E92" s="171"/>
      <c r="F92" s="135" t="s">
        <v>175</v>
      </c>
      <c r="G92" s="135" t="s">
        <v>176</v>
      </c>
      <c r="H92" s="135" t="s">
        <v>177</v>
      </c>
      <c r="I92" s="145" t="s">
        <v>182</v>
      </c>
    </row>
    <row r="93" spans="1:9">
      <c r="A93" s="170"/>
      <c r="B93" s="217" t="s">
        <v>188</v>
      </c>
      <c r="C93" s="217"/>
      <c r="D93" s="217"/>
      <c r="E93" s="217"/>
      <c r="F93" s="157">
        <f>+'PUNTOS DE INYECCIÓN'!J50</f>
        <v>504590.9309636</v>
      </c>
      <c r="G93" s="157">
        <f>+F93-H93</f>
        <v>453693.67113387998</v>
      </c>
      <c r="H93" s="173">
        <f>+I85</f>
        <v>50897.259829720017</v>
      </c>
      <c r="I93" s="148">
        <f>+H93/F93</f>
        <v>0.10086836030232106</v>
      </c>
    </row>
    <row r="94" spans="1:9">
      <c r="A94" s="170"/>
      <c r="B94" s="217" t="s">
        <v>172</v>
      </c>
      <c r="C94" s="217"/>
      <c r="D94" s="217"/>
      <c r="E94" s="217"/>
      <c r="F94" s="139">
        <f>+(Servicio!G5+Servicio!H5)/PROPUESTA!I99</f>
        <v>37713.159337566132</v>
      </c>
      <c r="G94" s="139">
        <f>+F94-H94</f>
        <v>36571.156570732237</v>
      </c>
      <c r="H94" s="139">
        <f>+I89/I99</f>
        <v>1142.0027668338955</v>
      </c>
      <c r="I94" s="148">
        <f>+H94/F94</f>
        <v>3.0281280775550007E-2</v>
      </c>
    </row>
    <row r="95" spans="1:9">
      <c r="A95" s="170"/>
      <c r="B95" s="217" t="s">
        <v>173</v>
      </c>
      <c r="C95" s="217"/>
      <c r="D95" s="217"/>
      <c r="E95" s="217"/>
      <c r="F95" s="139">
        <f>SUM(F93:F94)</f>
        <v>542304.09030116617</v>
      </c>
      <c r="G95" s="139">
        <f>SUM(G93:G94)</f>
        <v>490264.82770461222</v>
      </c>
      <c r="H95" s="174">
        <f>+G95-G95*98%</f>
        <v>9805.2965540922596</v>
      </c>
      <c r="I95" s="169">
        <v>0.02</v>
      </c>
    </row>
    <row r="96" spans="1:9">
      <c r="A96" s="170"/>
      <c r="B96" s="171"/>
      <c r="C96" s="171"/>
      <c r="D96" s="171"/>
      <c r="E96" s="171"/>
      <c r="F96" s="171"/>
      <c r="G96" s="171"/>
      <c r="H96" s="171"/>
      <c r="I96" s="175"/>
    </row>
    <row r="97" spans="1:9">
      <c r="A97" s="170"/>
      <c r="B97" s="220" t="s">
        <v>174</v>
      </c>
      <c r="C97" s="220"/>
      <c r="D97" s="220"/>
      <c r="E97" s="220"/>
      <c r="F97" s="220"/>
      <c r="G97" s="220"/>
      <c r="H97" s="176">
        <f>SUM(H93:H95)</f>
        <v>61844.559150646171</v>
      </c>
      <c r="I97" s="169">
        <f>+H97/F95</f>
        <v>0.1140403700741056</v>
      </c>
    </row>
    <row r="98" spans="1:9">
      <c r="A98" s="170"/>
      <c r="B98" s="171"/>
      <c r="C98" s="171"/>
      <c r="D98" s="171"/>
      <c r="E98" s="171"/>
      <c r="F98" s="171"/>
      <c r="G98" s="171"/>
      <c r="H98" s="171"/>
      <c r="I98" s="172"/>
    </row>
    <row r="99" spans="1:9" ht="16.5" thickBot="1">
      <c r="A99" s="177"/>
      <c r="B99" s="178"/>
      <c r="C99" s="178"/>
      <c r="D99" s="178"/>
      <c r="E99" s="178"/>
      <c r="F99" s="178"/>
      <c r="G99" s="178"/>
      <c r="H99" s="179" t="s">
        <v>171</v>
      </c>
      <c r="I99" s="180">
        <v>857</v>
      </c>
    </row>
    <row r="101" spans="1:9" ht="16.5" thickBot="1"/>
    <row r="102" spans="1:9" ht="21">
      <c r="A102" s="212" t="s">
        <v>192</v>
      </c>
      <c r="B102" s="213"/>
      <c r="C102" s="151"/>
      <c r="D102" s="151"/>
      <c r="E102" s="151"/>
      <c r="F102" s="151"/>
      <c r="G102" s="151"/>
      <c r="H102" s="151"/>
      <c r="I102" s="152"/>
    </row>
    <row r="103" spans="1:9" ht="15">
      <c r="A103" s="140"/>
      <c r="B103" s="141"/>
      <c r="C103" s="141"/>
      <c r="D103" s="214" t="s">
        <v>164</v>
      </c>
      <c r="E103" s="214"/>
      <c r="F103" s="214"/>
      <c r="G103" s="214" t="s">
        <v>168</v>
      </c>
      <c r="H103" s="214"/>
      <c r="I103" s="215"/>
    </row>
    <row r="104" spans="1:9" ht="15">
      <c r="A104" s="142" t="s">
        <v>136</v>
      </c>
      <c r="B104" s="135" t="s">
        <v>162</v>
      </c>
      <c r="C104" s="135" t="s">
        <v>163</v>
      </c>
      <c r="D104" s="135" t="s">
        <v>165</v>
      </c>
      <c r="E104" s="135" t="s">
        <v>166</v>
      </c>
      <c r="F104" s="135" t="s">
        <v>167</v>
      </c>
      <c r="G104" s="135" t="s">
        <v>165</v>
      </c>
      <c r="H104" s="135" t="s">
        <v>166</v>
      </c>
      <c r="I104" s="143" t="s">
        <v>169</v>
      </c>
    </row>
    <row r="105" spans="1:9">
      <c r="A105" s="142" t="s">
        <v>52</v>
      </c>
      <c r="B105" s="136" t="s">
        <v>93</v>
      </c>
      <c r="C105" s="136">
        <v>3.21</v>
      </c>
      <c r="D105" s="157">
        <f>+Vizca!D5</f>
        <v>33172</v>
      </c>
      <c r="E105" s="155">
        <f>+Vizca!O5</f>
        <v>29854.799999999999</v>
      </c>
      <c r="F105" s="182">
        <f>+Vizca!N5</f>
        <v>0.1</v>
      </c>
      <c r="G105" s="157">
        <f>+Vizca!X5</f>
        <v>106482.12</v>
      </c>
      <c r="H105" s="157">
        <f>+Vizca!Y5</f>
        <v>95833.907999999996</v>
      </c>
      <c r="I105" s="158">
        <f t="shared" ref="I105:I108" si="6">+G105-H105</f>
        <v>10648.212</v>
      </c>
    </row>
    <row r="106" spans="1:9">
      <c r="A106" s="142" t="s">
        <v>34</v>
      </c>
      <c r="B106" s="136" t="s">
        <v>97</v>
      </c>
      <c r="C106" s="136">
        <v>2.84</v>
      </c>
      <c r="D106" s="157">
        <f>+Vizca!D6</f>
        <v>15187</v>
      </c>
      <c r="E106" s="155">
        <f>+Vizca!O6</f>
        <v>12908.95</v>
      </c>
      <c r="F106" s="182">
        <f>+Vizca!N6</f>
        <v>0.15</v>
      </c>
      <c r="G106" s="157">
        <f>+Vizca!X6</f>
        <v>43131.079999999994</v>
      </c>
      <c r="H106" s="157">
        <f>+Vizca!Y6</f>
        <v>36661.417999999998</v>
      </c>
      <c r="I106" s="158">
        <f t="shared" si="6"/>
        <v>6469.6619999999966</v>
      </c>
    </row>
    <row r="107" spans="1:9">
      <c r="A107" s="142" t="s">
        <v>21</v>
      </c>
      <c r="B107" s="136" t="s">
        <v>71</v>
      </c>
      <c r="C107" s="136">
        <v>4.0199999999999996</v>
      </c>
      <c r="D107" s="157">
        <f>+Vizca!D7</f>
        <v>11476</v>
      </c>
      <c r="E107" s="155">
        <f>+Vizca!O7</f>
        <v>9754.6</v>
      </c>
      <c r="F107" s="182">
        <f>+Vizca!N7</f>
        <v>0.15</v>
      </c>
      <c r="G107" s="157">
        <f>+Vizca!X7</f>
        <v>46133.52</v>
      </c>
      <c r="H107" s="157">
        <f>+Vizca!Y7</f>
        <v>39213.491999999998</v>
      </c>
      <c r="I107" s="158">
        <f t="shared" si="6"/>
        <v>6920.0279999999984</v>
      </c>
    </row>
    <row r="108" spans="1:9">
      <c r="A108" s="142" t="s">
        <v>51</v>
      </c>
      <c r="B108" s="136" t="s">
        <v>98</v>
      </c>
      <c r="C108" s="136">
        <v>6.62</v>
      </c>
      <c r="D108" s="157">
        <f>+Vizca!D8</f>
        <v>10472</v>
      </c>
      <c r="E108" s="155">
        <f>+Vizca!O8</f>
        <v>8901.2000000000007</v>
      </c>
      <c r="F108" s="182">
        <f>+Vizca!N8</f>
        <v>0.15</v>
      </c>
      <c r="G108" s="157">
        <f>+Vizca!X8</f>
        <v>69324.639999999999</v>
      </c>
      <c r="H108" s="157">
        <f>+Vizca!Y8</f>
        <v>58925.944000000003</v>
      </c>
      <c r="I108" s="158">
        <f t="shared" si="6"/>
        <v>10398.695999999996</v>
      </c>
    </row>
    <row r="109" spans="1:9">
      <c r="A109" s="216" t="s">
        <v>193</v>
      </c>
      <c r="B109" s="217"/>
      <c r="C109" s="217"/>
      <c r="D109" s="217"/>
      <c r="E109" s="217"/>
      <c r="F109" s="217"/>
      <c r="G109" s="160">
        <f>SUM(G105:G108)</f>
        <v>265071.35999999999</v>
      </c>
      <c r="H109" s="160">
        <f>SUM(H105:H108)</f>
        <v>230634.76199999999</v>
      </c>
      <c r="I109" s="161">
        <f>+G109-H109</f>
        <v>34436.597999999998</v>
      </c>
    </row>
    <row r="110" spans="1:9">
      <c r="A110" s="162"/>
      <c r="B110" s="163"/>
      <c r="C110" s="163"/>
      <c r="D110" s="163"/>
      <c r="E110" s="163"/>
      <c r="F110" s="163"/>
      <c r="G110" s="163"/>
      <c r="H110" s="163"/>
      <c r="I110" s="148">
        <f>+I109/G109</f>
        <v>0.12991444266177984</v>
      </c>
    </row>
    <row r="111" spans="1:9">
      <c r="A111" s="162"/>
      <c r="B111" s="163"/>
      <c r="C111" s="163"/>
      <c r="D111" s="163"/>
      <c r="E111" s="163"/>
      <c r="F111" s="163"/>
      <c r="G111" s="163"/>
      <c r="H111" s="163"/>
      <c r="I111" s="164"/>
    </row>
    <row r="112" spans="1:9" ht="36">
      <c r="A112" s="162"/>
      <c r="B112" s="163"/>
      <c r="C112" s="165"/>
      <c r="D112" s="55" t="s">
        <v>105</v>
      </c>
      <c r="E112" s="55" t="s">
        <v>104</v>
      </c>
      <c r="F112" s="55" t="s">
        <v>178</v>
      </c>
      <c r="G112" s="55" t="s">
        <v>181</v>
      </c>
      <c r="H112" s="55" t="s">
        <v>180</v>
      </c>
      <c r="I112" s="144" t="s">
        <v>179</v>
      </c>
    </row>
    <row r="113" spans="1:9" ht="15">
      <c r="A113" s="166"/>
      <c r="B113" s="218" t="s">
        <v>170</v>
      </c>
      <c r="C113" s="219"/>
      <c r="D113" s="167">
        <f>+D89</f>
        <v>25094.778748119199</v>
      </c>
      <c r="E113" s="139">
        <f>+Servicio!D7</f>
        <v>210</v>
      </c>
      <c r="F113" s="139">
        <f>+E113*88%</f>
        <v>184.8</v>
      </c>
      <c r="G113" s="139">
        <f>+E113*D113</f>
        <v>5269903.5371050322</v>
      </c>
      <c r="H113" s="139">
        <f>+D113*F113</f>
        <v>4637515.1126524284</v>
      </c>
      <c r="I113" s="168">
        <f>+G113-H113</f>
        <v>632388.42445260379</v>
      </c>
    </row>
    <row r="114" spans="1:9">
      <c r="A114" s="166"/>
      <c r="B114" s="165"/>
      <c r="C114" s="165"/>
      <c r="D114" s="165"/>
      <c r="E114" s="165"/>
      <c r="F114" s="165"/>
      <c r="G114" s="165"/>
      <c r="H114" s="165"/>
      <c r="I114" s="169">
        <f>+I113/G113</f>
        <v>0.11999999999999998</v>
      </c>
    </row>
    <row r="115" spans="1:9">
      <c r="A115" s="170"/>
      <c r="B115" s="171"/>
      <c r="C115" s="171"/>
      <c r="D115" s="171"/>
      <c r="E115" s="171"/>
      <c r="F115" s="171"/>
      <c r="G115" s="171"/>
      <c r="H115" s="171"/>
      <c r="I115" s="172"/>
    </row>
    <row r="116" spans="1:9">
      <c r="A116" s="170"/>
      <c r="B116" s="171"/>
      <c r="C116" s="171"/>
      <c r="D116" s="171"/>
      <c r="E116" s="171"/>
      <c r="F116" s="135" t="s">
        <v>175</v>
      </c>
      <c r="G116" s="135" t="s">
        <v>176</v>
      </c>
      <c r="H116" s="135" t="s">
        <v>177</v>
      </c>
      <c r="I116" s="145" t="s">
        <v>182</v>
      </c>
    </row>
    <row r="117" spans="1:9">
      <c r="A117" s="170"/>
      <c r="B117" s="217" t="s">
        <v>188</v>
      </c>
      <c r="C117" s="217"/>
      <c r="D117" s="217"/>
      <c r="E117" s="217"/>
      <c r="F117" s="157">
        <f>+'PUNTOS DE INYECCIÓN'!J91</f>
        <v>291054.12</v>
      </c>
      <c r="G117" s="157">
        <f>+F117-H117</f>
        <v>256617.522</v>
      </c>
      <c r="H117" s="173">
        <f>+I109</f>
        <v>34436.597999999998</v>
      </c>
      <c r="I117" s="148">
        <f>+H117/F117</f>
        <v>0.118316820253223</v>
      </c>
    </row>
    <row r="118" spans="1:9">
      <c r="A118" s="170"/>
      <c r="B118" s="217" t="s">
        <v>172</v>
      </c>
      <c r="C118" s="217"/>
      <c r="D118" s="217"/>
      <c r="E118" s="217"/>
      <c r="F118" s="139">
        <f>+(Servicio!G7+Servicio!H7)/PROPUESTA!I123</f>
        <v>40438.33013549212</v>
      </c>
      <c r="G118" s="139">
        <f>+F118-H118</f>
        <v>39700.420655384063</v>
      </c>
      <c r="H118" s="139">
        <f>+I113/I123</f>
        <v>737.90948010805573</v>
      </c>
      <c r="I118" s="148">
        <f>+H118/F118</f>
        <v>1.8247773279352196E-2</v>
      </c>
    </row>
    <row r="119" spans="1:9">
      <c r="A119" s="170"/>
      <c r="B119" s="217" t="s">
        <v>173</v>
      </c>
      <c r="C119" s="217"/>
      <c r="D119" s="217"/>
      <c r="E119" s="217"/>
      <c r="F119" s="139">
        <f>SUM(F117:F118)</f>
        <v>331492.45013549214</v>
      </c>
      <c r="G119" s="139">
        <f>SUM(G117:G118)</f>
        <v>296317.94265538407</v>
      </c>
      <c r="H119" s="174">
        <f>+G119-G119*98%</f>
        <v>5926.3588531076675</v>
      </c>
      <c r="I119" s="169">
        <v>0.02</v>
      </c>
    </row>
    <row r="120" spans="1:9">
      <c r="A120" s="170"/>
      <c r="B120" s="171"/>
      <c r="C120" s="171"/>
      <c r="D120" s="171"/>
      <c r="E120" s="171"/>
      <c r="F120" s="171"/>
      <c r="G120" s="171"/>
      <c r="H120" s="171"/>
      <c r="I120" s="175"/>
    </row>
    <row r="121" spans="1:9">
      <c r="A121" s="170"/>
      <c r="B121" s="220" t="s">
        <v>174</v>
      </c>
      <c r="C121" s="220"/>
      <c r="D121" s="220"/>
      <c r="E121" s="220"/>
      <c r="F121" s="220"/>
      <c r="G121" s="220"/>
      <c r="H121" s="176">
        <f>SUM(H117:H119)</f>
        <v>41100.866333215723</v>
      </c>
      <c r="I121" s="169">
        <f>+H121/F119</f>
        <v>0.12398733761935275</v>
      </c>
    </row>
    <row r="122" spans="1:9">
      <c r="A122" s="170"/>
      <c r="B122" s="171"/>
      <c r="C122" s="171"/>
      <c r="D122" s="171"/>
      <c r="E122" s="171"/>
      <c r="F122" s="171"/>
      <c r="G122" s="171"/>
      <c r="H122" s="171"/>
      <c r="I122" s="172"/>
    </row>
    <row r="123" spans="1:9" ht="16.5" thickBot="1">
      <c r="A123" s="177"/>
      <c r="B123" s="178"/>
      <c r="C123" s="178"/>
      <c r="D123" s="178"/>
      <c r="E123" s="178"/>
      <c r="F123" s="178"/>
      <c r="G123" s="178"/>
      <c r="H123" s="179" t="s">
        <v>171</v>
      </c>
      <c r="I123" s="180">
        <v>857</v>
      </c>
    </row>
    <row r="124" spans="1:9" ht="16.5" thickBot="1"/>
    <row r="125" spans="1:9" ht="18.75">
      <c r="A125" s="183"/>
      <c r="B125" s="221" t="s">
        <v>194</v>
      </c>
      <c r="C125" s="221"/>
      <c r="D125" s="221"/>
      <c r="E125" s="221"/>
      <c r="F125" s="146">
        <f>+F21+F44+F68+F119</f>
        <v>1135578.8188507424</v>
      </c>
      <c r="G125" s="146">
        <f>+F125-H125</f>
        <v>986955.56840162771</v>
      </c>
      <c r="H125" s="146">
        <f>+H23+H46+H70+H121</f>
        <v>148623.25044911477</v>
      </c>
      <c r="I125" s="147">
        <f>+H125/F125</f>
        <v>0.13087885048747941</v>
      </c>
    </row>
    <row r="126" spans="1:9" ht="18.75">
      <c r="A126" s="170"/>
      <c r="B126" s="222" t="s">
        <v>186</v>
      </c>
      <c r="C126" s="222"/>
      <c r="D126" s="222"/>
      <c r="E126" s="222"/>
      <c r="F126" s="139">
        <f>+F95</f>
        <v>542304.09030116617</v>
      </c>
      <c r="G126" s="139">
        <f>+F126-H126</f>
        <v>480459.53115052002</v>
      </c>
      <c r="H126" s="139">
        <f>+H97</f>
        <v>61844.559150646171</v>
      </c>
      <c r="I126" s="148">
        <f>+H126/F126</f>
        <v>0.1140403700741056</v>
      </c>
    </row>
    <row r="127" spans="1:9" ht="18.75">
      <c r="A127" s="170"/>
      <c r="B127" s="184"/>
      <c r="C127" s="184"/>
      <c r="D127" s="184"/>
      <c r="E127" s="184"/>
      <c r="F127" s="171"/>
      <c r="G127" s="171"/>
      <c r="H127" s="171"/>
      <c r="I127" s="172"/>
    </row>
    <row r="128" spans="1:9" ht="19.5" thickBot="1">
      <c r="A128" s="177"/>
      <c r="B128" s="211" t="s">
        <v>195</v>
      </c>
      <c r="C128" s="211"/>
      <c r="D128" s="211"/>
      <c r="E128" s="211"/>
      <c r="F128" s="149">
        <f>SUM(F125:F126)</f>
        <v>1677882.9091519085</v>
      </c>
      <c r="G128" s="149">
        <f t="shared" ref="G128:H128" si="7">SUM(G125:G126)</f>
        <v>1467415.0995521478</v>
      </c>
      <c r="H128" s="149">
        <f t="shared" si="7"/>
        <v>210467.80959976095</v>
      </c>
      <c r="I128" s="150">
        <f>+H128/F128</f>
        <v>0.12543652983874937</v>
      </c>
    </row>
  </sheetData>
  <mergeCells count="48">
    <mergeCell ref="D2:F2"/>
    <mergeCell ref="G29:I29"/>
    <mergeCell ref="B21:E21"/>
    <mergeCell ref="B20:E20"/>
    <mergeCell ref="B19:E19"/>
    <mergeCell ref="B23:G23"/>
    <mergeCell ref="A11:F11"/>
    <mergeCell ref="B15:C15"/>
    <mergeCell ref="A1:B1"/>
    <mergeCell ref="A28:B28"/>
    <mergeCell ref="D29:F29"/>
    <mergeCell ref="B66:E66"/>
    <mergeCell ref="A34:F34"/>
    <mergeCell ref="B38:C38"/>
    <mergeCell ref="B42:E42"/>
    <mergeCell ref="B43:E43"/>
    <mergeCell ref="B44:E44"/>
    <mergeCell ref="B46:G46"/>
    <mergeCell ref="A51:B51"/>
    <mergeCell ref="D52:F52"/>
    <mergeCell ref="G52:I52"/>
    <mergeCell ref="A58:F58"/>
    <mergeCell ref="B62:C62"/>
    <mergeCell ref="G2:I2"/>
    <mergeCell ref="B97:G97"/>
    <mergeCell ref="B67:E67"/>
    <mergeCell ref="B68:E68"/>
    <mergeCell ref="B70:G70"/>
    <mergeCell ref="A75:B75"/>
    <mergeCell ref="D76:F76"/>
    <mergeCell ref="G76:I76"/>
    <mergeCell ref="A85:F85"/>
    <mergeCell ref="B89:C89"/>
    <mergeCell ref="B93:E93"/>
    <mergeCell ref="B94:E94"/>
    <mergeCell ref="B95:E95"/>
    <mergeCell ref="B128:E128"/>
    <mergeCell ref="A102:B102"/>
    <mergeCell ref="D103:F103"/>
    <mergeCell ref="G103:I103"/>
    <mergeCell ref="A109:F109"/>
    <mergeCell ref="B113:C113"/>
    <mergeCell ref="B117:E117"/>
    <mergeCell ref="B118:E118"/>
    <mergeCell ref="B119:E119"/>
    <mergeCell ref="B121:G121"/>
    <mergeCell ref="B125:E125"/>
    <mergeCell ref="B126:E126"/>
  </mergeCells>
  <phoneticPr fontId="2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5FF8-BA71-4D34-BF0B-F1E1B40D984E}">
  <dimension ref="B1:I20"/>
  <sheetViews>
    <sheetView showGridLines="0" workbookViewId="0">
      <selection activeCell="H6" sqref="H6"/>
    </sheetView>
  </sheetViews>
  <sheetFormatPr baseColWidth="10" defaultColWidth="11.42578125" defaultRowHeight="16.5"/>
  <cols>
    <col min="1" max="1" width="3.5703125" style="14" customWidth="1"/>
    <col min="2" max="2" width="34.140625" style="14" customWidth="1"/>
    <col min="3" max="3" width="37.140625" style="14" customWidth="1"/>
    <col min="4" max="4" width="26.5703125" style="14" customWidth="1"/>
    <col min="5" max="5" width="25" style="14" customWidth="1"/>
    <col min="6" max="6" width="22.42578125" style="14" customWidth="1"/>
    <col min="7" max="7" width="20.140625" style="14" customWidth="1"/>
    <col min="8" max="8" width="20" style="14" customWidth="1"/>
    <col min="9" max="9" width="17.42578125" style="14" customWidth="1"/>
    <col min="10" max="10" width="16" style="14" customWidth="1"/>
    <col min="11" max="11" width="19.5703125" style="14" customWidth="1"/>
    <col min="12" max="16384" width="11.42578125" style="14"/>
  </cols>
  <sheetData>
    <row r="1" spans="2:9">
      <c r="B1" s="20"/>
    </row>
    <row r="2" spans="2:9" s="23" customFormat="1" ht="42" customHeight="1">
      <c r="B2" s="21" t="s">
        <v>102</v>
      </c>
      <c r="C2" s="21" t="s">
        <v>103</v>
      </c>
      <c r="D2" s="21" t="s">
        <v>104</v>
      </c>
      <c r="E2" s="21" t="s">
        <v>105</v>
      </c>
      <c r="F2" s="22" t="s">
        <v>106</v>
      </c>
      <c r="G2" s="21" t="s">
        <v>134</v>
      </c>
      <c r="H2" s="21" t="s">
        <v>135</v>
      </c>
    </row>
    <row r="3" spans="2:9">
      <c r="B3" s="11" t="s">
        <v>28</v>
      </c>
      <c r="C3" s="12">
        <v>178</v>
      </c>
      <c r="D3" s="12">
        <v>540</v>
      </c>
      <c r="E3" s="13">
        <f>+F13</f>
        <v>178095.42660007099</v>
      </c>
      <c r="F3" s="13">
        <f>+F18</f>
        <v>25094.778748119199</v>
      </c>
      <c r="G3" s="24">
        <f>F3*D3</f>
        <v>13551180.523984367</v>
      </c>
      <c r="H3" s="24">
        <f>E3*C3</f>
        <v>31700985.934812635</v>
      </c>
    </row>
    <row r="4" spans="2:9">
      <c r="B4" s="11" t="s">
        <v>32</v>
      </c>
      <c r="C4" s="12">
        <v>157</v>
      </c>
      <c r="D4" s="12">
        <v>148</v>
      </c>
      <c r="E4" s="13">
        <f>+E3</f>
        <v>178095.42660007099</v>
      </c>
      <c r="F4" s="13">
        <f>+F3</f>
        <v>25094.778748119199</v>
      </c>
      <c r="G4" s="24">
        <f t="shared" ref="G4:G7" si="0">F4*D4</f>
        <v>3714027.2547216415</v>
      </c>
      <c r="H4" s="24">
        <f t="shared" ref="H4:H7" si="1">E4*C4</f>
        <v>27960981.976211146</v>
      </c>
    </row>
    <row r="5" spans="2:9">
      <c r="B5" s="11" t="s">
        <v>7</v>
      </c>
      <c r="C5" s="12">
        <v>154</v>
      </c>
      <c r="D5" s="12">
        <v>195</v>
      </c>
      <c r="E5" s="13">
        <f>+F13</f>
        <v>178095.42660007099</v>
      </c>
      <c r="F5" s="13">
        <f t="shared" ref="F5:F7" si="2">+F4</f>
        <v>25094.778748119199</v>
      </c>
      <c r="G5" s="24">
        <f t="shared" si="0"/>
        <v>4893481.8558832435</v>
      </c>
      <c r="H5" s="24">
        <f t="shared" si="1"/>
        <v>27426695.696410932</v>
      </c>
    </row>
    <row r="6" spans="2:9">
      <c r="B6" s="11" t="s">
        <v>44</v>
      </c>
      <c r="C6" s="12">
        <v>41</v>
      </c>
      <c r="D6" s="12">
        <v>52</v>
      </c>
      <c r="E6" s="13">
        <f>+F11</f>
        <v>212998.28181310999</v>
      </c>
      <c r="F6" s="13">
        <f t="shared" si="2"/>
        <v>25094.778748119199</v>
      </c>
      <c r="G6" s="24">
        <f t="shared" si="0"/>
        <v>1304928.4949021984</v>
      </c>
      <c r="H6" s="24">
        <f t="shared" si="1"/>
        <v>8732929.554337509</v>
      </c>
    </row>
    <row r="7" spans="2:9">
      <c r="B7" s="11" t="s">
        <v>33</v>
      </c>
      <c r="C7" s="12">
        <v>165</v>
      </c>
      <c r="D7" s="12">
        <v>210</v>
      </c>
      <c r="E7" s="13">
        <f>+F13</f>
        <v>178095.42660007099</v>
      </c>
      <c r="F7" s="13">
        <f t="shared" si="2"/>
        <v>25094.778748119199</v>
      </c>
      <c r="G7" s="24">
        <f t="shared" si="0"/>
        <v>5269903.5371050322</v>
      </c>
      <c r="H7" s="24">
        <f t="shared" si="1"/>
        <v>29385745.389011715</v>
      </c>
    </row>
    <row r="8" spans="2:9">
      <c r="F8" s="25" t="s">
        <v>107</v>
      </c>
      <c r="G8" s="26">
        <f>+SUM(G3:G7)</f>
        <v>28733521.66659648</v>
      </c>
      <c r="H8" s="26">
        <f>+SUM(H3:H7)</f>
        <v>125207338.55078393</v>
      </c>
    </row>
    <row r="10" spans="2:9" ht="50.25" customHeight="1">
      <c r="B10" s="15" t="s">
        <v>108</v>
      </c>
      <c r="C10" s="16" t="s">
        <v>108</v>
      </c>
      <c r="D10" s="16" t="s">
        <v>109</v>
      </c>
      <c r="E10" s="16" t="s">
        <v>110</v>
      </c>
      <c r="F10" s="30" t="s">
        <v>133</v>
      </c>
      <c r="G10" s="27"/>
      <c r="H10" s="33"/>
      <c r="I10" s="27"/>
    </row>
    <row r="11" spans="2:9">
      <c r="B11" s="17" t="s">
        <v>111</v>
      </c>
      <c r="C11" s="29" t="s">
        <v>112</v>
      </c>
      <c r="D11" s="29" t="s">
        <v>113</v>
      </c>
      <c r="E11" s="29" t="s">
        <v>114</v>
      </c>
      <c r="F11" s="31">
        <v>212998.28181310999</v>
      </c>
      <c r="G11" s="28"/>
      <c r="H11" s="28"/>
      <c r="I11" s="29"/>
    </row>
    <row r="12" spans="2:9">
      <c r="B12" s="17" t="s">
        <v>111</v>
      </c>
      <c r="C12" s="29" t="s">
        <v>115</v>
      </c>
      <c r="D12" s="29" t="s">
        <v>113</v>
      </c>
      <c r="E12" s="29" t="s">
        <v>116</v>
      </c>
      <c r="F12" s="31">
        <v>212998.28181310999</v>
      </c>
      <c r="G12" s="28"/>
      <c r="H12" s="28"/>
      <c r="I12" s="29"/>
    </row>
    <row r="13" spans="2:9">
      <c r="B13" s="17" t="s">
        <v>111</v>
      </c>
      <c r="C13" s="29" t="s">
        <v>117</v>
      </c>
      <c r="D13" s="29" t="s">
        <v>113</v>
      </c>
      <c r="E13" s="29" t="s">
        <v>118</v>
      </c>
      <c r="F13" s="31">
        <v>178095.42660007099</v>
      </c>
      <c r="G13" s="28"/>
      <c r="H13" s="28"/>
      <c r="I13" s="29"/>
    </row>
    <row r="14" spans="2:9">
      <c r="B14" s="17" t="s">
        <v>111</v>
      </c>
      <c r="C14" s="29" t="s">
        <v>119</v>
      </c>
      <c r="D14" s="29" t="s">
        <v>113</v>
      </c>
      <c r="E14" s="29" t="s">
        <v>120</v>
      </c>
      <c r="F14" s="31">
        <v>148911.72224123601</v>
      </c>
      <c r="G14" s="28"/>
      <c r="H14" s="28"/>
      <c r="I14" s="29"/>
    </row>
    <row r="15" spans="2:9">
      <c r="B15" s="17" t="s">
        <v>111</v>
      </c>
      <c r="C15" s="29" t="s">
        <v>121</v>
      </c>
      <c r="D15" s="29" t="s">
        <v>113</v>
      </c>
      <c r="E15" s="29" t="s">
        <v>122</v>
      </c>
      <c r="F15" s="31">
        <v>177854.90156414601</v>
      </c>
      <c r="G15" s="28"/>
      <c r="H15" s="28"/>
      <c r="I15" s="29"/>
    </row>
    <row r="16" spans="2:9">
      <c r="B16" s="17" t="s">
        <v>111</v>
      </c>
      <c r="C16" s="29" t="s">
        <v>123</v>
      </c>
      <c r="D16" s="29" t="s">
        <v>113</v>
      </c>
      <c r="E16" s="29" t="s">
        <v>124</v>
      </c>
      <c r="F16" s="31">
        <v>124511.793596898</v>
      </c>
      <c r="G16" s="28"/>
      <c r="H16" s="28"/>
      <c r="I16" s="29"/>
    </row>
    <row r="17" spans="2:9">
      <c r="B17" s="17" t="s">
        <v>111</v>
      </c>
      <c r="C17" s="29" t="s">
        <v>125</v>
      </c>
      <c r="D17" s="29" t="s">
        <v>113</v>
      </c>
      <c r="E17" s="29" t="s">
        <v>126</v>
      </c>
      <c r="F17" s="31">
        <v>118284.867666854</v>
      </c>
      <c r="G17" s="28"/>
      <c r="H17" s="28"/>
      <c r="I17" s="29"/>
    </row>
    <row r="18" spans="2:9">
      <c r="B18" s="17" t="s">
        <v>111</v>
      </c>
      <c r="C18" s="29" t="s">
        <v>127</v>
      </c>
      <c r="D18" s="29" t="s">
        <v>113</v>
      </c>
      <c r="E18" s="29" t="s">
        <v>128</v>
      </c>
      <c r="F18" s="31">
        <v>25094.778748119199</v>
      </c>
      <c r="G18" s="28"/>
      <c r="H18" s="28"/>
      <c r="I18" s="29"/>
    </row>
    <row r="19" spans="2:9">
      <c r="B19" s="17" t="s">
        <v>111</v>
      </c>
      <c r="C19" s="29" t="s">
        <v>129</v>
      </c>
      <c r="D19" s="29" t="s">
        <v>113</v>
      </c>
      <c r="E19" s="29" t="s">
        <v>130</v>
      </c>
      <c r="F19" s="31">
        <v>178282.50162801199</v>
      </c>
      <c r="G19" s="28"/>
      <c r="H19" s="28"/>
      <c r="I19" s="29"/>
    </row>
    <row r="20" spans="2:9">
      <c r="B20" s="18" t="s">
        <v>111</v>
      </c>
      <c r="C20" s="19" t="s">
        <v>131</v>
      </c>
      <c r="D20" s="19" t="s">
        <v>113</v>
      </c>
      <c r="E20" s="19" t="s">
        <v>132</v>
      </c>
      <c r="F20" s="32">
        <v>490884.87331784202</v>
      </c>
      <c r="G20" s="28"/>
      <c r="H20" s="28"/>
      <c r="I20" s="29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3 8 a 7 3 e 2 - 6 f 7 8 - 4 4 c c - 8 c 0 9 - f 9 d 4 6 4 7 a 5 1 9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 1 0 . 3 8 3 7 1 4 4 5 4 9 9 5 3 3 5 < / L a t i t u d e > < L o n g i t u d e > - 6 6 . 2 8 5 1 6 6 9 5 6 7 9 8 1 < / L o n g i t u d e > < R o t a t i o n > 0 < / R o t a t i o n > < P i v o t A n g l e > 0 < / P i v o t A n g l e > < D i s t a n c e > 3 . 2 3 3 9 7 0 6 8 1 0 2 3 4 8 1 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B i Q S U R B V H h e 7 Z 3 5 c x v Z c c d 7 c B M g e F 8 S S Y m i t N q V t L J X q / X a e 8 u W 7 S Q V n 7 + k 4 q y d H 5 z K p u z / K l W p u C q / x L G 9 t t f e Q 7 t a X R Q l 6 p Y o k Z R 4 i C d 4 4 p z B D J D u f j M 4 S J A E y S E l 2 / 1 B t Q Y Y H B Q G 8 5 1 v v 3 5 v 3 m j / 9 / n l P A i C 4 A o e e y k I g g t o v / n i i j i U I L i E O J Q g u I g I S h B c B F O + P k n 5 B M E l t N + e F 0 E J g l t I y i c I L o I O d V U c S h B c Q v v d l y I o Q X A L S f k E w U V E U I L g I t r v L v R L y i c I L q F 9 K I I S B N e Q l E 8 Q X A Q d 6 p o 4 l C C 4 h P b h R R G U I L i F 9 n s R l C C 4 B g r q u g h K E F x C + / 0 l E Z Q g u I X 2 B x G U I L i G l M 0 F w U W 0 P 1 w e E I c S B J c Q h x I E F 9 H + K A 7 1 3 B G q a 4 O 8 B e A N 7 4 d D 9 W n Q T S 8 E f T l o D p v g 9 3 n x V / N A X A e Y n p u F p 7 F l s C z T f q f w r E F B 3 R B B P W M a W r r h q 1 0 R u D 0 B Y O Z y U B + y o L v e h F w + j 4 8 1 6 B v 1 o 6 g 0 + 9 U A p 7 s M a I r k Q d M 0 D o / H A / 0 T I U h b f s g l H q A Y U W 3 C M 0 H 7 4 x U R 1 L P g R O 8 h a I t 4 I G n k Y T G V h 2 j A g o A 3 D x 4 N R Y T u l A M N P h 8 K Q D i Q h 9 e 6 D X 5 u c s U L 9 6 b 9 / P 4 X 2 0 w 4 0 I g v t M n l N T g 3 X F M Q W C D g B 4 / x C C w j b b 9 C 2 A t E U H v M 2 y / 3 g g / N x r I s y J o 5 F h C 5 j 5 l D x 8 H n L z 0 J Q l u t B R l c l 9 A 1 s F A o B x t N T v m G 5 v z 8 2 K G j z o K X O 7 J 8 / + O H I V 6 S o I j 2 a B 6 W d R + 2 k v 3 g h 3 m w 0 l O 8 X t h d t I + u 3 B R B 7 Q H f P P U i m E Y G L E z p k h k L Q r 4 8 u o o H E o Y G P k + e h U T k M c 1 z + P b R D C 8 t X P X Z o x A 0 e a Z g I b e P 1 5 F u S l 4 K A d R O 1 i q K j S h N C X 0 + H z T 4 Z i G R i N n P C r u B 9 l G f C G o 3 8 f i j 8 O 5 L r Z D N Z l k s O R T U 7 S k / d G E b y e c B q A 3 m Y H z R B 4 N z q I h V 9 G B K d 6 R V O Z D D x J I X H s y q t G 8 j H K c i H G F 5 v R 7 w + z A V z N y 1 n x H c R g S 1 i / g i L 8 I b B 9 G V M L 3 L Y U q H n q K e Q E h c 9 K j c U w A G Z 3 0 w l / D C 6 w d V u 4 l e c w c F e K R h B Y y c D + o j f n Q 1 D / S N B t D h 1 H s 2 o p K w D r d p M L m Q A S 0 7 b j 8 j u I X 2 p 7 5 b V f w s w p b Q v G A G j s K 7 h + J g m i b v x C Q g Z z m f 8 s J s 3 A P H 2 s v d h x i K + S C d 1 a A + l C s U H a w c A J o L u 1 s + n 8 P 7 + P m 4 8 t x I h J + v B k d Y B V G 1 5 L D t l o f F x S e 8 X n A H 7 U 9 X R V B u 4 g t 3 Q N K o h 3 d 6 E q p i Z 2 Y x 1 f K x k E q x 0 F 6 o D e V H F 6 q G u a Q H h m P o T j q 2 i V A b 9 H E t E Q v X e + 1 X V E e p s K h t B T k L w t p j X i f s H B k p 4 S L B p h O 4 w 9 f B S y 0 J T O X I T f I s p q W 0 c q Z S v K i K p + O j 8 P G d D P z m m i o + E I a x t g 8 p F j e h u c a E 2 g B a F U K p H v V F 9 T S Z c K r T 4 H X V 4 v w / a M m O p 3 n g 9 K E O 8 G V T v F 7 Y G e J Q L h F s O g n L y z p 0 1 u l w M J o A f y B Q J q J E f A V 8 f j / k c S e u C U d Q O N h G w t d k T Q s e x k J w t f 8 6 f P 2 1 U 3 C s w w Q L 0 0 S 0 E M h i m 8 n U 4 1 B b W 8 u v t 7 Q g p 4 T H O 7 J c 9 d s J q 1 P A l 9 v i M L + 8 B C v 6 1 g Q q l I P H S b n t 9 O Y J t r O Y A p 4 s H G k 2 1 o i J q I 3 W Q S h U A 6 G a M D u D w x e P Q 3 A C B d L d f Y D F l E z p 8 O c b C + h s X g j 5 8 y z A q 2 M B + N / L i / z 6 m b h 3 x 2 I i 6 P 9 X G s t G C L o b g y X f S m 7 b u v 2 5 / 7 Y 4 1 A 4 I 1 O 6 H 5 V Q E m y I W F y H I X S z c s K G A K m 1 T U Y L 6 g F Z j 6 D p o P j + 2 p T w o H I B P U E Q N E Q 9 8 p S e C 6 a A H P C i o V C o J C 0 Z d V W X y n c A u h S k q t f t u j p m Y B q 7 Y z w h b R Q S 1 E 3 B H 1 L 1 H u Y / p 7 A t p P t L r m Q w E g k F 2 F o 0 a / c j y 0 i K 7 F v U B 0 T K Z W I F I b R 2 s Y I p V V 9 / A r 1 n N k 1 g O h h b C 9 q P d x U n / O u u z 0 F O X g E / u m d D W k O R 1 w t b A X 5 w 2 p s R 2 w g w c U 2 V x y P O I b x I U i Y k K C 4 6 Y M u k U 1 D c 0 Q h j b T b q u i g 8 k J o L E R C 4 U X 1 n m x z q 6 F n 0 G p Y R 7 I S Z b R / w 3 i a f L f l h Y W o F X u g F m F w K 4 Z u 1 3 l t g 4 t I + v 3 R G H 2 g a e 6 A m I x 1 W n 7 e k u H a K B L D q V D s F g j f 0 K g M X 5 G K R T K W j t 2 M d t I q c A Q F C K S G k d 7 c z J R B y C o R D 4 / b Q T F 8 f l 7 T X 0 f 6 P / T 9 S b h E P 1 S z C + k u U q o F A 9 s r W 2 S S K h s 5 h o B 6 w L Y X q H O i E x k W M 5 N D a 3 Q F 1 D A w r F z 3 0 + j p i o b 4 r E R N B n 1 N S E C 2 J 6 l j h O t a Q H I I j / 5 / Z A c T S 7 U B 2 S 8 m 0 j s p j q l V b q n k 5 O 4 r / 0 H B Q K E A u x W V 5 S d Y 9 w 0 j 1 6 n w / b U k Q a 0 7 3 S g s W j W e 2 Z u V M p H o + X H X U R 2 3 6 h F A 2 m X b s N J C q H h w 6 a E t V H U 9 e L 3 C f E n a J 4 R K f w R 7 t 4 3 f X r A z A 3 N 4 c b F l / X 0 s Z L B + 5 b Q s i p y J W I + Z h 6 L X 4 K f P I o B K N L a s T 5 s 4 b a f 2 n T h w c B A y K R c M X t I L F O f H L 9 r r S h t o D u e 5 G L B 4 5 D k a B q g 3 n 4 x s H y E Q 4 p b D u F w 8 X C A o m I j v o L 8 / M Q r G 2 E I J 1 u g a 5 l G B m 4 M d 8 B W e v 5 y r 7 z p g 6 H Q 8 N c l V x Z i U M m 3 G I / I 2 y E p H x b C M 0 f L Z y G Q d C S x t X V + I v p H 0 F i G x 0 d 4 / v 0 U k r j P h u O w P m R I I y m O + D S a B j O D Y f h w k Q T t r G a I P L s m 0 9 l e P E 7 1 W t z f A C g g b g + b u + V b w u J y i F F i S 1 g a F 2 F V M + B x t X V r O p 3 p b T u 8 O F e v k + p n A O d m U s j z U u h n + F Q 0 / M 1 y Q q d 0 N j Q 1 A K J Z I q 7 A E h Y n q W n 9 r P C R k g b a g t B 7 a R S d 3 J Y S G k w u l g u F B q n d 3 N w w n 6 0 P j c m / J w y P m + M L f k g G q 2 F c C Q C R t b g H W X 1 9 p B Y G + J Q 1 R I 6 W C a i U q I o i C c L a 4 c H z W l H 7 H u V w e 0 P M X S s y 6 P P W c 6 H U I k / G A j y k h w 3 l U 5 D 3 l p 7 / p Z Q j r S h q g z d D K 1 J 9 x y m V r y Q 3 U a X j f N J q + e C e B 4 w M e 8 b G R n B b 6 7 x k K l o N A r L o 4 P 4 z N p t I 1 E M T 4 V 1 E h W C O m w r p X s O 9 L K t c N S e K 6 I t a v F k L H S G 7 n p s 9 b P d g J z p 5 Z N f 4 T T G T 1 O S 4 R 2 u b N r b Q 6 J y U J G q 0 n q J k v A G G g t l 8 v X A r G h D 6 k J 5 F s 6 J d n W + 0 c M 5 l S L O x r 1 c u K D R F v Q 8 z Y Z E s y C V s l a + e 8 O N y Q D / b d o G 1 A 1 A 5 2 W t 3 j Y S 5 S E p X x W R 9 b S v m + 4 5 0 L w P j + b L 2 1 F 1 Q S V C E s j r B 1 Q / 1 d 2 Z 8 v Y S O Q B 9 7 P i S j 8 v r N B + f l d P g q 5 1 Z H i P 4 r K D v u p w C i K / E + b G F X 5 B E l Z i m 7 o C 1 2 0 h C h a R 8 V Y R h V N d A G p 3 3 c l + T A 8 1 c R K 7 z b m 8 a 7 t 2 7 D 5 O z 6 i T B U h y N t k Y s 6 G 5 Q f y d A c / a Z O g y j Q B t q l C j f P K S z e + 0 V J C i 6 k S s 9 f D g E 0 b p a 7 p z W U 4 m K 2 0 h C h X b u 5 o O 9 + 5 X + Q k n k e w s l 8 4 1 c q p T D z S Z P n f w W C u H e 3 X t w + M h h u D E d h b i + 8 8 I q / X a 7 + a P R d 6 Q B v F k j A 9 3 a f R 4 Z X 1 N T A 1 N T U 7 C M j t X 7 2 j v 2 K 4 X V o K A G R V C b E M / 1 F E Z I V C u o I t R 2 0 i G j 6 z z i g A b D 0 t C l 2 0 + S s K T t t 1 + z d X Z T V H R y J A m K h k U 1 J f v B 7 / f x 8 C O P 1 w O J e A J 6 T o u g 1 k P 6 o a p g 6 y I q R Y 0 g f 7 L g h b v o V J c u X e G R B 7 3 d O x s b t 7 s O R e 1 F D B T W l P c 4 t L e 3 w / 7 9 + y C d S s P S s j o Z U q i M t K E 2 i Z w W 2 q G g F B P x W p i r e R 3 e e O P r 7 F K 3 J v 0 8 M + z z B r s w L l U R R o m q / 7 H O Q m p q b o J A T V 3 F 7 S S h Q m Y 9 2 v T m L h 8 / D M L A v T F M A T G l q t C h S 1 U / Y r 9 5 A 9 s u J k T s u f j 2 C h I Q B 4 t J p b j p n B o 1 T + s z V q B k 2 8 h t 9 U 1 S v k 3 g I 7 Y L D l V E g 9 5 D B + G 9 I 5 X n v z v 7 Q g b O 9 C b g + P G X 4 L v H T H i j x 4 C T + 1 S 1 k K C p x V p q L Z 7 k c r c g d 1 J h c U G C l n f m 6 i G d y c B 0 f G s z 1 f 6 t I S n f Z k E L e + k W V 8 e D 8 O j x J H z r S I a D r g e V z 8 z D 1 w 4 o k S 0 u L q q U i x / R t Z 6 U S 5 G o 3 j 6 k w y v 7 s 3 C k x e T 5 z t 2 E B e Q E C 8 k W l q X E d W u K h l 9 Z a 7 e R R C H E o T a F H M q + 6 y K z n q P w 6 V A I h h d 8 M J v w Q r P 5 s D D 8 q L W 1 F a a m p j n F q g Q J k n i v N w W d 9 d s Y R L g B O b v d R F E m M F q H z 5 H Q h P W R N t Q m N 5 + H x v D t X j t m F A V F + P e 9 z k u H z s 7 9 6 I w a X L t 2 H W K x W F n a + b V u H R Y W F n k U O F 3 B o y m Y 5 N E Y 0 Q 3 G A 2 6 E S m t t E d k p H o d z n 5 b Y n q O p 0 m h Z u n 3 k V n 6 T l K + K c O a D 2 E 0 q d f i S o E 6 f f p W H / d D 9 U h o b G 6 C / / x r f z 8 3 d h D N H d D g c m e K 0 s K l m 6 6 d Z U A G C R k K Q e E g 4 f J / F p I T E j 3 E 7 8 B X n V 2 0 f i W J I y l c F t F P t O h u k l X V 1 0 Y J D X b h w E e 7 c u Q t Z 3 L l f e E G d b 9 X W 1 s r L l u Z m 3 v H 9 S z f 4 c T X w 5 2 J Q q g d 5 W 0 R O u s f i s t f Z o s r n n 6 + z i 5 8 3 J O W r 4 m Z Z N E p C p V O r n c I N f J 4 c j 9 V b D x q U m k 6 r q 7 l 3 d H T A s W M v Q c D v 5 / V E S 0 s z D A z c g H O f f Q K f f n o O T p 4 8 C Y e b q 3 Q p W 0 w k H t N U I i L x F J 0 J g 5 z J z G I Y U B s J l W w Z u a 2 + i U N V Q Y 5 2 p u z 2 z l b d r B L n 9 e b h z Q M p H k V R O k m m A w m k q a k J r l 6 9 B t c H B q C 5 u Q m y W V U N 3 L d v H 0 x M T P D s S q d O v Q J n v n k W 3 n r r G / x c a 2 C J l + u j u g P o V h B O m Y B K I 8 t D k U z c B g d 7 u u z 3 C 5 X Q z t 8 d 2 o U a 1 l 8 X N M + 3 b v k h E A y T R d l r 3 e H d w 3 p h x A S N F 7 x 1 6 z a 3 m x y W l 5 e h v r 7 e f l T O 4 k K M r + L R v q / T X q M g w T k z 0 c a S H n g y k 4 E l U 0 2 4 6 e A U I i i N U + 5 D g j H 4 v b w 0 M j w 5 p 5 F J g 5 5 J Q j q Z w F i G n 7 z / j 2 5 v g r 8 q 8 P h p t 6 Y k 1 o 2 2 J r X D 0 d H b b U q H H 5 H b k J g u X b z M 7 R h i c J B O O 6 / M p L 6 P x T R v z 1 L r U D q t c 0 s k B 6 c O e v k i b W / 3 6 t A d X u A R 8 O x Q X N V z 0 j v V X i o 6 F a Z + 5 E 5 0 n 1 1 K C U 2 l v B L r h f b l 3 W F x q C p 4 N J a D Q K g W X a q m c G W N 7 U J v t / U C u Y X 7 8 K 3 X u m B p a R n b Q s U B s + Q g 1 E b K Z H R O 8 9 z A o O m g N Q 9 4 f T 5 u K 3 0 y 6 A M D X Z H S W R P b i c q Z S D g 6 O 5 + h p 9 C d 0 p B J o z s l V l C A O r z / s x / b n y Z U Q s r m V U b I b 2 E 6 p P N O t 1 6 H a 7 X U + I r v f / s r 7 d D X 1 1 8 m J m J k 5 D G M j Y 1 D X V 2 t v W Z 9 U s n K 1 3 I i l 2 M R 2 V A b j f q u S E y z s 9 P w a t s s u 4 9 Z c C E K u 7 3 E j q R E Z q L I s o Y O 3 / v B 2 Y r b R q I Y k v J V G V 3 7 / H z k N k 2 a h n l n q V / S K D q c o d X C m 2 + + Y T 9 S x G L z P F E m V f O q u S o H z Z 1 X C R K B k z r S C Z L B U A 0 7 X y a d g X C 4 F p L x e E n K V x R U U V j K r b L Z D C / r G 6 g t V 3 n 7 S K j Y W e 7 y N w S 1 H U z c Q W k n 5 b Q I d z h q h + y U / v E A 6 K v 0 O T M 9 Z d / b G X S R 7 E C Q T j + h K 3 5 g m k e O R W c e 4 y 2 T T o P p b 1 R u 5 K R 9 J C B + T E J S 6 R 9 / X 3 S 5 2 t q 9 u Z r i X z o y c + w W 4 m B n A H d I E h Q d s Q 0 8 i m 9 / X B t + X I H z I + W X s N n f W S x N r y 6 E z M / N s D D o I m 0 L s T m + r O h K h Z P + 0 u k U e L 1 q W F O K p 1 Q 2 Y C 5 O H b a q s q d 5 / X B 9 T L O d y H E j u m g c i s g J / K 7 q + + r w z + / / s O I 2 k S g P c a g t U B c N g K m n W V C 0 k 1 E a R D s 8 j z b Y I q v f M b l c P C 2 C h h W N j 4 / D / Q e D L A o S A V 0 q p 7 / / O j S 3 t n M 7 i E T Q 1 N L K l x W t q 1 B W p 4 u 4 0 f + L 3 k t X 0 K B l r Y 8 c y O R R F p 8 / 8 u L / n Y R U 3 m 6 y U E i c 2 t o H j q y e g m A Q 0 0 7 c W Y T N 0 S 7 c f y x V v i 2 Q z m T h w V A C A q E w 7 q g h j C B f Q I 2 u S E g X K t s J z j l P p c z P z 0 N z c z P f p 5 l c e 3 v V R Q i I T C Y N I W w X r Y a E R O P / a M g Q C T 6 X o 0 l X T A z 1 + B y K i f q 8 u C D B A i K h 2 Y 5 E f U 9 4 0 N A z K U g n 4 1 z p + + A X P 7 U / W d g M m e h y i x E O + X H H w x Q K d 2 Z q W 3 A b A 4 O O 8 r Q D b 9 W t K E 1 w q H T 1 w s b G R v s e s J j I a a j 6 t 7 y 8 A g E U 8 2 r o e U r v S D i O i J L J J F c C K Y 2 j M r k q j R f D S e + K g s p w u Z x E V R e N V t w O E p V D y u b b i N O v d P B R 3 D D s 9 I 8 r Y W r n V I 5 A 5 w 6 R s D Y X F 7 0 s U G J s 8 6 n y L J z O i y q F 0 r 0 D B 7 q h v r 6 O h e O k d R Q k H h K R 4 0 i z M 9 O 8 1 O j C 0 / i + b N Z k h 6 X 0 T l X z l D M V h M W i o j S P D h Z p P t r + 5 G c / r L g N J C o H b u k K a y U 2 D B + 1 a 7 J q W I 5 z R M / q 6 g j v 7 J x U i m Z R V e F Y p f N o D k w E 2 K l M u 6 u q v l G l e 5 W Y m H g K f X 1 X b T G Z X E A g k W V R L I a R 5 Q 5 o W i o H M i C R i M P F Y c 0 W T 2 n Q + / B 7 U N j u R A e M 7 / 3 w u / h X K m 8 D i c q h X X z w Z P N f X K j I F 1 8 + B H 8 w U m x L + Q N c q v Z 4 f O D 1 U Z v K x 4 5 C O z a 5 h E r v c K O X 5 n k b Q M O S o i t X e O A r u Y 7 j e I 4 r 0 Z I q d u o x B X U + m 5 B K Y R s v E A D L P s e J 2 0 o Y q Y w F f a M e F F S x A M F p I D k T O S 6 K K Z N O g o 5 B Z f J / / f k / 8 d 8 T q k e 7 N C i C 2 i 7 Z r A V f X h p G U d U o U f l J V H 6 u z N H w H k d Q V L B g Q b G w i o K i 4 f 5 8 Y G P 4 U S F J d F a f P Z q B 6 e l p a G t r Y + F Q U E F h 9 M k Y d O x r h / P n L 8 C Z M + + y w K g Q Q U O I 6 E w T S u t o Y G 1 N O M x i o v d c H K b K H o k L B Y V C c t I 8 R 1 D U Z i I x + f B g 8 M E v p R C x H S T l 2 0 H Q j K q d H R H e C Q 3 c G S l N c k r q K v 0 r p o B O W 0 W 1 X T B w x + b 2 F j o I B 1 X k + E Q + d T 4 S 7 / g Y a d 1 E Q c 3 g T m + o y f q T S b h 9 + w 5 0 d n c q 9 8 M b C Y c E w 2 E o 8 V B p n M r l c / N x u D C k Y Z A z F U W k Q q V 5 p W L y Y M P p 5 x / 8 S 8 X v K 7 F 5 o E O N i k P t k P v 3 x 2 B i c h m d i k r p q o z u x S g t p z s u x S J w X K o 0 D e R P K m I n d 3 D m c I Z d a W x s D L q 6 u l B 0 N D 5 P h 3 S a R i 9 E 2 J n I g a h 4 Q W f u U o p H a R + l g B d G v L i k f q Z i X x P d 5 y I K C p Q E r 9 q A 6 h Q N 6 u X / t / 9 4 H 9 P F t V d j F K q D D n G l A p P Y R h w 7 f g D A w s Z 8 O s 5 H e T r a 8 0 6 K w T u s 3 d h X j q D c g Y s H f B 9 3 b F q S c 5 S E c h J q 3 x h w 7 t z n P B 0 y v w f d h w g G g y y q g Y G b u M 7 k / i p d N 9 C t l n j u 9 P N D m B r a f 0 v 9 v a J 4 i i J S r k T t J v o q 3 / 2 H M x A I o p h W f T + J 6 k O 7 / H B M H M o l / v T R Z c h a X m x H B d m p v P 6 A a k / Z Q W 0 o b l O h Y y m X U m 5 l 2 5 S z K I D G B G / 3 Z u D W z d v w 8 s k T q g 1 F x Q c 6 Z R 2 d i S b u n 5 m Z g T g u u 7 u 7 I B Q K o c i S E E u F 4 P G 8 m l y G 0 k c 1 C q J y u 4 l E T n O t n / 3 O e / D i s W K n s b A 9 R F A u c + / u C D w a m g K f X f n z e l X 6 p 6 p + x d B o N g 9 b U C w q P r y p z y i A v 0 x v 6 D H P I 5 G z C x K l g q L 7 N 2 / e g u P H j / F j S v c e z G i w k L B P a + e 2 G l X 5 S E j U x l J t O u V Q G V 7 v 9 / v h g 1 / + j E U l 7 B z t 8 i M R l N s k k 2 n 4 4 x 8 u c 9 X P W 6 j 8 U X v K V 2 h T q f Z U u U s p P R V V R a P C O / K D 0 H N Q X Y H e C R I P O 1 Q y A a F g i E c / L C w s w F C 8 t V D k c M b p 0 X w Y 5 E 7 l 7 a Y 0 / x U q r f / 7 L 3 9 q C 1 p w A + 2 K C G r X + J 9 f f Q R o V S g s T P 1 w 6 a R + S l Q o J C 5 Q O E G a o h 2 7 u H P X B H J w p H 6 F U 7 m C m N i d l K h u P 5 y A w w c 6 I G P k 0 J k 8 7 E a l 5 z a p I o R K 9 Z w 0 j 4 o U X v y 7 B 3 u 6 4 f s / + o 7 9 l w S 3 Q E G N i 6 B 2 k Z H h c b h 8 6 R Y 7 l U r 9 y K 3 s / i l O / R x B 2 a l f i V u 8 1 m 3 A 1 O Q U p n z t J Y L C J a V 3 G L S 8 N u 5 V r k T r b C E V 2 0 3 U e a v c i Y R F s C v 9 4 q e S 4 u 0 S I q g 9 4 l f / 9 W v I W p p y K i q n o 5 h K C x W F 1 A 8 d y t H U q U 5 V 5 a N 2 T q m g 7 k 9 7 I Z N V H b m F P i z b n T j N 4 6 W q E u Y w 9 a P P p T 6 z r 7 5 y E t 5 8 5 z X 1 4 c K u o F 0 Z E k H t J f / 9 n 7 8 G P U t z O 6 B L F U Z T q C K F B 0 V F a u L W l G 1 W J 9 p 1 f k x i W k r T X O g e d i O e s Y i D x E Q i U k t 2 J R R V H t e T U O l M 3 V d e f R n e e F u E t B d o f U M T I q h n w K c f X 4 S h R y P 4 C 6 j U r 1 L 6 R 5 e 5 M V P z 0 N b S A M M x c i U q p S s h K U E V n Y n E R O v o f S Q k a n d 9 / 8 d / j + n i z i 4 9 K m w N E d Q z h p y n 7 / I N u D l w x + 6 0 V d b E N z S s j p o 4 n 0 Q 4 M u 9 V a V 8 u D 0 G f C W n 7 e m 2 O g C j o z N o f / O j v o L V d R P S s 0 P q G R V D P E + Q + s 9 M x d K 8 n M D M 1 C 0 t L K 3 Z q R x O t K F G R i 7 W 2 N U P P o W 4 4 d O Q A R K O b T z U m 7 A 0 o q K c i K E F w C e 2 q C E o Q X E O 7 O i K C E g S 3 Q E F N i q A E w S W 0 f h G U I L i G x 1 4 K g u A C W v 9 j c S h B c A s U 1 J Q I S h B c Q r s m g h I E 1 9 C u P R F B C Y J b o K C m R V C C 4 B J S 5 R M E F 9 G u j 4 p D C Y J b o K B m R F C C 4 B K S 8 g m C i 2 g D 4 l C C 4 B r a w N i s C E o Q X E J S P k F w E R G U I L i I d m N c U j 5 B c A s U 1 J w I S h B c Q g Q l C F u E p r n + 8 4 e / h X f P f g c G 7 9 3 l C U p p X X f P I W l D C c J W W Z y f h 4 V Y D C Z G R 2 H k 4 S D c v n E N R k e G 4 W M U m X Z z I i Y O J Q i u A P D / t J j l X 3 S l a a A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 G u i d = " 1 6 1 a 4 a 0 8 - 0 8 c d - 4 0 d 6 - 8 5 d 1 - 4 5 2 8 3 e 7 d d 7 0 7 "   R e v = " 1 "   R e v G u i d = " 3 e 9 e 7 8 7 7 - 9 8 3 c - 4 5 8 a - a 7 d 3 - 1 6 c d 0 a 6 a 0 d 3 8 " 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3 7 5 8 7 D F 6 - 8 C 4 D - 4 3 4 0 - B A 7 8 - 3 8 F 2 9 E 6 F 8 4 0 D } "   T o u r I d = " a 6 2 2 3 0 a 0 - 0 8 0 b - 4 7 1 5 - 8 7 e 2 - 6 9 5 0 5 f 8 9 0 5 0 3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y U A A A M l A W Z Z 9 g I A A B i Q S U R B V H h e 7 Z 3 5 c x v Z c c d 7 c B M g e F 8 S S Y m i t N q V t L J X q / X a e 8 u W 7 S Q V n 7 + k 4 q y d H 5 z K p u z / K l W p u C q / x L G 9 t t f e Q 7 t a X R Q l 6 p Y o k Z R 4 i C d 4 4 p z B D J D u f j M 4 S J A E y S E l 2 / 1 B t Q Y Y H B Q G 8 5 1 v v 3 5 v 3 m j / 9 / n l P A i C 4 A o e e y k I g g t o v / n i i j i U I L i E O J Q g u I g I S h B c B F O + P k n 5 B M E l t N + e F 0 E J g l t I y i c I L o I O d V U c S h B c Q v v d l y I o Q X A L S f k E w U V E U I L g I t r v L v R L y i c I L q F 9 K I I S B N e Q l E 8 Q X A Q d 6 p o 4 l C C 4 h P b h R R G U I L i F 9 n s R l C C 4 B g r q u g h K E F x C + / 0 l E Z Q g u I X 2 B x G U I L i G l M 0 F w U W 0 P 1 w e E I c S B J c Q h x I E F 9 H + K A 7 1 3 B G q a 4 O 8 B e A N 7 4 d D 9 W n Q T S 8 E f T l o D p v g 9 3 n x V / N A X A e Y n p u F p 7 F l s C z T f q f w r E F B 3 R B B P W M a W r r h q 1 0 R u D 0 B Y O Z y U B + y o L v e h F w + j 4 8 1 6 B v 1 o 6 g 0 + 9 U A p 7 s M a I r k Q d M 0 D o / H A / 0 T I U h b f s g l H q A Y U W 3 C M 0 H 7 4 x U R 1 L P g R O 8 h a I t 4 I G n k Y T G V h 2 j A g o A 3 D x 4 N R Y T u l A M N P h 8 K Q D i Q h 9 e 6 D X 5 u c s U L 9 6 b 9 / P 4 X 2 0 w 4 0 I g v t M n l N T g 3 X F M Q W C D g B 4 / x C C w j b b 9 C 2 A t E U H v M 2 y / 3 g g / N x r I s y J o 5 F h C 5 j 5 l D x 8 H n L z 0 J Q l u t B R l c l 9 A 1 s F A o B x t N T v m G 5 v z 8 2 K G j z o K X O 7 J 8 / + O H I V 6 S o I j 2 a B 6 W d R + 2 k v 3 g h 3 m w 0 l O 8 X t h d t I + u 3 B R B 7 Q H f P P U i m E Y G L E z p k h k L Q r 4 8 u o o H E o Y G P k + e h U T k M c 1 z + P b R D C 8 t X P X Z o x A 0 e a Z g I b e P 1 5 F u S l 4 K A d R O 1 i q K j S h N C X 0 + H z T 4 Z i G R i N n P C r u B 9 l G f C G o 3 8 f i j 8 O 5 L r Z D N Z l k s O R T U 7 S k / d G E b y e c B q A 3 m Y H z R B 4 N z q I h V 9 G B K d 6 R V O Z D D x J I X H s y q t G 8 j H K c i H G F 5 v R 7 w + z A V z N y 1 n x H c R g S 1 i / g i L 8 I b B 9 G V M L 3 L Y U q H n q K e Q E h c 9 K j c U w A G Z 3 0 w l / D C 6 w d V u 4 l e c w c F e K R h B Y y c D + o j f n Q 1 D / S N B t D h 1 H s 2 o p K w D r d p M L m Q A S 0 7 b j 8 j u I X 2 p 7 5 b V f w s w p b Q v G A G j s K 7 h + J g m i b v x C Q g Z z m f 8 s J s 3 A P H 2 s v d h x i K + S C d 1 a A + l C s U H a w c A J o L u 1 s + n 8 P 7 + P m 4 8 t x I h J + v B k d Y B V G 1 5 L D t l o f F x S e 8 X n A H 7 U 9 X R V B u 4 g t 3 Q N K o h 3 d 6 E q p i Z 2 Y x 1 f K x k E q x 0 F 6 o D e V H F 6 q G u a Q H h m P o T j q 2 i V A b 9 H E t E Q v X e + 1 X V E e p s K h t B T k L w t p j X i f s H B k p 4 S L B p h O 4 w 9 f B S y 0 J T O X I T f I s p q W 0 c q Z S v K i K p + O j 8 P G d D P z m m i o + E I a x t g 8 p F j e h u c a E 2 g B a F U K p H v V F 9 T S Z c K r T 4 H X V 4 v w / a M m O p 3 n g 9 K E O 8 G V T v F 7 Y G e J Q L h F s O g n L y z p 0 1 u l w M J o A f y B Q J q J E f A V 8 f j / k c S e u C U d Q O N h G w t d k T Q s e x k J w t f 8 6 f P 2 1 U 3 C s w w Q L 0 0 S 0 E M h i m 8 n U 4 1 B b W 8 u v t 7 Q g p 4 T H O 7 J c 9 d s J q 1 P A l 9 v i M L + 8 B C v 6 1 g Q q l I P H S b n t 9 O Y J t r O Y A p 4 s H G k 2 1 o i J q I 3 W Q S h U A 6 G a M D u D w x e P Q 3 A C B d L d f Y D F l E z p 8 O c b C + h s X g j 5 8 y z A q 2 M B + N / L i / z 6 m b h 3 x 2 I i 6 P 9 X G s t G C L o b g y X f S m 7 b u v 2 5 / 7 Y 4 1 A 4 I 1 O 6 H 5 V Q E m y I W F y H I X S z c s K G A K m 1 T U Y L 6 g F Z j 6 D p o P j + 2 p T w o H I B P U E Q N E Q 9 8 p S e C 6 a A H P C i o V C o J C 0 Z d V W X y n c A u h S k q t f t u j p m Y B q 7 Y z w h b R Q S 1 E 3 B H 1 L 1 H u Y / p 7 A t p P t L r m Q w E g k F 2 F o 0 a / c j y 0 i K 7 F v U B 0 T K Z W I F I b R 2 s Y I p V V 9 / A r 1 n N k 1 g O h h b C 9 q P d x U n / O u u z 0 F O X g E / u m d D W k O R 1 w t b A X 5 w 2 p s R 2 w g w c U 2 V x y P O I b x I U i Y k K C 4 6 Y M u k U 1 D c 0 Q h j b T b q u i g 8 k J o L E R C 4 U X 1 n m x z q 6 F n 0 G p Y R 7 I S Z b R / w 3 i a f L f l h Y W o F X u g F m F w K 4 Z u 1 3 l t g 4 t I + v 3 R G H 2 g a e 6 A m I x 1 W n 7 e k u H a K B L D q V D s F g j f 0 K g M X 5 G K R T K W j t 2 M d t I q c A Q F C K S G k d 7 c z J R B y C o R D 4 / b Q T F 8 f l 7 T X 0 f 6 P / T 9 S b h E P 1 S z C + k u U q o F A 9 s r W 2 S S K h s 5 h o B 6 w L Y X q H O i E x k W M 5 N D a 3 Q F 1 D A w r F z 3 0 + j p i o b 4 r E R N B n 1 N S E C 2 J 6 l j h O t a Q H I I j / 5 / Z A c T S 7 U B 2 S 8 m 0 j s p j q l V b q n k 5 O 4 r / 0 H B Q K E A u x W V 5 S d Y 9 w 0 j 1 6 n w / b U k Q a 0 7 3 S g s W j W e 2 Z u V M p H o + X H X U R 2 3 6 h F A 2 m X b s N J C q H h w 6 a E t V H U 9 e L 3 C f E n a J 4 R K f w R 7 t 4 3 f X r A z A 3 N 4 c b F l / X 0 s Z L B + 5 b Q s i p y J W I + Z h 6 L X 4 K f P I o B K N L a s T 5 s 4 b a f 2 n T h w c B A y K R c M X t I L F O f H L 9 r r S h t o D u e 5 G L B 4 5 D k a B q g 3 n 4 x s H y E Q 4 p b D u F w 8 X C A o m I j v o L 8 / M Q r G 2 E I J 1 u g a 5 l G B m 4 M d 8 B W e v 5 y r 7 z p g 6 H Q 8 N c l V x Z i U M m 3 G I / I 2 y E p H x b C M 0 f L Z y G Q d C S x t X V + I v p H 0 F i G x 0 d 4 / v 0 U k r j P h u O w P m R I I y m O + D S a B j O D Y f h w k Q T t r G a I P L s m 0 9 l e P E 7 1 W t z f A C g g b g + b u + V b w u J y i F F i S 1 g a F 2 F V M + B x t X V r O p 3 p b T u 8 O F e v k + p n A O d m U s j z U u h n + F Q 0 / M 1 y Q q d 0 N j Q 1 A K J Z I q 7 A E h Y n q W n 9 r P C R k g b a g t B 7 a R S d 3 J Y S G k w u l g u F B q n d 3 N w w n 6 0 P j c m / J w y P m + M L f k g G q 2 F c C Q C R t b g H W X 1 9 p B Y G + J Q 1 R I 6 W C a i U q I o i C c L a 4 c H z W l H 7 H u V w e 0 P M X S s y 6 P P W c 6 H U I k / G A j y k h w 3 l U 5 D 3 l p 7 / p Z Q j r S h q g z d D K 1 J 9 x y m V r y Q 3 U a X j f N J q + e C e B 4 w M e 8 b G R n B b 6 7 x k K l o N A r L o 4 P 4 z N p t I 1 E M T 4 V 1 E h W C O m w r p X s O 9 L K t c N S e K 6 I t a v F k L H S G 7 n p s 9 b P d g J z p 5 Z N f 4 T T G T 1 O S 4 R 2 u b N r b Q 6 J y U J G q 0 n q J k v A G G g t l 8 v X A r G h D 6 k J 5 F s 6 J d n W + 0 c M 5 l S L O x r 1 c u K D R F v Q 8 z Y Z E s y C V s l a + e 8 O N y Q D / b d o G 1 A 1 A 5 2 W t 3 j Y S 5 S E p X x W R 9 b S v m + 4 5 0 L w P j + b L 2 1 F 1 Q S V C E s j r B 1 Q / 1 d 2 Z 8 v Y S O Q B 9 7 P i S j 8 v r N B + f l d P g q 5 1 Z H i P 4 r K D v u p w C i K / E + b G F X 5 B E l Z i m 7 o C 1 2 0 h C h a R 8 V Y R h V N d A G p 3 3 c l + T A 8 1 c R K 7 z b m 8 a 7 t 2 7 D 5 O z 6 i T B U h y N t k Y s 6 G 5 Q f y d A c / a Z O g y j Q B t q l C j f P K S z e + 0 V J C i 6 k S s 9 f D g E 0 b p a 7 p z W U 4 m K 2 0 h C h X b u 5 o O 9 + 5 X + Q k n k e w s l 8 4 1 c q p T D z S Z P n f w W C u H e 3 X t w + M h h u D E d h b i + 8 8 I q / X a 7 + a P R d 6 Q B v F k j A 9 3 a f R 4 Z X 1 N T A 1 N T U 7 C M j t X 7 2 j v 2 K 4 X V o K A G R V C b E M / 1 F E Z I V C u o I t R 2 0 i G j 6 z z i g A b D 0 t C l 2 0 + S s K T t t 1 + z d X Z T V H R y J A m K h k U 1 J f v B 7 / f x 8 C O P 1 w O J e A J 6 T o u g 1 k P 6 o a p g 6 y I q R Y 0 g f 7 L g h b v o V J c u X e G R B 7 3 d O x s b t 7 s O R e 1 F D B T W l P c 4 t L e 3 w / 7 9 + y C d S s P S s j o Z U q i M t K E 2 i Z w W 2 q G g F B P x W p i r e R 3 e e O P r 7 F K 3 J v 0 8 M + z z B r s w L l U R R o m q / 7 H O Q m p q b o J A T V 3 F 7 S S h Q m Y 9 2 v T m L h 8 / D M L A v T F M A T G l q t C h S 1 U / Y r 9 5 A 9 s u J k T s u f j 2 C h I Q B 4 t J p b j p n B o 1 T + s z V q B k 2 8 h t 9 U 1 S v k 3 g I 7 Y L D l V E g 9 5 D B + G 9 I 5 X n v z v 7 Q g b O 9 C b g + P G X 4 L v H T H i j x 4 C T + 1 S 1 k K C p x V p q L Z 7 k c r c g d 1 J h c U G C l n f m 6 i G d y c B 0 f G s z 1 f 6 t I S n f Z k E L e + k W V 8 e D 8 O j x J H z r S I a D r g e V z 8 z D 1 w 4 o k S 0 u L q q U i x / R t Z 6 U S 5 G o 3 j 6 k w y v 7 s 3 C k x e T 5 z t 2 E B e Q E C 8 k W l q X E d W u K h l 9 Z a 7 e R R C H E o T a F H M q + 6 y K z n q P w 6 V A I h h d 8 M J v w Q r P 5 s D D 8 q L W 1 F a a m p j n F q g Q J k n i v N w W d 9 d s Y R L g B O b v d R F E m M F q H z 5 H Q h P W R N t Q m N 5 + H x v D t X j t m F A V F + P e 9 z k u H z s 7 9 6 I w a X L t 2 H W K x W F n a + b V u H R Y W F n k U O F 3 B o y m Y 5 N E Y 0 Q 3 G A 2 6 E S m t t E d k p H o d z n 5 b Y n q O p 0 m h Z u n 3 k V n 6 T l K + K c O a D 2 E 0 q d f i S o E 6 f f p W H / d D 9 U h o b G 6 C / / x r f z 8 3 d h D N H d D g c m e K 0 s K l m 6 6 d Z U A G C R k K Q e E g 4 f J / F p I T E j 3 E 7 8 B X n V 2 0 f i W J I y l c F t F P t O h u k l X V 1 0 Y J D X b h w E e 7 c u Q t Z 3 L l f e E G d b 9 X W 1 s r L l u Z m 3 v H 9 S z f 4 c T X w 5 2 J Q q g d 5 W 0 R O u s f i s t f Z o s r n n 6 + z i 5 8 3 J O W r 4 m Z Z N E p C p V O r n c I N f J 4 c j 9 V b D x q U m k 6 r q 7 l 3 d H T A s W M v Q c D v 5 / V E S 0 s z D A z c g H O f f Q K f f n o O T p 4 8 C Y e b q 3 Q p W 0 w k H t N U I i L x F J 0 J g 5 z J z G I Y U B s J l W w Z u a 2 + i U N V Q Y 5 2 p u z 2 z l b d r B L n 9 e b h z Q M p H k V R O k m m A w m k q a k J r l 6 9 B t c H B q C 5 u Q m y W V U N 3 L d v H 0 x M T P D s S q d O v Q J n v n k W 3 n r r G / x c a 2 C J l + u j u g P o V h B O m Y B K I 8 t D k U z c B g d 7 u u z 3 C 5 X Q z t 8 d 2 o U a 1 l 8 X N M + 3 b v k h E A y T R d l r 3 e H d w 3 p h x A S N F 7 x 1 6 z a 3 m x y W l 5 e h v r 7 e f l T O 4 k K M r + L R v q / T X q M g w T k z 0 c a S H n g y k 4 E l U 0 2 4 6 e A U I i i N U + 5 D g j H 4 v b w 0 M j w 5 p 5 F J g 5 5 J Q j q Z w F i G n 7 z / j 2 5 v g r 8 q 8 P h p t 6 Y k 1 o 2 2 J r X D 0 d H b b U q H H 5 H b k J g u X b z M 7 R h i c J B O O 6 / M p L 6 P x T R v z 1 L r U D q t c 0 s k B 6 c O e v k i b W / 3 6 t A d X u A R 8 O x Q X N V z 0 j v V X i o 6 F a Z + 5 E 5 0 n 1 1 K C U 2 l v B L r h f b l 3 W F x q C p 4 N J a D Q K g W X a q m c G W N 7 U J v t / U C u Y X 7 8 K 3 X u m B p a R n b Q s U B s + Q g 1 E b K Z H R O 8 9 z A o O m g N Q 9 4 f T 5 u K 3 0 y 6 A M D X Z H S W R P b i c q Z S D g 6 O 5 + h p 9 C d 0 p B J o z s l V l C A O r z / s x / b n y Z U Q s r m V U b I b 2 E 6 p P N O t 1 6 H a 7 X U + I r v f / s r 7 d D X 1 1 8 m J m J k 5 D G M j Y 1 D X V 2 t v W Z 9 U s n K 1 3 I i l 2 M R 2 V A b j f q u S E y z s 9 P w a t s s u 4 9 Z c C E K u 7 3 E j q R E Z q L I s o Y O 3 / v B 2 Y r b R q I Y k v J V G V 3 7 / H z k N k 2 a h n l n q V / S K D q c o d X C m 2 + + Y T 9 S x G L z P F E m V f O q u S o H z Z 1 X C R K B k z r S C Z L B U A 0 7 X y a d g X C 4 F p L x e E n K V x R U U V j K r b L Z D C / r G 6 g t V 3 n 7 S K j Y W e 7 y N w S 1 H U z c Q W k n 5 b Q I d z h q h + y U / v E A 6 K v 0 O T M 9 Z d / b G X S R 7 E C Q T j + h K 3 5 g m k e O R W c e 4 y 2 T T o P p b 1 R u 5 K R 9 J C B + T E J S 6 R 9 / X 3 S 5 2 t q 9 u Z r i X z o y c + w W 4 m B n A H d I E h Q d s Q 0 8 i m 9 / X B t + X I H z I + W X s N n f W S x N r y 6 E z M / N s D D o I m 0 L s T m + r O h K h Z P + 0 u k U e L 1 q W F O K p 1 Q 2 Y C 5 O H b a q s q d 5 / X B 9 T L O d y H E j u m g c i s g J / K 7 q + + r w z + / / s O I 2 k S g P c a g t U B c N g K m n W V C 0 k 1 E a R D s 8 j z b Y I q v f M b l c P C 2 C h h W N j 4 / D / Q e D L A o S A V 0 q p 7 / / O j S 3 t n M 7 i E T Q 1 N L K l x W t q 1 B W p 4 u 4 0 f + L 3 k t X 0 K B l r Y 8 c y O R R F p 8 / 8 u L / n Y R U 3 m 6 y U E i c 2 t o H j q y e g m A Q 0 0 7 c W Y T N 0 S 7 c f y x V v i 2 Q z m T h w V A C A q E w 7 q g h j C B f Q I 2 u S E g X K t s J z j l P p c z P z 0 N z c z P f p 5 l c e 3 v V R Q i I T C Y N I W w X r Y a E R O P / a M g Q C T 6 X o 0 l X T A z 1 + B y K i f q 8 u C D B A i K h 2 Y 5 E f U 9 4 0 N A z K U g n 4 1 z p + + A X P 7 U / W d g M m e h y i x E O + X H H w x Q K d 2 Z q W 3 A b A 4 O O 8 r Q D b 9 W t K E 1 w q H T 1 w s b G R v s e s J j I a a j 6 t 7 y 8 A g E U 8 2 r o e U r v S D i O i J L J J F c C K Y 2 j M r k q j R f D S e + K g s p w u Z x E V R e N V t w O E p V D y u b b i N O v d P B R 3 D D s 9 I 8 r Y W r n V I 5 A 5 w 6 R s D Y X F 7 0 s U G J s 8 6 n y L J z O i y q F 0 r 0 D B 7 q h v r 6 O h e O k d R Q k H h K R 4 0 i z M 9 O 8 1 O j C 0 / i + b N Z k h 6 X 0 T l X z l D M V h M W i o j S P D h Z p P t r + 5 G c / r L g N J C o H b u k K a y U 2 D B + 1 a 7 J q W I 5 z R M / q 6 g j v 7 J x U i m Z R V e F Y p f N o D k w E 2 K l M u 6 u q v l G l e 5 W Y m H g K f X 1 X b T G Z X E A g k W V R L I a R 5 Q 5 o W i o H M i C R i M P F Y c 0 W T 2 n Q + / B 7 U N j u R A e M 7 / 3 w u / h X K m 8 D i c q h X X z w Z P N f X K j I F 1 8 + B H 8 w U m x L + Q N c q v Z 4 f O D 1 U Z v K x 4 5 C O z a 5 h E r v c K O X 5 n k b Q M O S o i t X e O A r u Y 7 j e I 4 r 0 Z I q d u o x B X U + m 5 B K Y R s v E A D L P s e J 2 0 o Y q Y w F f a M e F F S x A M F p I D k T O S 6 K K Z N O g o 5 B Z f J / / f k / 8 d 8 T q k e 7 N C i C 2 i 7 Z r A V f X h p G U d U o U f l J V H 6 u z N H w H k d Q V L B g Q b G w i o K i 4 f 5 8 Y G P 4 U S F J d F a f P Z q B 6 e l p a G t r Y + F Q U E F h 9 M k Y d O x r h / P n L 8 C Z M + + y w K g Q Q U O I 6 E w T S u t o Y G 1 N O M x i o v d c H K b K H o k L B Y V C c t I 8 R 1 D U Z i I x + f B g 8 M E v p R C x H S T l 2 0 H Q j K q d H R H e C Q 3 c G S l N c k r q K v 0 r p o B O W 0 W 1 X T B w x + b 2 F j o I B 1 X k + E Q + d T 4 S 7 / g Y a d 1 E Q c 3 g T m + o y f q T S b h 9 + w 5 0 d n c q 9 8 M b C Y c E w 2 E o 8 V B p n M r l c / N x u D C k Y Z A z F U W k Q q V 5 p W L y Y M P p 5 x / 8 S 8 X v K 7 F 5 o E O N i k P t k P v 3 x 2 B i c h m d i k r p q o z u x S g t p z s u x S J w X K o 0 D e R P K m I n d 3 D m c I Z d a W x s D L q 6 u l B 0 N D 5 P h 3 S a R i 9 E 2 J n I g a h 4 Q W f u U o p H a R + l g B d G v L i k f q Z i X x P d 5 y I K C p Q E r 9 q A 6 h Q N 6 u X / t / 9 4 H 9 P F t V d j F K q D D n G l A p P Y R h w 7 f g D A w s Z 8 O s 5 H e T r a 8 0 6 K w T u s 3 d h X j q D c g Y s H f B 9 3 b F q S c 5 S E c h J q 3 x h w 7 t z n P B 0 y v w f d h w g G g y y q g Y G b u M 7 k / i p d N 9 C t l n j u 9 P N D m B r a f 0 v 9 v a J 4 i i J S r k T t J v o q 3 / 2 H M x A I o p h W f T + J 6 k O 7 / H B M H M o l / v T R Z c h a X m x H B d m p v P 6 A a k / Z Q W 0 o b l O h Y y m X U m 5 l 2 5 S z K I D G B G / 3 Z u D W z d v w 8 s k T q g 1 F x Q c 6 Z R 2 d i S b u n 5 m Z g T g u u 7 u 7 I B Q K o c i S E E u F 4 P G 8 m l y G 0 k c 1 C q J y u 4 l E T n O t n / 3 O e / D i s W K n s b A 9 R F A u c + / u C D w a m g K f X f n z e l X 6 p 6 p + x d B o N g 9 b U C w q P r y p z y i A v 0 x v 6 D H P I 5 G z C x K l g q L 7 N 2 / e g u P H j / F j S v c e z G i w k L B P a + e 2 G l X 5 S E j U x l J t O u V Q G V 7 v 9 / v h g 1 / + j E U l 7 B z t 8 i M R l N s k k 2 n 4 4 x 8 u c 9 X P W 6 j 8 U X v K V 2 h T q f Z U u U s p P R V V R a P C O / K D 0 H N Q X Y H e C R I P O 1 Q y A a F g i E c / L C w s w F C 8 t V D k c M b p 0 X w Y 5 E 7 l 7 a Y 0 / x U q r f / 7 L 3 9 q C 1 p w A + 2 K C G r X + J 9 f f Q R o V S g s T P 1 w 6 a R + S l Q o J C 5 Q O E G a o h 2 7 u H P X B H J w p H 6 F U 7 m C m N i d l K h u P 5 y A w w c 6 I G P k 0 J k 8 7 E a l 5 z a p I o R K 9 Z w 0 j 4 o U X v y 7 B 3 u 6 4 f s / + o 7 9 l w S 3 Q E G N i 6 B 2 k Z H h c b h 8 6 R Y 7 l U r 9 y K 3 s / i l O / R x B 2 a l f i V u 8 1 m 3 A 1 O Q U p n z t J Y L C J a V 3 G L S 8 N u 5 V r k T r b C E V 2 0 3 U e a v c i Y R F s C v 9 4 q e S 4 u 0 S I q g 9 4 l f / 9 W v I W p p y K i q n o 5 h K C x W F 1 A 8 d y t H U q U 5 V 5 a N 2 T q m g 7 k 9 7 I Z N V H b m F P i z b n T j N 4 6 W q E u Y w 9 a P P p T 6 z r 7 5 y E t 5 8 5 z X 1 4 c K u o F 0 Z E k H t J f / 9 n 7 8 G P U t z O 6 B L F U Z T q C K F B 0 V F a u L W l G 1 W J 9 p 1 f k x i W k r T X O g e d i O e s Y i D x E Q i U k t 2 J R R V H t e T U O l M 3 V d e f R n e e F u E t B d o f U M T I q h n w K c f X 4 S h R y P 4 C 6 j U r 1 L 6 R 5 e 5 M V P z 0 N b S A M M x c i U q p S s h K U E V n Y n E R O v o f S Q k a n d 9 / 8 d / j + n i z i 4 9 K m w N E d Q z h p y n 7 / I N u D l w x + 6 0 V d b E N z S s j p o 4 n 0 Q 4 M u 9 V a V 8 u D 0 G f C W n 7 e m 2 O g C j o z N o f / O j v o L V d R P S s 0 P q G R V D P E + Q + s 9 M x d K 8 n M D M 1 C 0 t L K 3 Z q R x O t K F G R i 7 W 2 N U P P o W 4 4 d O Q A R K O b T z U m 7 A 0 o q K c i K E F w C e 2 q C E o Q X E O 7 O i K C E g S 3 Q E F N i q A E w S W 0 f h G U I L i G x 1 4 K g u A C W v 9 j c S h B c A s U 1 J Q I S h B c Q r s m g h I E 1 9 C u P R F B C Y J b o K C m R V C C 4 B J S 5 R M E F 9 G u j 4 p D C Y J b o K B m R F C C 4 B K S 8 g m C i 2 g D 4 l C C 4 B r a w N i s C E o Q X E J S P k F w E R G U I L i I d m N c U j 5 B c A s U 1 J w I S h B c Q g Q l C F u E p r n + 8 4 e / h X f P f g c G 7 9 3 l C U p p X X f P I W l D C c J W W Z y f h 4 V Y D C Z G R 2 H k 4 S D c v n E N R k e G 4 W M U m X Z z I i Y O J Q i u A P D / t J j l X 3 S l a a A A A A A A S U V O R K 5 C Y I I = < / I m a g e > < / T o u r > < / T o u r s > < / V i s u a l i z a t i o n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587DF6-8C4D-4340-BA78-38F29E6F840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EB6FF50-FACD-44D4-85E7-36C0F78509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B6E30C-CFEC-4A65-9C3A-49CD5D83637A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679A32D2-5F2E-4996-B259-CCEDE10221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PUNTOS DE INYECCIÓN</vt:lpstr>
      <vt:lpstr>Barr</vt:lpstr>
      <vt:lpstr>Ugar.</vt:lpstr>
      <vt:lpstr>Resumen Optimización</vt:lpstr>
      <vt:lpstr>LV</vt:lpstr>
      <vt:lpstr>MGÜE</vt:lpstr>
      <vt:lpstr>Vizca</vt:lpstr>
      <vt:lpstr>PROPUESTA</vt:lpstr>
      <vt:lpstr>Servicio</vt:lpstr>
      <vt:lpstr>Barrancas- Ugarteche</vt:lpstr>
      <vt:lpstr>La Ventana</vt:lpstr>
      <vt:lpstr>Malargüe</vt:lpstr>
      <vt:lpstr>Vizcacheras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GRAMAGLIA, PIA</dc:creator>
  <cp:lastModifiedBy>Bergerat, Juan Gabriel</cp:lastModifiedBy>
  <dcterms:created xsi:type="dcterms:W3CDTF">2024-02-26T13:40:36Z</dcterms:created>
  <dcterms:modified xsi:type="dcterms:W3CDTF">2024-04-08T19:57:14Z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01c5ec-e5b5-40ab-b632-dbf2eb8611fa_Enabled">
    <vt:lpwstr>true</vt:lpwstr>
  </property>
  <property fmtid="{D5CDD505-2E9C-101B-9397-08002B2CF9AE}" pid="3" name="MSIP_Label_b701c5ec-e5b5-40ab-b632-dbf2eb8611fa_SetDate">
    <vt:lpwstr>2024-02-26T13:50:39Z</vt:lpwstr>
  </property>
  <property fmtid="{D5CDD505-2E9C-101B-9397-08002B2CF9AE}" pid="4" name="MSIP_Label_b701c5ec-e5b5-40ab-b632-dbf2eb8611fa_Method">
    <vt:lpwstr>Privileged</vt:lpwstr>
  </property>
  <property fmtid="{D5CDD505-2E9C-101B-9397-08002B2CF9AE}" pid="5" name="MSIP_Label_b701c5ec-e5b5-40ab-b632-dbf2eb8611fa_Name">
    <vt:lpwstr>YPF - Privado</vt:lpwstr>
  </property>
  <property fmtid="{D5CDD505-2E9C-101B-9397-08002B2CF9AE}" pid="6" name="MSIP_Label_b701c5ec-e5b5-40ab-b632-dbf2eb8611fa_SiteId">
    <vt:lpwstr>038018c3-616c-4b46-ad9b-aa9007f701b5</vt:lpwstr>
  </property>
  <property fmtid="{D5CDD505-2E9C-101B-9397-08002B2CF9AE}" pid="7" name="MSIP_Label_b701c5ec-e5b5-40ab-b632-dbf2eb8611fa_ActionId">
    <vt:lpwstr>1254e466-3455-4426-b6f3-996f6f29a75c</vt:lpwstr>
  </property>
  <property fmtid="{D5CDD505-2E9C-101B-9397-08002B2CF9AE}" pid="8" name="MSIP_Label_b701c5ec-e5b5-40ab-b632-dbf2eb8611fa_ContentBits">
    <vt:lpwstr>3</vt:lpwstr>
  </property>
</Properties>
</file>