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50. PAE. Revisión Cto Mantenimiento/"/>
    </mc:Choice>
  </mc:AlternateContent>
  <xr:revisionPtr revIDLastSave="608" documentId="8_{AE387E0B-77E8-456B-B4EA-ED30CB44235D}" xr6:coauthVersionLast="47" xr6:coauthVersionMax="47" xr10:uidLastSave="{DB663008-1DE6-4C4D-8ABE-149A11591CDF}"/>
  <bookViews>
    <workbookView xWindow="-120" yWindow="-120" windowWidth="20730" windowHeight="11160" tabRatio="532" activeTab="4" xr2:uid="{00000000-000D-0000-FFFF-FFFF00000000}"/>
  </bookViews>
  <sheets>
    <sheet name="Datos PECOM" sheetId="11" r:id="rId1"/>
    <sheet name="RESUMEN " sheetId="1" r:id="rId2"/>
    <sheet name="MO" sheetId="2" r:id="rId3"/>
    <sheet name="CS" sheetId="3" r:id="rId4"/>
    <sheet name="GdP" sheetId="4" r:id="rId5"/>
    <sheet name="Veh" sheetId="5" r:id="rId6"/>
    <sheet name="Maq" sheetId="6" r:id="rId7"/>
    <sheet name="Mat" sheetId="7" r:id="rId8"/>
    <sheet name="Otros" sheetId="8" r:id="rId9"/>
    <sheet name="GE" sheetId="9" r:id="rId10"/>
    <sheet name="INSTRUCTIVO DE CARGA" sheetId="10" r:id="rId11"/>
    <sheet name="MO Florencia" sheetId="12" r:id="rId12"/>
  </sheets>
  <externalReferences>
    <externalReference r:id="rId13"/>
  </externalReferences>
  <definedNames>
    <definedName name="Adic">#N/A</definedName>
    <definedName name="_xlnm.Print_Area" localSheetId="1">#N/A</definedName>
    <definedName name="Catepp">#N/A</definedName>
    <definedName name="Catot">#N/A</definedName>
    <definedName name="Est">#N/A</definedName>
    <definedName name="Máquinas">#N/A</definedName>
    <definedName name="Materiales">#N/A</definedName>
    <definedName name="Otros">#N/A</definedName>
    <definedName name="Personal">#N/A</definedName>
    <definedName name="Vehiculos">#N/A</definedName>
    <definedName name="Z_1DB1CDF8_B399_46E9_9F00_21524E82CD13_.wvu.Cols" localSheetId="2" hidden="1">#N/A</definedName>
    <definedName name="Z_1DB1CDF8_B399_46E9_9F00_21524E82CD13_.wvu.Cols" localSheetId="1" hidden="1">#N/A</definedName>
    <definedName name="Z_1DB1CDF8_B399_46E9_9F00_21524E82CD13_.wvu.PrintArea" localSheetId="1" hidden="1">#N/A</definedName>
    <definedName name="Z_1DB1CDF8_B399_46E9_9F00_21524E82CD13_.wvu.Rows" localSheetId="4" hidden="1">#N/A</definedName>
    <definedName name="Z_1DB1CDF8_B399_46E9_9F00_21524E82CD13_.wvu.Rows" localSheetId="1" hidden="1">#N/A</definedName>
    <definedName name="Z_3E10442F_E643_4030_87D8_6F3C29ED4323_.wvu.Cols" localSheetId="2" hidden="1">#N/A</definedName>
    <definedName name="Z_3E10442F_E643_4030_87D8_6F3C29ED4323_.wvu.Cols" localSheetId="1" hidden="1">#N/A</definedName>
    <definedName name="Z_3E10442F_E643_4030_87D8_6F3C29ED4323_.wvu.PrintArea" localSheetId="1" hidden="1">#N/A</definedName>
    <definedName name="Z_3E10442F_E643_4030_87D8_6F3C29ED4323_.wvu.Rows" localSheetId="4" hidden="1">#N/A</definedName>
    <definedName name="Z_62D5B631_A5F0_449E_B42C_AE7ECEC2A7D1_.wvu.Cols" localSheetId="2" hidden="1">#N/A</definedName>
    <definedName name="Z_62D5B631_A5F0_449E_B42C_AE7ECEC2A7D1_.wvu.Cols" localSheetId="1" hidden="1">#N/A</definedName>
    <definedName name="Z_62D5B631_A5F0_449E_B42C_AE7ECEC2A7D1_.wvu.PrintArea" localSheetId="1" hidden="1">#N/A</definedName>
    <definedName name="Z_62D5B631_A5F0_449E_B42C_AE7ECEC2A7D1_.wvu.Rows" localSheetId="4" hidden="1">#N/A</definedName>
    <definedName name="Z_62D5B631_A5F0_449E_B42C_AE7ECEC2A7D1_.wvu.Rows" localSheetId="1" hidden="1">#N/A</definedName>
    <definedName name="Z_F95940C3_2AB4_49FF_ABAA_F9CFD2FCC6F5_.wvu.Cols" localSheetId="2" hidden="1">#N/A</definedName>
    <definedName name="Z_F95940C3_2AB4_49FF_ABAA_F9CFD2FCC6F5_.wvu.Cols" localSheetId="1" hidden="1">#N/A</definedName>
    <definedName name="Z_F95940C3_2AB4_49FF_ABAA_F9CFD2FCC6F5_.wvu.PrintArea" localSheetId="1" hidden="1">#N/A</definedName>
    <definedName name="Z_F95940C3_2AB4_49FF_ABAA_F9CFD2FCC6F5_.wvu.Rows" localSheetId="4" hidden="1">#N/A</definedName>
    <definedName name="Z_F95940C3_2AB4_49FF_ABAA_F9CFD2FCC6F5_.wvu.Rows" localSheetId="1" hidden="1">#N/A</definedName>
    <definedName name="Z_FD728909_0D0B_441A_8E6A_F7FBB3EE0FF4_.wvu.Cols" localSheetId="2" hidden="1">#N/A</definedName>
    <definedName name="Z_FD728909_0D0B_441A_8E6A_F7FBB3EE0FF4_.wvu.Cols" localSheetId="1" hidden="1">#N/A</definedName>
    <definedName name="Z_FD728909_0D0B_441A_8E6A_F7FBB3EE0FF4_.wvu.PrintArea" localSheetId="1" hidden="1">#N/A</definedName>
    <definedName name="Z_FD728909_0D0B_441A_8E6A_F7FBB3EE0FF4_.wvu.Rows" localSheetId="4" hidden="1">#N/A</definedName>
    <definedName name="Z_FD728909_0D0B_441A_8E6A_F7FBB3EE0FF4_.wvu.Rows" localSheetId="1" hidden="1">#N/A</definedName>
  </definedNames>
  <calcPr calcId="191029"/>
  <customWorkbookViews>
    <customWorkbookView name="xdng01 - Vista personalizada" guid="{1DB1CDF8-B399-46E9-9F00-21524E82CD13}" mergeInterval="0" personalView="1" maximized="1" windowWidth="1596" windowHeight="660" tabRatio="532" activeSheetId="10"/>
    <customWorkbookView name="Sistemas - Vista personalizada" guid="{FD728909-0D0B-441A-8E6A-F7FBB3EE0FF4}" mergeInterval="0" personalView="1" maximized="1" windowWidth="1362" windowHeight="549" tabRatio="532" activeSheetId="1"/>
    <customWorkbookView name="xmlc02 - Vista personalizada" guid="{3E10442F-E643-4030-87D8-6F3C29ED4323}" mergeInterval="0" personalView="1" maximized="1" windowWidth="1020" windowHeight="577" tabRatio="532" activeSheetId="10"/>
    <customWorkbookView name="MAU - Vista personalizada" guid="{62D5B631-A5F0-449E-B42C-AE7ECEC2A7D1}" mergeInterval="0" personalView="1" maximized="1" windowWidth="1362" windowHeight="543" tabRatio="532" activeSheetId="1"/>
    <customWorkbookView name="Nombre del usuario - Vista personalizada" guid="{F95940C3-2AB4-49FF-ABAA-F9CFD2FCC6F5}" mergeInterval="0" personalView="1" maximized="1" windowWidth="1362" windowHeight="543" tabRatio="53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4" l="1"/>
  <c r="F101" i="4"/>
  <c r="H116" i="1"/>
  <c r="H108" i="1" l="1"/>
  <c r="H122" i="1"/>
  <c r="H106" i="1"/>
  <c r="H118" i="1"/>
  <c r="AC58" i="2" l="1"/>
  <c r="AC59" i="2"/>
  <c r="AC60" i="2"/>
  <c r="AC61" i="2"/>
  <c r="AC62" i="2"/>
  <c r="AC63" i="2"/>
  <c r="AC57" i="2"/>
  <c r="H123" i="1" l="1"/>
  <c r="C4" i="8" l="1"/>
  <c r="E126" i="1"/>
  <c r="A62" i="2"/>
  <c r="A63" i="2"/>
  <c r="A61" i="2"/>
  <c r="A60" i="2"/>
  <c r="GG9" i="12"/>
  <c r="GH9" i="12"/>
  <c r="GG10" i="12"/>
  <c r="GH10" i="12"/>
  <c r="GG11" i="12"/>
  <c r="GH11" i="12"/>
  <c r="GG12" i="12"/>
  <c r="GH12" i="12"/>
  <c r="GG13" i="12"/>
  <c r="GH13" i="12"/>
  <c r="GG14" i="12"/>
  <c r="GH14" i="12"/>
  <c r="GG15" i="12"/>
  <c r="GH15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BH9" i="12"/>
  <c r="BI9" i="12"/>
  <c r="BJ9" i="12"/>
  <c r="BK9" i="12"/>
  <c r="BL9" i="12"/>
  <c r="BM9" i="12"/>
  <c r="BN9" i="12"/>
  <c r="BO9" i="12"/>
  <c r="BP9" i="12"/>
  <c r="BQ9" i="12"/>
  <c r="BR9" i="12"/>
  <c r="BS9" i="12"/>
  <c r="BT9" i="12"/>
  <c r="BU9" i="12"/>
  <c r="BV9" i="12"/>
  <c r="BW9" i="12"/>
  <c r="BX9" i="12"/>
  <c r="BY9" i="12"/>
  <c r="BZ9" i="12"/>
  <c r="CA9" i="12"/>
  <c r="CB9" i="12"/>
  <c r="CC9" i="12"/>
  <c r="CD9" i="12"/>
  <c r="CE9" i="12"/>
  <c r="CF9" i="12"/>
  <c r="CG9" i="12"/>
  <c r="CH9" i="12"/>
  <c r="CI9" i="12"/>
  <c r="CJ9" i="12"/>
  <c r="CK9" i="12"/>
  <c r="CL9" i="12"/>
  <c r="CM9" i="12"/>
  <c r="CN9" i="12"/>
  <c r="CO9" i="12"/>
  <c r="CP9" i="12"/>
  <c r="CQ9" i="12"/>
  <c r="CR9" i="12"/>
  <c r="CS9" i="12"/>
  <c r="CT9" i="12"/>
  <c r="CU9" i="12"/>
  <c r="CV9" i="12"/>
  <c r="CW9" i="12"/>
  <c r="CX9" i="12"/>
  <c r="CY9" i="12"/>
  <c r="CZ9" i="12"/>
  <c r="DA9" i="12"/>
  <c r="DB9" i="12"/>
  <c r="DC9" i="12"/>
  <c r="DD9" i="12"/>
  <c r="DE9" i="12"/>
  <c r="DF9" i="12"/>
  <c r="DG9" i="12"/>
  <c r="DH9" i="12"/>
  <c r="DI9" i="12"/>
  <c r="DJ9" i="12"/>
  <c r="DK9" i="12"/>
  <c r="DL9" i="12"/>
  <c r="DM9" i="12"/>
  <c r="DN9" i="12"/>
  <c r="DO9" i="12"/>
  <c r="DP9" i="12"/>
  <c r="DQ9" i="12"/>
  <c r="DR9" i="12"/>
  <c r="DS9" i="12"/>
  <c r="DT9" i="12"/>
  <c r="DU9" i="12"/>
  <c r="DV9" i="12"/>
  <c r="DW9" i="12"/>
  <c r="DX9" i="12"/>
  <c r="DY9" i="12"/>
  <c r="DZ9" i="12"/>
  <c r="EA9" i="12"/>
  <c r="EB9" i="12"/>
  <c r="EC9" i="12"/>
  <c r="ED9" i="12"/>
  <c r="EE9" i="12"/>
  <c r="EF9" i="12"/>
  <c r="EG9" i="12"/>
  <c r="EH9" i="12"/>
  <c r="EI9" i="12"/>
  <c r="EJ9" i="12"/>
  <c r="EK9" i="12"/>
  <c r="EL9" i="12"/>
  <c r="EM9" i="12"/>
  <c r="EN9" i="12"/>
  <c r="EO9" i="12"/>
  <c r="EP9" i="12"/>
  <c r="EQ9" i="12"/>
  <c r="ER9" i="12"/>
  <c r="ES9" i="12"/>
  <c r="ET9" i="12"/>
  <c r="EU9" i="12"/>
  <c r="EV9" i="12"/>
  <c r="EW9" i="12"/>
  <c r="EX9" i="12"/>
  <c r="EY9" i="12"/>
  <c r="EZ9" i="12"/>
  <c r="FA9" i="12"/>
  <c r="FB9" i="12"/>
  <c r="FC9" i="12"/>
  <c r="FD9" i="12"/>
  <c r="FE9" i="12"/>
  <c r="FF9" i="12"/>
  <c r="FG9" i="12"/>
  <c r="FH9" i="12"/>
  <c r="FI9" i="12"/>
  <c r="FJ9" i="12"/>
  <c r="FK9" i="12"/>
  <c r="FL9" i="12"/>
  <c r="FM9" i="12"/>
  <c r="FN9" i="12"/>
  <c r="FO9" i="12"/>
  <c r="FP9" i="12"/>
  <c r="FQ9" i="12"/>
  <c r="FR9" i="12"/>
  <c r="FS9" i="12"/>
  <c r="FT9" i="12"/>
  <c r="FU9" i="12"/>
  <c r="FV9" i="12"/>
  <c r="FW9" i="12"/>
  <c r="FX9" i="12"/>
  <c r="FY9" i="12"/>
  <c r="FZ9" i="12"/>
  <c r="GA9" i="12"/>
  <c r="GB9" i="12"/>
  <c r="GC9" i="12"/>
  <c r="GD9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BH10" i="12"/>
  <c r="BI10" i="12"/>
  <c r="BJ10" i="12"/>
  <c r="BK10" i="12"/>
  <c r="BL10" i="12"/>
  <c r="BM10" i="12"/>
  <c r="BN10" i="12"/>
  <c r="BO10" i="12"/>
  <c r="BP10" i="12"/>
  <c r="BQ10" i="12"/>
  <c r="BR10" i="12"/>
  <c r="BS10" i="12"/>
  <c r="BT10" i="12"/>
  <c r="BU10" i="12"/>
  <c r="BV10" i="12"/>
  <c r="BW10" i="12"/>
  <c r="BX10" i="12"/>
  <c r="BY10" i="12"/>
  <c r="BZ10" i="12"/>
  <c r="CA10" i="12"/>
  <c r="CB10" i="12"/>
  <c r="CC10" i="12"/>
  <c r="CD10" i="12"/>
  <c r="CE10" i="12"/>
  <c r="CF10" i="12"/>
  <c r="CG10" i="12"/>
  <c r="CH10" i="12"/>
  <c r="CI10" i="12"/>
  <c r="CJ10" i="12"/>
  <c r="CK10" i="12"/>
  <c r="CL10" i="12"/>
  <c r="CM10" i="12"/>
  <c r="CN10" i="12"/>
  <c r="CO10" i="12"/>
  <c r="CP10" i="12"/>
  <c r="CQ10" i="12"/>
  <c r="CR10" i="12"/>
  <c r="CS10" i="12"/>
  <c r="CT10" i="12"/>
  <c r="CU10" i="12"/>
  <c r="CV10" i="12"/>
  <c r="CW10" i="12"/>
  <c r="CX10" i="12"/>
  <c r="CY10" i="12"/>
  <c r="CZ10" i="12"/>
  <c r="DA10" i="12"/>
  <c r="DB10" i="12"/>
  <c r="DC10" i="12"/>
  <c r="DD10" i="12"/>
  <c r="DE10" i="12"/>
  <c r="DF10" i="12"/>
  <c r="DG10" i="12"/>
  <c r="DH10" i="12"/>
  <c r="DI10" i="12"/>
  <c r="DJ10" i="12"/>
  <c r="DK10" i="12"/>
  <c r="DL10" i="12"/>
  <c r="DM10" i="12"/>
  <c r="DN10" i="12"/>
  <c r="DO10" i="12"/>
  <c r="DP10" i="12"/>
  <c r="DQ10" i="12"/>
  <c r="DR10" i="12"/>
  <c r="DS10" i="12"/>
  <c r="DT10" i="12"/>
  <c r="DU10" i="12"/>
  <c r="DV10" i="12"/>
  <c r="DW10" i="12"/>
  <c r="DX10" i="12"/>
  <c r="DY10" i="12"/>
  <c r="DZ10" i="12"/>
  <c r="EA10" i="12"/>
  <c r="EB10" i="12"/>
  <c r="EC10" i="12"/>
  <c r="ED10" i="12"/>
  <c r="EE10" i="12"/>
  <c r="EF10" i="12"/>
  <c r="EG10" i="12"/>
  <c r="EH10" i="12"/>
  <c r="EI10" i="12"/>
  <c r="EJ10" i="12"/>
  <c r="EK10" i="12"/>
  <c r="EL10" i="12"/>
  <c r="EM10" i="12"/>
  <c r="EN10" i="12"/>
  <c r="EO10" i="12"/>
  <c r="EP10" i="12"/>
  <c r="EQ10" i="12"/>
  <c r="ER10" i="12"/>
  <c r="ES10" i="12"/>
  <c r="ET10" i="12"/>
  <c r="EU10" i="12"/>
  <c r="EV10" i="12"/>
  <c r="EW10" i="12"/>
  <c r="EX10" i="12"/>
  <c r="EY10" i="12"/>
  <c r="EZ10" i="12"/>
  <c r="FA10" i="12"/>
  <c r="FB10" i="12"/>
  <c r="FC10" i="12"/>
  <c r="FD10" i="12"/>
  <c r="FE10" i="12"/>
  <c r="FF10" i="12"/>
  <c r="FG10" i="12"/>
  <c r="FH10" i="12"/>
  <c r="FI10" i="12"/>
  <c r="FJ10" i="12"/>
  <c r="FK10" i="12"/>
  <c r="FL10" i="12"/>
  <c r="FM10" i="12"/>
  <c r="FN10" i="12"/>
  <c r="FO10" i="12"/>
  <c r="FP10" i="12"/>
  <c r="FQ10" i="12"/>
  <c r="FR10" i="12"/>
  <c r="FS10" i="12"/>
  <c r="FT10" i="12"/>
  <c r="FU10" i="12"/>
  <c r="FV10" i="12"/>
  <c r="FW10" i="12"/>
  <c r="FX10" i="12"/>
  <c r="FY10" i="12"/>
  <c r="FZ10" i="12"/>
  <c r="GA10" i="12"/>
  <c r="GB10" i="12"/>
  <c r="GC10" i="12"/>
  <c r="GD10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BJ11" i="12"/>
  <c r="BK11" i="12"/>
  <c r="BL11" i="12"/>
  <c r="BM11" i="12"/>
  <c r="BN11" i="12"/>
  <c r="BO11" i="12"/>
  <c r="BP11" i="12"/>
  <c r="BQ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CD11" i="12"/>
  <c r="CE11" i="12"/>
  <c r="CF11" i="12"/>
  <c r="CG11" i="12"/>
  <c r="CH11" i="12"/>
  <c r="CI11" i="12"/>
  <c r="CJ11" i="12"/>
  <c r="CK11" i="12"/>
  <c r="CL11" i="12"/>
  <c r="CM11" i="12"/>
  <c r="CN11" i="12"/>
  <c r="CO11" i="12"/>
  <c r="CP11" i="12"/>
  <c r="CQ11" i="12"/>
  <c r="CR11" i="12"/>
  <c r="CS11" i="12"/>
  <c r="CT11" i="12"/>
  <c r="CU11" i="12"/>
  <c r="CV11" i="12"/>
  <c r="CW11" i="12"/>
  <c r="CX11" i="12"/>
  <c r="CY11" i="12"/>
  <c r="CZ11" i="12"/>
  <c r="DA11" i="12"/>
  <c r="DB11" i="12"/>
  <c r="DC11" i="12"/>
  <c r="DD11" i="12"/>
  <c r="DE11" i="12"/>
  <c r="DF11" i="12"/>
  <c r="DG11" i="12"/>
  <c r="DH11" i="12"/>
  <c r="DI11" i="12"/>
  <c r="DJ11" i="12"/>
  <c r="DK11" i="12"/>
  <c r="DL11" i="12"/>
  <c r="DM11" i="12"/>
  <c r="DN11" i="12"/>
  <c r="DO11" i="12"/>
  <c r="DP11" i="12"/>
  <c r="DQ11" i="12"/>
  <c r="DR11" i="12"/>
  <c r="DS11" i="12"/>
  <c r="DT11" i="12"/>
  <c r="DU11" i="12"/>
  <c r="DV11" i="12"/>
  <c r="DW11" i="12"/>
  <c r="DX11" i="12"/>
  <c r="DY11" i="12"/>
  <c r="DZ11" i="12"/>
  <c r="EA11" i="12"/>
  <c r="EB11" i="12"/>
  <c r="EC11" i="12"/>
  <c r="ED11" i="12"/>
  <c r="EE11" i="12"/>
  <c r="EF11" i="12"/>
  <c r="EG11" i="12"/>
  <c r="EH11" i="12"/>
  <c r="EI11" i="12"/>
  <c r="EJ11" i="12"/>
  <c r="EK11" i="12"/>
  <c r="EL11" i="12"/>
  <c r="EM11" i="12"/>
  <c r="EN11" i="12"/>
  <c r="EO11" i="12"/>
  <c r="EP11" i="12"/>
  <c r="EQ11" i="12"/>
  <c r="ER11" i="12"/>
  <c r="ES11" i="12"/>
  <c r="ET11" i="12"/>
  <c r="EU11" i="12"/>
  <c r="EV11" i="12"/>
  <c r="EW11" i="12"/>
  <c r="EX11" i="12"/>
  <c r="EY11" i="12"/>
  <c r="EZ11" i="12"/>
  <c r="FA11" i="12"/>
  <c r="FB11" i="12"/>
  <c r="FC11" i="12"/>
  <c r="FD11" i="12"/>
  <c r="FE11" i="12"/>
  <c r="FF11" i="12"/>
  <c r="FG11" i="12"/>
  <c r="FH11" i="12"/>
  <c r="FI11" i="12"/>
  <c r="FJ11" i="12"/>
  <c r="FK11" i="12"/>
  <c r="FL11" i="12"/>
  <c r="FM11" i="12"/>
  <c r="FN11" i="12"/>
  <c r="FO11" i="12"/>
  <c r="FP11" i="12"/>
  <c r="FQ11" i="12"/>
  <c r="FR11" i="12"/>
  <c r="FS11" i="12"/>
  <c r="FT11" i="12"/>
  <c r="FU11" i="12"/>
  <c r="FV11" i="12"/>
  <c r="FW11" i="12"/>
  <c r="FX11" i="12"/>
  <c r="FY11" i="12"/>
  <c r="FZ11" i="12"/>
  <c r="GA11" i="12"/>
  <c r="GB11" i="12"/>
  <c r="GC11" i="12"/>
  <c r="GD11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BH12" i="12"/>
  <c r="BI12" i="12"/>
  <c r="BJ12" i="12"/>
  <c r="BK12" i="12"/>
  <c r="BL12" i="12"/>
  <c r="BM12" i="12"/>
  <c r="BN12" i="12"/>
  <c r="BO12" i="12"/>
  <c r="BP12" i="12"/>
  <c r="BQ12" i="12"/>
  <c r="BR12" i="12"/>
  <c r="BS12" i="12"/>
  <c r="BT12" i="12"/>
  <c r="BU12" i="12"/>
  <c r="BV12" i="12"/>
  <c r="BW12" i="12"/>
  <c r="BX12" i="12"/>
  <c r="BY12" i="12"/>
  <c r="BZ12" i="12"/>
  <c r="CA12" i="12"/>
  <c r="CB12" i="12"/>
  <c r="CC12" i="12"/>
  <c r="CD12" i="12"/>
  <c r="CE12" i="12"/>
  <c r="CF12" i="12"/>
  <c r="CG12" i="12"/>
  <c r="CH12" i="12"/>
  <c r="CI12" i="12"/>
  <c r="CJ12" i="12"/>
  <c r="CK12" i="12"/>
  <c r="CL12" i="12"/>
  <c r="CM12" i="12"/>
  <c r="CN12" i="12"/>
  <c r="CO12" i="12"/>
  <c r="CP12" i="12"/>
  <c r="CQ12" i="12"/>
  <c r="CR12" i="12"/>
  <c r="CS12" i="12"/>
  <c r="CT12" i="12"/>
  <c r="CU12" i="12"/>
  <c r="CV12" i="12"/>
  <c r="CW12" i="12"/>
  <c r="CX12" i="12"/>
  <c r="CY12" i="12"/>
  <c r="CZ12" i="12"/>
  <c r="DA12" i="12"/>
  <c r="DB12" i="12"/>
  <c r="DC12" i="12"/>
  <c r="DD12" i="12"/>
  <c r="DE12" i="12"/>
  <c r="DF12" i="12"/>
  <c r="DG12" i="12"/>
  <c r="DH12" i="12"/>
  <c r="DI12" i="12"/>
  <c r="DJ12" i="12"/>
  <c r="DK12" i="12"/>
  <c r="DL12" i="12"/>
  <c r="DM12" i="12"/>
  <c r="DN12" i="12"/>
  <c r="DO12" i="12"/>
  <c r="DP12" i="12"/>
  <c r="DQ12" i="12"/>
  <c r="DR12" i="12"/>
  <c r="DS12" i="12"/>
  <c r="DT12" i="12"/>
  <c r="DU12" i="12"/>
  <c r="DV12" i="12"/>
  <c r="DW12" i="12"/>
  <c r="DX12" i="12"/>
  <c r="DY12" i="12"/>
  <c r="DZ12" i="12"/>
  <c r="EA12" i="12"/>
  <c r="EB12" i="12"/>
  <c r="EC12" i="12"/>
  <c r="ED12" i="12"/>
  <c r="EE12" i="12"/>
  <c r="EF12" i="12"/>
  <c r="EG12" i="12"/>
  <c r="EH12" i="12"/>
  <c r="EI12" i="12"/>
  <c r="EJ12" i="12"/>
  <c r="EK12" i="12"/>
  <c r="EL12" i="12"/>
  <c r="EM12" i="12"/>
  <c r="EN12" i="12"/>
  <c r="EO12" i="12"/>
  <c r="EP12" i="12"/>
  <c r="EQ12" i="12"/>
  <c r="ER12" i="12"/>
  <c r="ES12" i="12"/>
  <c r="ET12" i="12"/>
  <c r="EU12" i="12"/>
  <c r="EV12" i="12"/>
  <c r="EW12" i="12"/>
  <c r="EX12" i="12"/>
  <c r="EY12" i="12"/>
  <c r="EZ12" i="12"/>
  <c r="FA12" i="12"/>
  <c r="FB12" i="12"/>
  <c r="FC12" i="12"/>
  <c r="FD12" i="12"/>
  <c r="FE12" i="12"/>
  <c r="FF12" i="12"/>
  <c r="FG12" i="12"/>
  <c r="FH12" i="12"/>
  <c r="FI12" i="12"/>
  <c r="FJ12" i="12"/>
  <c r="FK12" i="12"/>
  <c r="FL12" i="12"/>
  <c r="FM12" i="12"/>
  <c r="FN12" i="12"/>
  <c r="FO12" i="12"/>
  <c r="FP12" i="12"/>
  <c r="FQ12" i="12"/>
  <c r="FR12" i="12"/>
  <c r="FS12" i="12"/>
  <c r="FT12" i="12"/>
  <c r="FU12" i="12"/>
  <c r="FV12" i="12"/>
  <c r="FW12" i="12"/>
  <c r="FX12" i="12"/>
  <c r="FY12" i="12"/>
  <c r="FZ12" i="12"/>
  <c r="GA12" i="12"/>
  <c r="GB12" i="12"/>
  <c r="GC12" i="12"/>
  <c r="GD12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CL13" i="12"/>
  <c r="CM13" i="12"/>
  <c r="CN13" i="12"/>
  <c r="CO13" i="12"/>
  <c r="CP13" i="12"/>
  <c r="CQ13" i="12"/>
  <c r="CR13" i="12"/>
  <c r="CS13" i="12"/>
  <c r="CT13" i="12"/>
  <c r="CU13" i="12"/>
  <c r="CV13" i="12"/>
  <c r="CW13" i="12"/>
  <c r="CX13" i="12"/>
  <c r="CY13" i="12"/>
  <c r="CZ13" i="12"/>
  <c r="DA13" i="12"/>
  <c r="DB13" i="12"/>
  <c r="DC13" i="12"/>
  <c r="DD13" i="12"/>
  <c r="DE13" i="12"/>
  <c r="DF13" i="12"/>
  <c r="DG13" i="12"/>
  <c r="DH13" i="12"/>
  <c r="DI13" i="12"/>
  <c r="DJ13" i="12"/>
  <c r="DK13" i="12"/>
  <c r="DL13" i="12"/>
  <c r="DM13" i="12"/>
  <c r="DN13" i="12"/>
  <c r="DO13" i="12"/>
  <c r="DP13" i="12"/>
  <c r="DQ13" i="12"/>
  <c r="DR13" i="12"/>
  <c r="DS13" i="12"/>
  <c r="DT13" i="12"/>
  <c r="DU13" i="12"/>
  <c r="DV13" i="12"/>
  <c r="DW13" i="12"/>
  <c r="DX13" i="12"/>
  <c r="DY13" i="12"/>
  <c r="DZ13" i="12"/>
  <c r="EA13" i="12"/>
  <c r="EB13" i="12"/>
  <c r="EC13" i="12"/>
  <c r="ED13" i="12"/>
  <c r="EE13" i="12"/>
  <c r="EF13" i="12"/>
  <c r="EG13" i="12"/>
  <c r="EH13" i="12"/>
  <c r="EI13" i="12"/>
  <c r="EJ13" i="12"/>
  <c r="EK13" i="12"/>
  <c r="EL13" i="12"/>
  <c r="EM13" i="12"/>
  <c r="EN13" i="12"/>
  <c r="EO13" i="12"/>
  <c r="EP13" i="12"/>
  <c r="EQ13" i="12"/>
  <c r="ER13" i="12"/>
  <c r="ES13" i="12"/>
  <c r="ET13" i="12"/>
  <c r="EU13" i="12"/>
  <c r="EV13" i="12"/>
  <c r="EW13" i="12"/>
  <c r="EX13" i="12"/>
  <c r="EY13" i="12"/>
  <c r="EZ13" i="12"/>
  <c r="FA13" i="12"/>
  <c r="FB13" i="12"/>
  <c r="FC13" i="12"/>
  <c r="FD13" i="12"/>
  <c r="FE13" i="12"/>
  <c r="FF13" i="12"/>
  <c r="FG13" i="12"/>
  <c r="FH13" i="12"/>
  <c r="FI13" i="12"/>
  <c r="FJ13" i="12"/>
  <c r="FK13" i="12"/>
  <c r="FL13" i="12"/>
  <c r="FM13" i="12"/>
  <c r="FN13" i="12"/>
  <c r="FO13" i="12"/>
  <c r="FP13" i="12"/>
  <c r="FQ13" i="12"/>
  <c r="FR13" i="12"/>
  <c r="FS13" i="12"/>
  <c r="FT13" i="12"/>
  <c r="FU13" i="12"/>
  <c r="FV13" i="12"/>
  <c r="FW13" i="12"/>
  <c r="FX13" i="12"/>
  <c r="FY13" i="12"/>
  <c r="FZ13" i="12"/>
  <c r="GA13" i="12"/>
  <c r="GB13" i="12"/>
  <c r="GC13" i="12"/>
  <c r="GD13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S14" i="12"/>
  <c r="BT14" i="12"/>
  <c r="BU14" i="12"/>
  <c r="BV14" i="12"/>
  <c r="BW14" i="12"/>
  <c r="BX14" i="12"/>
  <c r="BY14" i="12"/>
  <c r="BZ14" i="12"/>
  <c r="CA14" i="12"/>
  <c r="CB14" i="12"/>
  <c r="CC14" i="12"/>
  <c r="CD14" i="12"/>
  <c r="CE14" i="12"/>
  <c r="CF14" i="12"/>
  <c r="CG14" i="12"/>
  <c r="CH14" i="12"/>
  <c r="CI14" i="12"/>
  <c r="CJ14" i="12"/>
  <c r="CK14" i="12"/>
  <c r="CL14" i="12"/>
  <c r="CM14" i="12"/>
  <c r="CN14" i="12"/>
  <c r="CO14" i="12"/>
  <c r="CP14" i="12"/>
  <c r="CQ14" i="12"/>
  <c r="CR14" i="12"/>
  <c r="CS14" i="12"/>
  <c r="CT14" i="12"/>
  <c r="CU14" i="12"/>
  <c r="CV14" i="12"/>
  <c r="CW14" i="12"/>
  <c r="CX14" i="12"/>
  <c r="CY14" i="12"/>
  <c r="CZ14" i="12"/>
  <c r="DA14" i="12"/>
  <c r="DB14" i="12"/>
  <c r="DC14" i="12"/>
  <c r="DD14" i="12"/>
  <c r="DE14" i="12"/>
  <c r="DF14" i="12"/>
  <c r="DG14" i="12"/>
  <c r="DH14" i="12"/>
  <c r="DI14" i="12"/>
  <c r="DJ14" i="12"/>
  <c r="DK14" i="12"/>
  <c r="DL14" i="12"/>
  <c r="DM14" i="12"/>
  <c r="DN14" i="12"/>
  <c r="DO14" i="12"/>
  <c r="DP14" i="12"/>
  <c r="DQ14" i="12"/>
  <c r="DR14" i="12"/>
  <c r="DS14" i="12"/>
  <c r="DT14" i="12"/>
  <c r="DU14" i="12"/>
  <c r="DV14" i="12"/>
  <c r="DW14" i="12"/>
  <c r="DX14" i="12"/>
  <c r="DY14" i="12"/>
  <c r="DZ14" i="12"/>
  <c r="EA14" i="12"/>
  <c r="EB14" i="12"/>
  <c r="EC14" i="12"/>
  <c r="ED14" i="12"/>
  <c r="EE14" i="12"/>
  <c r="EF14" i="12"/>
  <c r="EG14" i="12"/>
  <c r="EH14" i="12"/>
  <c r="EI14" i="12"/>
  <c r="EJ14" i="12"/>
  <c r="EK14" i="12"/>
  <c r="EL14" i="12"/>
  <c r="EM14" i="12"/>
  <c r="EN14" i="12"/>
  <c r="EO14" i="12"/>
  <c r="EP14" i="12"/>
  <c r="EQ14" i="12"/>
  <c r="ER14" i="12"/>
  <c r="ES14" i="12"/>
  <c r="ET14" i="12"/>
  <c r="EU14" i="12"/>
  <c r="EV14" i="12"/>
  <c r="EW14" i="12"/>
  <c r="EX14" i="12"/>
  <c r="EY14" i="12"/>
  <c r="EZ14" i="12"/>
  <c r="FA14" i="12"/>
  <c r="FB14" i="12"/>
  <c r="FC14" i="12"/>
  <c r="FD14" i="12"/>
  <c r="FE14" i="12"/>
  <c r="FF14" i="12"/>
  <c r="FG14" i="12"/>
  <c r="FH14" i="12"/>
  <c r="FI14" i="12"/>
  <c r="FJ14" i="12"/>
  <c r="FK14" i="12"/>
  <c r="FL14" i="12"/>
  <c r="FM14" i="12"/>
  <c r="FN14" i="12"/>
  <c r="FO14" i="12"/>
  <c r="FP14" i="12"/>
  <c r="FQ14" i="12"/>
  <c r="FR14" i="12"/>
  <c r="FS14" i="12"/>
  <c r="FT14" i="12"/>
  <c r="FU14" i="12"/>
  <c r="FV14" i="12"/>
  <c r="FW14" i="12"/>
  <c r="FX14" i="12"/>
  <c r="FY14" i="12"/>
  <c r="FZ14" i="12"/>
  <c r="GA14" i="12"/>
  <c r="GB14" i="12"/>
  <c r="GC14" i="12"/>
  <c r="GD14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BH15" i="12"/>
  <c r="BI15" i="12"/>
  <c r="BJ15" i="12"/>
  <c r="BK15" i="12"/>
  <c r="BL15" i="12"/>
  <c r="BM15" i="12"/>
  <c r="BN15" i="12"/>
  <c r="BO15" i="12"/>
  <c r="BP15" i="12"/>
  <c r="BQ15" i="12"/>
  <c r="BR15" i="12"/>
  <c r="BS15" i="12"/>
  <c r="BT15" i="12"/>
  <c r="BU15" i="12"/>
  <c r="BV15" i="12"/>
  <c r="BW15" i="12"/>
  <c r="BX15" i="12"/>
  <c r="BY15" i="12"/>
  <c r="BZ15" i="12"/>
  <c r="CA15" i="12"/>
  <c r="CB15" i="12"/>
  <c r="CC15" i="12"/>
  <c r="CD15" i="12"/>
  <c r="CE15" i="12"/>
  <c r="CF15" i="12"/>
  <c r="CG15" i="12"/>
  <c r="CH15" i="12"/>
  <c r="CI15" i="12"/>
  <c r="CJ15" i="12"/>
  <c r="CK15" i="12"/>
  <c r="CL15" i="12"/>
  <c r="CM15" i="12"/>
  <c r="CN15" i="12"/>
  <c r="CO15" i="12"/>
  <c r="CP15" i="12"/>
  <c r="CQ15" i="12"/>
  <c r="CR15" i="12"/>
  <c r="CS15" i="12"/>
  <c r="CT15" i="12"/>
  <c r="CU15" i="12"/>
  <c r="CV15" i="12"/>
  <c r="CW15" i="12"/>
  <c r="CX15" i="12"/>
  <c r="CY15" i="12"/>
  <c r="CZ15" i="12"/>
  <c r="DA15" i="12"/>
  <c r="DB15" i="12"/>
  <c r="DC15" i="12"/>
  <c r="DD15" i="12"/>
  <c r="DE15" i="12"/>
  <c r="DF15" i="12"/>
  <c r="DG15" i="12"/>
  <c r="DH15" i="12"/>
  <c r="DI15" i="12"/>
  <c r="DJ15" i="12"/>
  <c r="DK15" i="12"/>
  <c r="DL15" i="12"/>
  <c r="DM15" i="12"/>
  <c r="DN15" i="12"/>
  <c r="DO15" i="12"/>
  <c r="DP15" i="12"/>
  <c r="DQ15" i="12"/>
  <c r="DR15" i="12"/>
  <c r="DS15" i="12"/>
  <c r="DT15" i="12"/>
  <c r="DU15" i="12"/>
  <c r="DV15" i="12"/>
  <c r="DW15" i="12"/>
  <c r="DX15" i="12"/>
  <c r="DY15" i="12"/>
  <c r="DZ15" i="12"/>
  <c r="EA15" i="12"/>
  <c r="EB15" i="12"/>
  <c r="EC15" i="12"/>
  <c r="ED15" i="12"/>
  <c r="EE15" i="12"/>
  <c r="EF15" i="12"/>
  <c r="EG15" i="12"/>
  <c r="EH15" i="12"/>
  <c r="EI15" i="12"/>
  <c r="EJ15" i="12"/>
  <c r="EK15" i="12"/>
  <c r="EL15" i="12"/>
  <c r="EM15" i="12"/>
  <c r="EN15" i="12"/>
  <c r="EO15" i="12"/>
  <c r="EP15" i="12"/>
  <c r="EQ15" i="12"/>
  <c r="ER15" i="12"/>
  <c r="ES15" i="12"/>
  <c r="ET15" i="12"/>
  <c r="EU15" i="12"/>
  <c r="EV15" i="12"/>
  <c r="EW15" i="12"/>
  <c r="EX15" i="12"/>
  <c r="EY15" i="12"/>
  <c r="EZ15" i="12"/>
  <c r="FA15" i="12"/>
  <c r="FB15" i="12"/>
  <c r="FC15" i="12"/>
  <c r="FD15" i="12"/>
  <c r="FE15" i="12"/>
  <c r="FF15" i="12"/>
  <c r="FG15" i="12"/>
  <c r="FH15" i="12"/>
  <c r="FI15" i="12"/>
  <c r="FJ15" i="12"/>
  <c r="FK15" i="12"/>
  <c r="FL15" i="12"/>
  <c r="FM15" i="12"/>
  <c r="FN15" i="12"/>
  <c r="FO15" i="12"/>
  <c r="FP15" i="12"/>
  <c r="FQ15" i="12"/>
  <c r="FR15" i="12"/>
  <c r="FS15" i="12"/>
  <c r="FT15" i="12"/>
  <c r="FU15" i="12"/>
  <c r="FV15" i="12"/>
  <c r="FW15" i="12"/>
  <c r="FX15" i="12"/>
  <c r="FY15" i="12"/>
  <c r="FZ15" i="12"/>
  <c r="GA15" i="12"/>
  <c r="GB15" i="12"/>
  <c r="GC15" i="12"/>
  <c r="GD15" i="12"/>
  <c r="S10" i="12"/>
  <c r="S11" i="12"/>
  <c r="S12" i="12"/>
  <c r="S13" i="12"/>
  <c r="S14" i="12"/>
  <c r="S15" i="12"/>
  <c r="S9" i="12"/>
  <c r="I125" i="1" l="1"/>
  <c r="A118" i="1"/>
  <c r="D93" i="1"/>
  <c r="D94" i="1"/>
  <c r="D92" i="1"/>
  <c r="C5" i="7"/>
  <c r="C4" i="7"/>
  <c r="D124" i="1"/>
  <c r="D123" i="1"/>
  <c r="E76" i="4"/>
  <c r="E70" i="4"/>
  <c r="E64" i="4"/>
  <c r="E63" i="4"/>
  <c r="R7" i="5"/>
  <c r="O10" i="5"/>
  <c r="O11" i="5" s="1"/>
  <c r="O12" i="5" s="1"/>
  <c r="O13" i="5" s="1"/>
  <c r="O9" i="5"/>
  <c r="O8" i="5"/>
  <c r="G26" i="9"/>
  <c r="E9" i="9"/>
  <c r="E8" i="9"/>
  <c r="E7" i="9"/>
  <c r="E6" i="9"/>
  <c r="B15" i="7" l="1"/>
  <c r="B14" i="7"/>
  <c r="B13" i="7"/>
  <c r="B12" i="7"/>
  <c r="G22" i="6"/>
  <c r="G10" i="5" l="1"/>
  <c r="G9" i="5"/>
  <c r="G8" i="5"/>
  <c r="G7" i="5"/>
  <c r="L7" i="5" s="1"/>
  <c r="L8" i="5" l="1"/>
  <c r="AF57" i="2" l="1"/>
  <c r="C5" i="8"/>
  <c r="D99" i="1" s="1"/>
  <c r="H99" i="1" s="1"/>
  <c r="Y99" i="1" s="1"/>
  <c r="A56" i="1"/>
  <c r="A57" i="1"/>
  <c r="A58" i="1"/>
  <c r="A59" i="1"/>
  <c r="A60" i="1"/>
  <c r="A61" i="1"/>
  <c r="A55" i="1"/>
  <c r="AI58" i="2"/>
  <c r="AI59" i="2" s="1"/>
  <c r="AI60" i="2" s="1"/>
  <c r="AI61" i="2" s="1"/>
  <c r="AI62" i="2" s="1"/>
  <c r="AI63" i="2" s="1"/>
  <c r="S58" i="2"/>
  <c r="S59" i="2"/>
  <c r="S60" i="2"/>
  <c r="S61" i="2"/>
  <c r="S62" i="2"/>
  <c r="S63" i="2"/>
  <c r="S57" i="2"/>
  <c r="S54" i="2"/>
  <c r="F63" i="2"/>
  <c r="F62" i="2"/>
  <c r="N62" i="2" s="1"/>
  <c r="F61" i="2"/>
  <c r="N61" i="2" s="1"/>
  <c r="F60" i="2"/>
  <c r="F58" i="2"/>
  <c r="N58" i="2" s="1"/>
  <c r="F45" i="9"/>
  <c r="E45" i="9"/>
  <c r="N59" i="2"/>
  <c r="N8" i="5"/>
  <c r="L9" i="5"/>
  <c r="N9" i="5" s="1"/>
  <c r="N60" i="2"/>
  <c r="N63" i="2"/>
  <c r="N57" i="2"/>
  <c r="AI57" i="2"/>
  <c r="P58" i="2"/>
  <c r="P59" i="2"/>
  <c r="P60" i="2"/>
  <c r="P61" i="2"/>
  <c r="P62" i="2"/>
  <c r="P63" i="2"/>
  <c r="P57" i="2"/>
  <c r="L10" i="5"/>
  <c r="M9" i="5"/>
  <c r="M10" i="5" s="1"/>
  <c r="M11" i="5" s="1"/>
  <c r="M12" i="5" s="1"/>
  <c r="M13" i="5" s="1"/>
  <c r="M8" i="5"/>
  <c r="E124" i="1"/>
  <c r="E125" i="1"/>
  <c r="E123" i="1"/>
  <c r="AJ58" i="2"/>
  <c r="AJ59" i="2"/>
  <c r="AJ60" i="2"/>
  <c r="AJ61" i="2"/>
  <c r="AJ62" i="2"/>
  <c r="AJ63" i="2"/>
  <c r="AJ57" i="2"/>
  <c r="T22" i="3"/>
  <c r="F22" i="3"/>
  <c r="T15" i="3"/>
  <c r="T19" i="3"/>
  <c r="T14" i="3"/>
  <c r="M14" i="3"/>
  <c r="F14" i="3"/>
  <c r="T10" i="3"/>
  <c r="M10" i="3"/>
  <c r="M15" i="3"/>
  <c r="F10" i="3"/>
  <c r="F15" i="3"/>
  <c r="B168" i="2"/>
  <c r="B167" i="2"/>
  <c r="D156" i="2"/>
  <c r="E156" i="2"/>
  <c r="D155" i="2"/>
  <c r="E155" i="2"/>
  <c r="D154" i="2"/>
  <c r="E154" i="2"/>
  <c r="D153" i="2"/>
  <c r="E153" i="2"/>
  <c r="D152" i="2"/>
  <c r="E152" i="2"/>
  <c r="E151" i="2"/>
  <c r="D151" i="2"/>
  <c r="D150" i="2"/>
  <c r="E150" i="2"/>
  <c r="D149" i="2"/>
  <c r="E149" i="2"/>
  <c r="D148" i="2"/>
  <c r="E148" i="2"/>
  <c r="E147" i="2"/>
  <c r="D147" i="2"/>
  <c r="D146" i="2"/>
  <c r="E146" i="2"/>
  <c r="D145" i="2"/>
  <c r="E145" i="2"/>
  <c r="D144" i="2"/>
  <c r="E144" i="2"/>
  <c r="E143" i="2"/>
  <c r="D143" i="2"/>
  <c r="D142" i="2"/>
  <c r="E142" i="2"/>
  <c r="D141" i="2"/>
  <c r="E141" i="2"/>
  <c r="D140" i="2"/>
  <c r="E140" i="2"/>
  <c r="E139" i="2"/>
  <c r="D139" i="2"/>
  <c r="D138" i="2"/>
  <c r="E138" i="2"/>
  <c r="D137" i="2"/>
  <c r="E137" i="2"/>
  <c r="D136" i="2"/>
  <c r="E136" i="2"/>
  <c r="E135" i="2"/>
  <c r="D135" i="2"/>
  <c r="D134" i="2"/>
  <c r="E134" i="2"/>
  <c r="D133" i="2"/>
  <c r="E133" i="2"/>
  <c r="D132" i="2"/>
  <c r="E132" i="2"/>
  <c r="E131" i="2"/>
  <c r="D131" i="2"/>
  <c r="AD63" i="2"/>
  <c r="W63" i="2"/>
  <c r="AB63" i="2"/>
  <c r="U63" i="2"/>
  <c r="G63" i="2"/>
  <c r="AD62" i="2"/>
  <c r="AB62" i="2"/>
  <c r="W62" i="2"/>
  <c r="U62" i="2"/>
  <c r="G62" i="2"/>
  <c r="I62" i="2"/>
  <c r="AD61" i="2"/>
  <c r="AB61" i="2"/>
  <c r="W61" i="2"/>
  <c r="U61" i="2"/>
  <c r="G61" i="2"/>
  <c r="I61" i="2"/>
  <c r="AD60" i="2"/>
  <c r="AB60" i="2"/>
  <c r="W60" i="2"/>
  <c r="U60" i="2"/>
  <c r="G60" i="2"/>
  <c r="I60" i="2"/>
  <c r="AD59" i="2"/>
  <c r="Y59" i="2"/>
  <c r="X59" i="2"/>
  <c r="W59" i="2"/>
  <c r="U59" i="2"/>
  <c r="AB59" i="2"/>
  <c r="I59" i="2"/>
  <c r="O59" i="2" s="1"/>
  <c r="AD58" i="2"/>
  <c r="W58" i="2"/>
  <c r="AB58" i="2"/>
  <c r="U58" i="2"/>
  <c r="J58" i="2"/>
  <c r="G58" i="2"/>
  <c r="I58" i="2"/>
  <c r="AD57" i="2"/>
  <c r="W57" i="2"/>
  <c r="AB57" i="2"/>
  <c r="U57" i="2"/>
  <c r="G57" i="2"/>
  <c r="F57" i="2"/>
  <c r="I57" i="2"/>
  <c r="I53" i="2"/>
  <c r="AK30" i="2"/>
  <c r="AI30" i="2"/>
  <c r="AB30" i="2"/>
  <c r="R30" i="2"/>
  <c r="S30" i="2"/>
  <c r="E30" i="2"/>
  <c r="AK29" i="2"/>
  <c r="AI29" i="2"/>
  <c r="AB29" i="2"/>
  <c r="R29" i="2"/>
  <c r="E29" i="2"/>
  <c r="AK28" i="2"/>
  <c r="AI28" i="2"/>
  <c r="AC28" i="2"/>
  <c r="AF28" i="2"/>
  <c r="AM28" i="2"/>
  <c r="AB28" i="2"/>
  <c r="S28" i="2"/>
  <c r="AO28" i="2"/>
  <c r="R28" i="2"/>
  <c r="E28" i="2"/>
  <c r="AK27" i="2"/>
  <c r="AI27" i="2"/>
  <c r="AB27" i="2"/>
  <c r="R27" i="2"/>
  <c r="E27" i="2"/>
  <c r="AK26" i="2"/>
  <c r="AI26" i="2"/>
  <c r="AC26" i="2"/>
  <c r="AF26" i="2"/>
  <c r="AM26" i="2"/>
  <c r="AB26" i="2"/>
  <c r="S26" i="2"/>
  <c r="AN26" i="2"/>
  <c r="R26" i="2"/>
  <c r="E26" i="2"/>
  <c r="S24" i="2"/>
  <c r="AM8" i="2"/>
  <c r="AK8" i="2"/>
  <c r="AI8" i="2"/>
  <c r="AB8" i="2"/>
  <c r="R8" i="2"/>
  <c r="S8" i="2"/>
  <c r="E8" i="2"/>
  <c r="AM7" i="2"/>
  <c r="AK7" i="2"/>
  <c r="AI7" i="2"/>
  <c r="AB7" i="2"/>
  <c r="R7" i="2"/>
  <c r="E7" i="2"/>
  <c r="AM6" i="2"/>
  <c r="AK6" i="2"/>
  <c r="AI6" i="2"/>
  <c r="AB6" i="2"/>
  <c r="R6" i="2"/>
  <c r="E6" i="2"/>
  <c r="AK5" i="2"/>
  <c r="AI5" i="2"/>
  <c r="W5" i="2"/>
  <c r="AB5" i="2"/>
  <c r="S5" i="2"/>
  <c r="U5" i="2"/>
  <c r="R5" i="2"/>
  <c r="E5" i="2"/>
  <c r="S3" i="2"/>
  <c r="B35" i="6"/>
  <c r="D6" i="6" s="1"/>
  <c r="F6" i="6" s="1"/>
  <c r="C44" i="11"/>
  <c r="D15" i="7"/>
  <c r="D14" i="7"/>
  <c r="D13" i="7"/>
  <c r="D12" i="7"/>
  <c r="F70" i="1"/>
  <c r="F95" i="11"/>
  <c r="F93" i="11"/>
  <c r="F94" i="11"/>
  <c r="F92" i="11"/>
  <c r="F46" i="9"/>
  <c r="F47" i="9"/>
  <c r="F44" i="9"/>
  <c r="E46" i="9"/>
  <c r="E47" i="9"/>
  <c r="E44" i="9"/>
  <c r="F75" i="1"/>
  <c r="F76" i="1" s="1"/>
  <c r="F77" i="1" s="1"/>
  <c r="F78" i="1" s="1"/>
  <c r="G11" i="5"/>
  <c r="G12" i="5" s="1"/>
  <c r="G13" i="5" s="1"/>
  <c r="J6" i="6"/>
  <c r="H34" i="11"/>
  <c r="H31" i="11"/>
  <c r="H32" i="11"/>
  <c r="H33" i="11"/>
  <c r="H30" i="11"/>
  <c r="T7" i="5"/>
  <c r="P8" i="5"/>
  <c r="P9" i="5"/>
  <c r="P10" i="5"/>
  <c r="P11" i="5"/>
  <c r="P12" i="5"/>
  <c r="P13" i="5"/>
  <c r="Q7" i="5"/>
  <c r="AB74" i="1" s="1"/>
  <c r="P7" i="5"/>
  <c r="R8" i="5"/>
  <c r="R9" i="5"/>
  <c r="R10" i="5" s="1"/>
  <c r="T8" i="5"/>
  <c r="F30" i="10"/>
  <c r="P30" i="10"/>
  <c r="S30" i="10"/>
  <c r="X30" i="10"/>
  <c r="V30" i="10"/>
  <c r="AC30" i="10"/>
  <c r="AD30" i="10"/>
  <c r="AG30" i="10"/>
  <c r="F31" i="10"/>
  <c r="P31" i="10"/>
  <c r="S31" i="10"/>
  <c r="V31" i="10"/>
  <c r="F32" i="10"/>
  <c r="P32" i="10"/>
  <c r="S32" i="10"/>
  <c r="V32" i="10"/>
  <c r="F33" i="10"/>
  <c r="P33" i="10"/>
  <c r="S33" i="10"/>
  <c r="V33" i="10"/>
  <c r="G48" i="10"/>
  <c r="N48" i="10"/>
  <c r="N53" i="10"/>
  <c r="U48" i="10"/>
  <c r="G52" i="10"/>
  <c r="N52" i="10"/>
  <c r="U52" i="10"/>
  <c r="G53" i="10"/>
  <c r="G58" i="10"/>
  <c r="G60" i="10"/>
  <c r="U60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H90" i="10"/>
  <c r="H91" i="10"/>
  <c r="J90" i="10"/>
  <c r="K90" i="10"/>
  <c r="K91" i="10"/>
  <c r="L90" i="10"/>
  <c r="L91" i="10"/>
  <c r="J91" i="10"/>
  <c r="F97" i="10"/>
  <c r="G110" i="10"/>
  <c r="G111" i="10"/>
  <c r="F98" i="10"/>
  <c r="H110" i="10"/>
  <c r="I110" i="10"/>
  <c r="I111" i="10" s="1"/>
  <c r="J110" i="10"/>
  <c r="J111" i="10" s="1"/>
  <c r="K110" i="10"/>
  <c r="K111" i="10" s="1"/>
  <c r="L110" i="10"/>
  <c r="L111" i="10" s="1"/>
  <c r="H111" i="10"/>
  <c r="G121" i="10"/>
  <c r="H121" i="10"/>
  <c r="K121" i="10"/>
  <c r="L121" i="10"/>
  <c r="R121" i="10"/>
  <c r="W121" i="10"/>
  <c r="U121" i="10"/>
  <c r="G122" i="10"/>
  <c r="H122" i="10"/>
  <c r="K122" i="10"/>
  <c r="L122" i="10"/>
  <c r="R122" i="10"/>
  <c r="W122" i="10"/>
  <c r="U122" i="10"/>
  <c r="G123" i="10"/>
  <c r="H123" i="10"/>
  <c r="I123" i="10"/>
  <c r="J123" i="10"/>
  <c r="K123" i="10"/>
  <c r="M123" i="10"/>
  <c r="O123" i="10"/>
  <c r="Q123" i="10"/>
  <c r="Q127" i="10"/>
  <c r="R123" i="10"/>
  <c r="S123" i="10"/>
  <c r="U123" i="10"/>
  <c r="P127" i="10"/>
  <c r="J133" i="10"/>
  <c r="I134" i="10"/>
  <c r="J134" i="10"/>
  <c r="I135" i="10"/>
  <c r="J135" i="10"/>
  <c r="I136" i="10"/>
  <c r="I137" i="10"/>
  <c r="J137" i="10"/>
  <c r="I138" i="10"/>
  <c r="I140" i="10"/>
  <c r="J149" i="10"/>
  <c r="J148" i="10"/>
  <c r="J151" i="10"/>
  <c r="J152" i="10"/>
  <c r="J155" i="10"/>
  <c r="J154" i="10"/>
  <c r="G167" i="10"/>
  <c r="H167" i="10"/>
  <c r="J167" i="10"/>
  <c r="K167" i="10"/>
  <c r="L167" i="10"/>
  <c r="G168" i="10"/>
  <c r="H168" i="10"/>
  <c r="J168" i="10"/>
  <c r="K168" i="10"/>
  <c r="L168" i="10"/>
  <c r="G169" i="10"/>
  <c r="H169" i="10"/>
  <c r="J169" i="10"/>
  <c r="K169" i="10"/>
  <c r="L169" i="10"/>
  <c r="G170" i="10"/>
  <c r="H170" i="10"/>
  <c r="J170" i="10"/>
  <c r="K170" i="10"/>
  <c r="L170" i="10"/>
  <c r="G171" i="10"/>
  <c r="H171" i="10"/>
  <c r="J171" i="10"/>
  <c r="K171" i="10"/>
  <c r="L171" i="10"/>
  <c r="G172" i="10"/>
  <c r="H172" i="10"/>
  <c r="J172" i="10"/>
  <c r="K172" i="10"/>
  <c r="L172" i="10"/>
  <c r="G173" i="10"/>
  <c r="H173" i="10"/>
  <c r="J173" i="10"/>
  <c r="K173" i="10"/>
  <c r="L173" i="10"/>
  <c r="G174" i="10"/>
  <c r="H174" i="10"/>
  <c r="J174" i="10"/>
  <c r="K174" i="10"/>
  <c r="L174" i="10"/>
  <c r="G175" i="10"/>
  <c r="H175" i="10"/>
  <c r="J175" i="10"/>
  <c r="K175" i="10"/>
  <c r="L175" i="10"/>
  <c r="G176" i="10"/>
  <c r="H176" i="10"/>
  <c r="J176" i="10"/>
  <c r="K176" i="10"/>
  <c r="L176" i="10"/>
  <c r="G177" i="10"/>
  <c r="H177" i="10"/>
  <c r="J177" i="10"/>
  <c r="K177" i="10"/>
  <c r="L177" i="10"/>
  <c r="G178" i="10"/>
  <c r="H178" i="10"/>
  <c r="J178" i="10"/>
  <c r="K178" i="10"/>
  <c r="L178" i="10"/>
  <c r="G179" i="10"/>
  <c r="H179" i="10"/>
  <c r="J179" i="10"/>
  <c r="K179" i="10"/>
  <c r="L179" i="10"/>
  <c r="G180" i="10"/>
  <c r="H180" i="10"/>
  <c r="J180" i="10"/>
  <c r="K180" i="10"/>
  <c r="L180" i="10"/>
  <c r="G181" i="10"/>
  <c r="H181" i="10"/>
  <c r="J181" i="10"/>
  <c r="K181" i="10"/>
  <c r="L181" i="10"/>
  <c r="G182" i="10"/>
  <c r="H182" i="10"/>
  <c r="J182" i="10"/>
  <c r="K182" i="10"/>
  <c r="L182" i="10"/>
  <c r="G183" i="10"/>
  <c r="H183" i="10"/>
  <c r="J183" i="10"/>
  <c r="K183" i="10"/>
  <c r="L183" i="10"/>
  <c r="G184" i="10"/>
  <c r="H184" i="10"/>
  <c r="J184" i="10"/>
  <c r="K184" i="10"/>
  <c r="L184" i="10"/>
  <c r="G185" i="10"/>
  <c r="H185" i="10"/>
  <c r="J185" i="10"/>
  <c r="K185" i="10"/>
  <c r="L185" i="10"/>
  <c r="G186" i="10"/>
  <c r="H186" i="10"/>
  <c r="J186" i="10"/>
  <c r="K186" i="10"/>
  <c r="L186" i="10"/>
  <c r="G187" i="10"/>
  <c r="H187" i="10"/>
  <c r="J187" i="10"/>
  <c r="K187" i="10"/>
  <c r="L187" i="10"/>
  <c r="G188" i="10"/>
  <c r="H188" i="10"/>
  <c r="J188" i="10"/>
  <c r="K188" i="10"/>
  <c r="L188" i="10"/>
  <c r="G189" i="10"/>
  <c r="H189" i="10"/>
  <c r="J189" i="10"/>
  <c r="K189" i="10"/>
  <c r="L189" i="10"/>
  <c r="G190" i="10"/>
  <c r="H190" i="10"/>
  <c r="J190" i="10"/>
  <c r="K190" i="10"/>
  <c r="L190" i="10"/>
  <c r="G191" i="10"/>
  <c r="H191" i="10"/>
  <c r="J191" i="10"/>
  <c r="K191" i="10"/>
  <c r="L191" i="10"/>
  <c r="K200" i="10"/>
  <c r="E244" i="10"/>
  <c r="H244" i="10"/>
  <c r="E245" i="10"/>
  <c r="H245" i="10"/>
  <c r="E246" i="10"/>
  <c r="H246" i="10"/>
  <c r="E247" i="10"/>
  <c r="H247" i="10"/>
  <c r="E248" i="10"/>
  <c r="H248" i="10"/>
  <c r="E249" i="10"/>
  <c r="H249" i="10"/>
  <c r="E250" i="10"/>
  <c r="H250" i="10"/>
  <c r="E251" i="10"/>
  <c r="H251" i="10"/>
  <c r="H252" i="10"/>
  <c r="H265" i="10"/>
  <c r="H268" i="10"/>
  <c r="H271" i="10"/>
  <c r="H273" i="10"/>
  <c r="H276" i="10"/>
  <c r="H280" i="10"/>
  <c r="I294" i="10"/>
  <c r="I321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7" i="10"/>
  <c r="I318" i="10"/>
  <c r="I319" i="10"/>
  <c r="I320" i="10"/>
  <c r="G321" i="10"/>
  <c r="I325" i="10"/>
  <c r="I326" i="10"/>
  <c r="I332" i="10"/>
  <c r="I333" i="10"/>
  <c r="Z333" i="10"/>
  <c r="I334" i="10"/>
  <c r="Z334" i="10"/>
  <c r="I335" i="10"/>
  <c r="Z335" i="10"/>
  <c r="I336" i="10"/>
  <c r="Z336" i="10"/>
  <c r="I337" i="10"/>
  <c r="Z337" i="10"/>
  <c r="I338" i="10"/>
  <c r="Z338" i="10"/>
  <c r="I339" i="10"/>
  <c r="Z339" i="10"/>
  <c r="I340" i="10"/>
  <c r="Z340" i="10"/>
  <c r="I341" i="10"/>
  <c r="Z341" i="10"/>
  <c r="I342" i="10"/>
  <c r="Z342" i="10"/>
  <c r="I343" i="10"/>
  <c r="Z343" i="10"/>
  <c r="I344" i="10"/>
  <c r="Z344" i="10"/>
  <c r="I345" i="10"/>
  <c r="Z345" i="10"/>
  <c r="I346" i="10"/>
  <c r="Z346" i="10"/>
  <c r="I347" i="10"/>
  <c r="Z347" i="10"/>
  <c r="I348" i="10"/>
  <c r="Z348" i="10"/>
  <c r="I349" i="10"/>
  <c r="Z349" i="10"/>
  <c r="I350" i="10"/>
  <c r="Z350" i="10"/>
  <c r="I351" i="10"/>
  <c r="Z351" i="10"/>
  <c r="I352" i="10"/>
  <c r="Z352" i="10"/>
  <c r="I353" i="10"/>
  <c r="Z353" i="10"/>
  <c r="I354" i="10"/>
  <c r="Z354" i="10"/>
  <c r="I355" i="10"/>
  <c r="Z355" i="10"/>
  <c r="I356" i="10"/>
  <c r="Z356" i="10"/>
  <c r="I358" i="10"/>
  <c r="Y359" i="10"/>
  <c r="AA359" i="10"/>
  <c r="AB359" i="10"/>
  <c r="I362" i="10"/>
  <c r="I363" i="10"/>
  <c r="I364" i="10"/>
  <c r="I365" i="10"/>
  <c r="I366" i="10"/>
  <c r="I367" i="10"/>
  <c r="I368" i="10"/>
  <c r="I369" i="10"/>
  <c r="I370" i="10"/>
  <c r="I371" i="10"/>
  <c r="Y372" i="10"/>
  <c r="Z372" i="10"/>
  <c r="AA372" i="10"/>
  <c r="AB372" i="10"/>
  <c r="I375" i="10"/>
  <c r="Z375" i="10"/>
  <c r="Z382" i="10"/>
  <c r="G375" i="10"/>
  <c r="G376" i="10"/>
  <c r="I376" i="10"/>
  <c r="Z376" i="10"/>
  <c r="I377" i="10"/>
  <c r="I378" i="10"/>
  <c r="I379" i="10"/>
  <c r="I380" i="10"/>
  <c r="I381" i="10"/>
  <c r="Y382" i="10"/>
  <c r="AA382" i="10"/>
  <c r="AB382" i="10"/>
  <c r="Y385" i="10"/>
  <c r="Z385" i="10"/>
  <c r="AA385" i="10"/>
  <c r="AB385" i="10"/>
  <c r="Y387" i="10"/>
  <c r="Z387" i="10"/>
  <c r="AA387" i="10"/>
  <c r="AB387" i="10"/>
  <c r="Y389" i="10"/>
  <c r="Z389" i="10"/>
  <c r="AA389" i="10"/>
  <c r="AB389" i="10"/>
  <c r="Y391" i="10"/>
  <c r="Z391" i="10"/>
  <c r="AA391" i="10"/>
  <c r="AB391" i="10"/>
  <c r="Y393" i="10"/>
  <c r="Z393" i="10"/>
  <c r="AA393" i="10"/>
  <c r="AB393" i="10"/>
  <c r="Y395" i="10"/>
  <c r="Z395" i="10"/>
  <c r="AA395" i="10"/>
  <c r="AB395" i="10"/>
  <c r="Y397" i="10"/>
  <c r="Z397" i="10"/>
  <c r="AA397" i="10"/>
  <c r="AB397" i="10"/>
  <c r="G6" i="9"/>
  <c r="G7" i="9"/>
  <c r="G9" i="9"/>
  <c r="G33" i="9"/>
  <c r="G42" i="9"/>
  <c r="G59" i="9"/>
  <c r="G66" i="9"/>
  <c r="J13" i="6"/>
  <c r="E6" i="4"/>
  <c r="E7" i="4"/>
  <c r="E8" i="4"/>
  <c r="E9" i="4"/>
  <c r="E10" i="4"/>
  <c r="E11" i="4"/>
  <c r="E14" i="4"/>
  <c r="E15" i="4"/>
  <c r="E16" i="4"/>
  <c r="E17" i="4"/>
  <c r="E18" i="4"/>
  <c r="E19" i="4"/>
  <c r="G56" i="4"/>
  <c r="G57" i="4" s="1"/>
  <c r="I56" i="4"/>
  <c r="I57" i="4" s="1"/>
  <c r="J56" i="4"/>
  <c r="J57" i="4" s="1"/>
  <c r="K56" i="4"/>
  <c r="K57" i="4" s="1"/>
  <c r="F93" i="4"/>
  <c r="F94" i="4" s="1"/>
  <c r="AK57" i="2" s="1"/>
  <c r="AK58" i="2" s="1"/>
  <c r="AK59" i="2" s="1"/>
  <c r="AK60" i="2" s="1"/>
  <c r="AK61" i="2" s="1"/>
  <c r="AK62" i="2" s="1"/>
  <c r="AK63" i="2" s="1"/>
  <c r="G93" i="4"/>
  <c r="G94" i="4" s="1"/>
  <c r="H93" i="4"/>
  <c r="H94" i="4" s="1"/>
  <c r="I93" i="4"/>
  <c r="I94" i="4" s="1"/>
  <c r="J93" i="4"/>
  <c r="J94" i="4" s="1"/>
  <c r="K93" i="4"/>
  <c r="K94" i="4" s="1"/>
  <c r="W55" i="1"/>
  <c r="Y70" i="1"/>
  <c r="Z62" i="1"/>
  <c r="H63" i="1"/>
  <c r="H64" i="1"/>
  <c r="H66" i="1"/>
  <c r="H67" i="1"/>
  <c r="H68" i="1"/>
  <c r="H69" i="1"/>
  <c r="X70" i="1"/>
  <c r="AA70" i="1"/>
  <c r="H82" i="1"/>
  <c r="Y83" i="1"/>
  <c r="Z83" i="1"/>
  <c r="H88" i="1"/>
  <c r="X89" i="1"/>
  <c r="Z89" i="1"/>
  <c r="AA89" i="1"/>
  <c r="H92" i="1"/>
  <c r="H93" i="1"/>
  <c r="H94" i="1"/>
  <c r="H95" i="1"/>
  <c r="X96" i="1"/>
  <c r="Y96" i="1"/>
  <c r="Z96" i="1"/>
  <c r="AA96" i="1"/>
  <c r="H100" i="1"/>
  <c r="X101" i="1"/>
  <c r="Z101" i="1"/>
  <c r="AA101" i="1"/>
  <c r="X104" i="1"/>
  <c r="X106" i="1" s="1"/>
  <c r="X108" i="1" s="1"/>
  <c r="Y104" i="1"/>
  <c r="Y106" i="1" s="1"/>
  <c r="Y108" i="1" s="1"/>
  <c r="Z104" i="1"/>
  <c r="Z106" i="1" s="1"/>
  <c r="Z108" i="1" s="1"/>
  <c r="AA104" i="1"/>
  <c r="AA106" i="1" s="1"/>
  <c r="AA108" i="1" s="1"/>
  <c r="X110" i="1"/>
  <c r="X116" i="1" s="1"/>
  <c r="Y110" i="1"/>
  <c r="Z110" i="1"/>
  <c r="AA110" i="1"/>
  <c r="X112" i="1"/>
  <c r="Y112" i="1"/>
  <c r="Z112" i="1"/>
  <c r="AA112" i="1"/>
  <c r="X114" i="1"/>
  <c r="Y114" i="1"/>
  <c r="Z114" i="1"/>
  <c r="AA114" i="1"/>
  <c r="W56" i="1"/>
  <c r="H262" i="10"/>
  <c r="H281" i="10"/>
  <c r="L245" i="10"/>
  <c r="N245" i="10"/>
  <c r="L246" i="10"/>
  <c r="N246" i="10"/>
  <c r="L247" i="10"/>
  <c r="N247" i="10"/>
  <c r="L244" i="10"/>
  <c r="N244" i="10"/>
  <c r="L243" i="10"/>
  <c r="N243" i="10"/>
  <c r="H56" i="4"/>
  <c r="H57" i="4" s="1"/>
  <c r="I372" i="10"/>
  <c r="Z332" i="10"/>
  <c r="Z359" i="10"/>
  <c r="I359" i="10"/>
  <c r="J140" i="10"/>
  <c r="I143" i="10"/>
  <c r="J143" i="10"/>
  <c r="J136" i="10"/>
  <c r="I139" i="10"/>
  <c r="N58" i="10"/>
  <c r="N57" i="10"/>
  <c r="N56" i="10"/>
  <c r="G8" i="9"/>
  <c r="I146" i="10"/>
  <c r="J146" i="10"/>
  <c r="J138" i="10"/>
  <c r="I141" i="10"/>
  <c r="M121" i="10"/>
  <c r="O121" i="10"/>
  <c r="AD33" i="10"/>
  <c r="AG33" i="10"/>
  <c r="X33" i="10"/>
  <c r="AC33" i="10"/>
  <c r="X31" i="10"/>
  <c r="AC31" i="10"/>
  <c r="AD31" i="10"/>
  <c r="AG31" i="10"/>
  <c r="I382" i="10"/>
  <c r="G90" i="10"/>
  <c r="G91" i="10"/>
  <c r="N55" i="10"/>
  <c r="M122" i="10"/>
  <c r="O122" i="10"/>
  <c r="I90" i="10"/>
  <c r="I91" i="10"/>
  <c r="N59" i="10"/>
  <c r="G57" i="10"/>
  <c r="G56" i="10"/>
  <c r="G55" i="10"/>
  <c r="G59" i="10"/>
  <c r="U53" i="10"/>
  <c r="AD32" i="10"/>
  <c r="AG32" i="10"/>
  <c r="X32" i="10"/>
  <c r="AC32" i="10"/>
  <c r="AN32" i="10"/>
  <c r="J139" i="10"/>
  <c r="I142" i="10"/>
  <c r="AN30" i="10"/>
  <c r="AN31" i="10"/>
  <c r="U55" i="10"/>
  <c r="U59" i="10"/>
  <c r="U58" i="10"/>
  <c r="U57" i="10"/>
  <c r="U56" i="10"/>
  <c r="AN33" i="10"/>
  <c r="G61" i="10"/>
  <c r="G62" i="10"/>
  <c r="G63" i="10"/>
  <c r="N61" i="10"/>
  <c r="N62" i="10"/>
  <c r="N63" i="10"/>
  <c r="J141" i="10"/>
  <c r="I144" i="10"/>
  <c r="J144" i="10"/>
  <c r="U61" i="10"/>
  <c r="U62" i="10"/>
  <c r="U63" i="10"/>
  <c r="J142" i="10"/>
  <c r="I145" i="10"/>
  <c r="J145" i="10"/>
  <c r="J132" i="10"/>
  <c r="V123" i="10"/>
  <c r="W123" i="10"/>
  <c r="I327" i="10"/>
  <c r="I328" i="10"/>
  <c r="AA83" i="1"/>
  <c r="I324" i="10"/>
  <c r="I329" i="10"/>
  <c r="I387" i="10"/>
  <c r="I397" i="10"/>
  <c r="H81" i="1"/>
  <c r="G75" i="1"/>
  <c r="G76" i="1"/>
  <c r="G77" i="1" s="1"/>
  <c r="G78" i="1" s="1"/>
  <c r="G79" i="1" s="1"/>
  <c r="G80" i="1" s="1"/>
  <c r="N7" i="5"/>
  <c r="D74" i="1" s="1"/>
  <c r="M17" i="3"/>
  <c r="M21" i="3"/>
  <c r="M18" i="3"/>
  <c r="M20" i="3"/>
  <c r="M19" i="3"/>
  <c r="F20" i="3"/>
  <c r="F17" i="3"/>
  <c r="F23" i="3"/>
  <c r="F24" i="3"/>
  <c r="F25" i="3"/>
  <c r="F19" i="3"/>
  <c r="F21" i="3"/>
  <c r="F18" i="3"/>
  <c r="T17" i="3"/>
  <c r="T20" i="3"/>
  <c r="T18" i="3"/>
  <c r="T21" i="3"/>
  <c r="H58" i="2"/>
  <c r="H57" i="2"/>
  <c r="H60" i="2"/>
  <c r="H63" i="2"/>
  <c r="AC30" i="2"/>
  <c r="AF30" i="2"/>
  <c r="AM30" i="2"/>
  <c r="AO30" i="2"/>
  <c r="AN30" i="2"/>
  <c r="AO5" i="2"/>
  <c r="AN5" i="2"/>
  <c r="AC5" i="2"/>
  <c r="AF5" i="2"/>
  <c r="AM5" i="2"/>
  <c r="AC8" i="2"/>
  <c r="AO8" i="2"/>
  <c r="AN8" i="2"/>
  <c r="H61" i="2"/>
  <c r="H62" i="2"/>
  <c r="AC7" i="2"/>
  <c r="AO26" i="2"/>
  <c r="S6" i="2"/>
  <c r="AC6" i="2"/>
  <c r="S29" i="2"/>
  <c r="S7" i="2"/>
  <c r="S27" i="2"/>
  <c r="J59" i="2"/>
  <c r="AN28" i="2"/>
  <c r="T23" i="3"/>
  <c r="T24" i="3"/>
  <c r="T25" i="3"/>
  <c r="M23" i="3"/>
  <c r="M24" i="3"/>
  <c r="M25" i="3"/>
  <c r="AO7" i="2"/>
  <c r="AN7" i="2"/>
  <c r="AO29" i="2"/>
  <c r="AN29" i="2"/>
  <c r="AC29" i="2"/>
  <c r="AF29" i="2"/>
  <c r="AM29" i="2"/>
  <c r="AN6" i="2"/>
  <c r="AO6" i="2"/>
  <c r="AN27" i="2"/>
  <c r="AO27" i="2"/>
  <c r="AC27" i="2"/>
  <c r="AF27" i="2"/>
  <c r="AM27" i="2"/>
  <c r="AT57" i="2" l="1"/>
  <c r="R11" i="5"/>
  <c r="T10" i="5"/>
  <c r="T9" i="5"/>
  <c r="AB75" i="1"/>
  <c r="D16" i="7"/>
  <c r="C6" i="7" s="1"/>
  <c r="G6" i="6"/>
  <c r="I6" i="6" s="1"/>
  <c r="K6" i="6" s="1"/>
  <c r="D86" i="1" s="1"/>
  <c r="E86" i="1" s="1"/>
  <c r="H86" i="1" s="1"/>
  <c r="AA116" i="1"/>
  <c r="J123" i="1"/>
  <c r="Y116" i="1"/>
  <c r="Z116" i="1"/>
  <c r="L12" i="5"/>
  <c r="C45" i="9"/>
  <c r="D75" i="1"/>
  <c r="D76" i="1"/>
  <c r="C46" i="9"/>
  <c r="C44" i="9"/>
  <c r="I63" i="2"/>
  <c r="Q62" i="2"/>
  <c r="R62" i="2" s="1"/>
  <c r="AF62" i="2" s="1"/>
  <c r="AM62" i="2" s="1"/>
  <c r="Y101" i="1"/>
  <c r="AN62" i="2"/>
  <c r="F56" i="4"/>
  <c r="F57" i="4" s="1"/>
  <c r="G24" i="9"/>
  <c r="F79" i="1"/>
  <c r="F80" i="1" s="1"/>
  <c r="N10" i="5"/>
  <c r="Q9" i="5"/>
  <c r="AB76" i="1" s="1"/>
  <c r="V7" i="5"/>
  <c r="Q8" i="5"/>
  <c r="H101" i="1"/>
  <c r="B29" i="1" s="1"/>
  <c r="H96" i="1"/>
  <c r="B20" i="1" s="1"/>
  <c r="AO57" i="2"/>
  <c r="AN57" i="2"/>
  <c r="Q58" i="2"/>
  <c r="AO58" i="2"/>
  <c r="AN58" i="2"/>
  <c r="Q60" i="2"/>
  <c r="AO60" i="2"/>
  <c r="AN60" i="2"/>
  <c r="AO61" i="2"/>
  <c r="AN61" i="2"/>
  <c r="AO59" i="2"/>
  <c r="AN59" i="2"/>
  <c r="AO62" i="2"/>
  <c r="B41" i="1" l="1"/>
  <c r="R12" i="5"/>
  <c r="T11" i="5"/>
  <c r="D44" i="9"/>
  <c r="D45" i="9" s="1"/>
  <c r="D46" i="9" s="1"/>
  <c r="D47" i="9" s="1"/>
  <c r="E74" i="1"/>
  <c r="H74" i="1" s="1"/>
  <c r="H89" i="1"/>
  <c r="Y86" i="1"/>
  <c r="Y89" i="1" s="1"/>
  <c r="L11" i="5"/>
  <c r="N11" i="5" s="1"/>
  <c r="D78" i="1" s="1"/>
  <c r="C47" i="9"/>
  <c r="D77" i="1"/>
  <c r="AO63" i="2"/>
  <c r="AN63" i="2"/>
  <c r="Q63" i="2"/>
  <c r="R63" i="2" s="1"/>
  <c r="AF63" i="2" s="1"/>
  <c r="AM63" i="2" s="1"/>
  <c r="V8" i="5"/>
  <c r="E75" i="1" s="1"/>
  <c r="H75" i="1" s="1"/>
  <c r="V9" i="5"/>
  <c r="E76" i="1" s="1"/>
  <c r="H76" i="1" s="1"/>
  <c r="Q10" i="5"/>
  <c r="AB77" i="1" s="1"/>
  <c r="L13" i="5"/>
  <c r="N13" i="5" s="1"/>
  <c r="D80" i="1" s="1"/>
  <c r="N12" i="5"/>
  <c r="D79" i="1" s="1"/>
  <c r="R59" i="2"/>
  <c r="AF59" i="2" s="1"/>
  <c r="Q61" i="2"/>
  <c r="R61" i="2" s="1"/>
  <c r="AF61" i="2" s="1"/>
  <c r="AM61" i="2" s="1"/>
  <c r="Q57" i="2"/>
  <c r="R57" i="2" s="1"/>
  <c r="AM57" i="2" s="1"/>
  <c r="R60" i="2"/>
  <c r="AF60" i="2" s="1"/>
  <c r="AM60" i="2" s="1"/>
  <c r="R58" i="2"/>
  <c r="AF58" i="2" s="1"/>
  <c r="AM58" i="2" s="1"/>
  <c r="R13" i="5" l="1"/>
  <c r="T13" i="5" s="1"/>
  <c r="T12" i="5"/>
  <c r="G44" i="9"/>
  <c r="G45" i="9"/>
  <c r="G47" i="9"/>
  <c r="G46" i="9"/>
  <c r="D55" i="1"/>
  <c r="D56" i="1" s="1"/>
  <c r="D58" i="1" s="1"/>
  <c r="D59" i="1" s="1"/>
  <c r="D60" i="1" s="1"/>
  <c r="D61" i="1" s="1"/>
  <c r="AM59" i="2"/>
  <c r="D57" i="1" s="1"/>
  <c r="H57" i="1" s="1"/>
  <c r="V10" i="5"/>
  <c r="E77" i="1" s="1"/>
  <c r="H77" i="1" s="1"/>
  <c r="Q11" i="5"/>
  <c r="AB78" i="1" s="1"/>
  <c r="N14" i="5"/>
  <c r="G48" i="9" l="1"/>
  <c r="G67" i="9" s="1"/>
  <c r="K5" i="9" s="1"/>
  <c r="M5" i="9" s="1"/>
  <c r="M37" i="9" s="1"/>
  <c r="H61" i="1"/>
  <c r="AB61" i="1" s="1"/>
  <c r="H60" i="1"/>
  <c r="H56" i="1"/>
  <c r="Z56" i="1" s="1"/>
  <c r="Q13" i="5"/>
  <c r="AB80" i="1" s="1"/>
  <c r="Q12" i="5"/>
  <c r="AB79" i="1" s="1"/>
  <c r="V11" i="5"/>
  <c r="E78" i="1" s="1"/>
  <c r="H78" i="1" s="1"/>
  <c r="X78" i="1" s="1"/>
  <c r="H104" i="1" l="1"/>
  <c r="B34" i="1" s="1"/>
  <c r="Z61" i="1"/>
  <c r="AC47" i="1"/>
  <c r="H55" i="1"/>
  <c r="Z55" i="1" s="1"/>
  <c r="H58" i="1"/>
  <c r="H59" i="1"/>
  <c r="V12" i="5"/>
  <c r="E79" i="1" s="1"/>
  <c r="H79" i="1" s="1"/>
  <c r="V13" i="5"/>
  <c r="E80" i="1" s="1"/>
  <c r="H80" i="1" s="1"/>
  <c r="X80" i="1" s="1"/>
  <c r="X83" i="1" s="1"/>
  <c r="AB81" i="1"/>
  <c r="B23" i="1" s="1"/>
  <c r="H83" i="1" l="1"/>
  <c r="B17" i="1" s="1"/>
  <c r="AC48" i="1"/>
  <c r="AD48" i="1" s="1"/>
  <c r="AD47" i="1"/>
  <c r="AC49" i="1"/>
  <c r="AD49" i="1" s="1"/>
  <c r="Z70" i="1"/>
  <c r="H70" i="1"/>
  <c r="V14" i="5"/>
  <c r="B14" i="1" l="1"/>
  <c r="J70" i="1"/>
  <c r="B32" i="1"/>
  <c r="B37" i="1" s="1"/>
  <c r="J96" i="1" l="1"/>
  <c r="J89" i="1"/>
  <c r="J83" i="1"/>
  <c r="I106" i="1"/>
  <c r="I83" i="1"/>
  <c r="I70" i="1"/>
  <c r="I89" i="1"/>
  <c r="H114" i="1"/>
  <c r="I114" i="1" s="1"/>
  <c r="I104" i="1"/>
  <c r="C34" i="1" s="1"/>
  <c r="I96" i="1"/>
  <c r="I101" i="1"/>
  <c r="H112" i="1"/>
  <c r="I112" i="1" s="1"/>
  <c r="I108" i="1"/>
  <c r="C23" i="1"/>
  <c r="C26" i="1"/>
  <c r="B39" i="1"/>
  <c r="C17" i="1"/>
  <c r="C29" i="1"/>
  <c r="C14" i="1"/>
  <c r="C20" i="1"/>
  <c r="J122" i="1" l="1"/>
  <c r="H124" i="1"/>
  <c r="H110" i="1"/>
  <c r="C32" i="1"/>
  <c r="C37" i="1" s="1"/>
  <c r="H125" i="1" l="1"/>
  <c r="J124" i="1"/>
  <c r="J125" i="1" s="1"/>
  <c r="I110" i="1"/>
  <c r="I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tc={6E3502BF-2780-41D2-ACDE-B343BA49A21B}</author>
  </authors>
  <commentList>
    <comment ref="A41" authorId="0" shapeId="0" xr:uid="{6E3502BF-2780-41D2-ACDE-B343BA49A21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Última certificación ago-sep-23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Marani</author>
  </authors>
  <commentList>
    <comment ref="U2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INDICAR VALOR DE VIANDA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F1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Este es un estándar. Es variable según cada empresa</t>
        </r>
      </text>
    </comment>
    <comment ref="M1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Este es un estándar. Es variable según cada empresa</t>
        </r>
      </text>
    </comment>
    <comment ref="T1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Este es un estándar. Es variable según cada empresa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tc={96C1A568-2400-4B16-BD0B-68A72EECF606}</author>
  </authors>
  <commentList>
    <comment ref="F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30% del valor (en promedio)</t>
        </r>
      </text>
    </comment>
    <comment ref="G3" authorId="1" shapeId="0" xr:uid="{96C1A568-2400-4B16-BD0B-68A72EECF60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Los valores corresponden a rental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G5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Este es un estándar. Es variable según cada empresa</t>
        </r>
      </text>
    </comment>
    <comment ref="N51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Este es un estándar. Es variable según cada empresa</t>
        </r>
      </text>
    </comment>
    <comment ref="U51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Este es un estándar. Es variable según cada empresa</t>
        </r>
      </text>
    </comment>
    <comment ref="G119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30% del valor (en promedio)
</t>
        </r>
      </text>
    </comment>
  </commentList>
</comments>
</file>

<file path=xl/sharedStrings.xml><?xml version="1.0" encoding="utf-8"?>
<sst xmlns="http://schemas.openxmlformats.org/spreadsheetml/2006/main" count="1569" uniqueCount="776">
  <si>
    <t>Fecha Ingreso</t>
  </si>
  <si>
    <t>Años Antig.</t>
  </si>
  <si>
    <t>$ Cargas Sociales</t>
  </si>
  <si>
    <t>Nombre y Apellido</t>
  </si>
  <si>
    <t>Descripción</t>
  </si>
  <si>
    <t>Total</t>
  </si>
  <si>
    <t>Costo</t>
  </si>
  <si>
    <t>Gastos Médicos</t>
  </si>
  <si>
    <t>Cargas Sociales</t>
  </si>
  <si>
    <t>Contribución Seguridad Social</t>
  </si>
  <si>
    <t>Contribución  INSSJP</t>
  </si>
  <si>
    <t>Contribución FNE</t>
  </si>
  <si>
    <t>Contribución ANSES</t>
  </si>
  <si>
    <t>Contribución Obra Social</t>
  </si>
  <si>
    <t>Contribución ART</t>
  </si>
  <si>
    <t>Inasistencias</t>
  </si>
  <si>
    <t>Enfermedad</t>
  </si>
  <si>
    <t>Accidentes</t>
  </si>
  <si>
    <t>Desgravación IVA (Ley 25723)</t>
  </si>
  <si>
    <t>Consumo</t>
  </si>
  <si>
    <t>Combustible</t>
  </si>
  <si>
    <t>Neumáticos</t>
  </si>
  <si>
    <t>Año / Modelo</t>
  </si>
  <si>
    <t>Valor</t>
  </si>
  <si>
    <t>Periodo Amort.</t>
  </si>
  <si>
    <t>Valor Res.</t>
  </si>
  <si>
    <t>Amortiz. Mensual</t>
  </si>
  <si>
    <t>Patentes</t>
  </si>
  <si>
    <t>Seguros</t>
  </si>
  <si>
    <t>Precio Juego</t>
  </si>
  <si>
    <t>Periodo</t>
  </si>
  <si>
    <t>Amort. mensual</t>
  </si>
  <si>
    <t>Conceptos</t>
  </si>
  <si>
    <t>Monto amortiza-ble</t>
  </si>
  <si>
    <t>Valor Hora</t>
  </si>
  <si>
    <t>Unidad</t>
  </si>
  <si>
    <t>Total Mensual</t>
  </si>
  <si>
    <t>Subcontrataciones</t>
  </si>
  <si>
    <t>Incidencia %</t>
  </si>
  <si>
    <t>(Detalle)</t>
  </si>
  <si>
    <t>Costo Mensual</t>
  </si>
  <si>
    <t>Cantidad por año</t>
  </si>
  <si>
    <t>Imp. Unitario</t>
  </si>
  <si>
    <t>Subtotal Mano de Obra</t>
  </si>
  <si>
    <t>Vehículos</t>
  </si>
  <si>
    <t>Subtotal Maquinarias</t>
  </si>
  <si>
    <t>Subtotal Materiales</t>
  </si>
  <si>
    <t>Valor Unitario</t>
  </si>
  <si>
    <t>Cant. Unidades</t>
  </si>
  <si>
    <t>Hs</t>
  </si>
  <si>
    <t>Materiales Directos</t>
  </si>
  <si>
    <t>Costo Total</t>
  </si>
  <si>
    <t>Beneficios</t>
  </si>
  <si>
    <t>Gastos Generales</t>
  </si>
  <si>
    <t>Mano de Obra</t>
  </si>
  <si>
    <t>Capacitaciones</t>
  </si>
  <si>
    <t>Seguro de Vida (Valor fijo mensual)</t>
  </si>
  <si>
    <t>A.R.T. (Valor fijo mensual)</t>
  </si>
  <si>
    <t>Precio</t>
  </si>
  <si>
    <t>Costo unitario</t>
  </si>
  <si>
    <t>Disponib. Hs mensuales</t>
  </si>
  <si>
    <t>Proveedor</t>
  </si>
  <si>
    <t>Localidad</t>
  </si>
  <si>
    <t>Provisiones</t>
  </si>
  <si>
    <t>Cargas Sociales + Provisiones</t>
  </si>
  <si>
    <t>Instalaciones</t>
  </si>
  <si>
    <t>Gastos de Estructura</t>
  </si>
  <si>
    <t>Personal</t>
  </si>
  <si>
    <t>Subtotal</t>
  </si>
  <si>
    <t>Nombre / Modelo</t>
  </si>
  <si>
    <t xml:space="preserve">Año </t>
  </si>
  <si>
    <t>Hs x mes</t>
  </si>
  <si>
    <t>Lts / Km</t>
  </si>
  <si>
    <t>Duración (en Km)</t>
  </si>
  <si>
    <t>Costo por Km</t>
  </si>
  <si>
    <t>Precio por Lts</t>
  </si>
  <si>
    <t>Costo por Hora</t>
  </si>
  <si>
    <t>CONCEPTOS REMUNERATIVOS</t>
  </si>
  <si>
    <t>Km</t>
  </si>
  <si>
    <t>Mantenimiento y repuestos</t>
  </si>
  <si>
    <t>Vehículo</t>
  </si>
  <si>
    <t>$ Hs</t>
  </si>
  <si>
    <t>$ Km</t>
  </si>
  <si>
    <t>Cant. Km</t>
  </si>
  <si>
    <t>Costo x Km</t>
  </si>
  <si>
    <t>Mantenimien-to y Rep. (por Km)</t>
  </si>
  <si>
    <t>Aguinaldo</t>
  </si>
  <si>
    <t>Licencia</t>
  </si>
  <si>
    <t>Subtotal Cargas Sociales</t>
  </si>
  <si>
    <t>Subtotal Vehículos</t>
  </si>
  <si>
    <t>Ropa y EPP</t>
  </si>
  <si>
    <t>Otros GdP</t>
  </si>
  <si>
    <t>Amort. Mens.</t>
  </si>
  <si>
    <t>Muebles y Útiles</t>
  </si>
  <si>
    <t>Método de Asignación de Costos</t>
  </si>
  <si>
    <t>Costo mensual por tenencia / Alquiler</t>
  </si>
  <si>
    <t>Convenio</t>
  </si>
  <si>
    <t>Categoría según convenio</t>
  </si>
  <si>
    <t>CONC. NO REM</t>
  </si>
  <si>
    <t>VTV</t>
  </si>
  <si>
    <t>Mantenimiento, repuestos y consumibles</t>
  </si>
  <si>
    <t>Cantidad</t>
  </si>
  <si>
    <t>Porcentaje</t>
  </si>
  <si>
    <t>Producto</t>
  </si>
  <si>
    <t>Periodo Amort. (meses)</t>
  </si>
  <si>
    <t>Categoría</t>
  </si>
  <si>
    <t>MANTENIMIENTO, REPUESTOS y CONSUMIBLES</t>
  </si>
  <si>
    <t>Maquina / Equipo</t>
  </si>
  <si>
    <t>Concepto</t>
  </si>
  <si>
    <t>Unidad de medida</t>
  </si>
  <si>
    <t>Duración</t>
  </si>
  <si>
    <t>Costo por hora</t>
  </si>
  <si>
    <t>mes</t>
  </si>
  <si>
    <t>Costo Anual</t>
  </si>
  <si>
    <t>si</t>
  </si>
  <si>
    <t>Total Anual por Persona</t>
  </si>
  <si>
    <t>Costo por Hora por Persona</t>
  </si>
  <si>
    <t>Ropa de Trabajo y Elementos de Protección Personal</t>
  </si>
  <si>
    <t>Otros Costos Directos</t>
  </si>
  <si>
    <t>Hs disponibles por mes</t>
  </si>
  <si>
    <t>Costo por Hora Disponible</t>
  </si>
  <si>
    <t>Costo por Hora Utilización Efectiva</t>
  </si>
  <si>
    <t>Disp</t>
  </si>
  <si>
    <t>Utiliz</t>
  </si>
  <si>
    <t>Cant</t>
  </si>
  <si>
    <t>Adicionales Mano de Obra</t>
  </si>
  <si>
    <t>Valor Hs Extra 50%</t>
  </si>
  <si>
    <t>Valor Hs Extra 100%</t>
  </si>
  <si>
    <t>Hs Extra 50%</t>
  </si>
  <si>
    <t>Hs Extra 100%</t>
  </si>
  <si>
    <t>Contribución Policia de Trabajo</t>
  </si>
  <si>
    <t>Total Remunerativo</t>
  </si>
  <si>
    <t>Total Remun.</t>
  </si>
  <si>
    <t>Provisión por despido</t>
  </si>
  <si>
    <t>Total No Remun.</t>
  </si>
  <si>
    <t>Valor Hs Noct. 50%</t>
  </si>
  <si>
    <t>Valor Hs Noct. 100%</t>
  </si>
  <si>
    <t>Hs Insalubres</t>
  </si>
  <si>
    <t>Hs Nocturnas</t>
  </si>
  <si>
    <t>Horas Nocturnas</t>
  </si>
  <si>
    <t>Horas Diurnas</t>
  </si>
  <si>
    <t>Valor Hora Nocturna</t>
  </si>
  <si>
    <t>Valor Hora Diurna</t>
  </si>
  <si>
    <t>Valor Hs Insalubre</t>
  </si>
  <si>
    <t xml:space="preserve">Sueldo Básico       </t>
  </si>
  <si>
    <t>hora</t>
  </si>
  <si>
    <t>Subtotal Otros Costos Directos</t>
  </si>
  <si>
    <t>Otros costos mensuales</t>
  </si>
  <si>
    <t>Horas disponibles al mes</t>
  </si>
  <si>
    <t>Fuera de Convenio</t>
  </si>
  <si>
    <t>% a Aplicar</t>
  </si>
  <si>
    <t>UOCRA</t>
  </si>
  <si>
    <t>Parabrisas</t>
  </si>
  <si>
    <t>no</t>
  </si>
  <si>
    <t>Petroleros</t>
  </si>
  <si>
    <t>Contribución FASP</t>
  </si>
  <si>
    <t>Adicic Yac</t>
  </si>
  <si>
    <t>Adic Paz Social</t>
  </si>
  <si>
    <t>Máquinas y herramientas</t>
  </si>
  <si>
    <t>Adicional Turno</t>
  </si>
  <si>
    <t>Bonif. por Antigüedad</t>
  </si>
  <si>
    <t xml:space="preserve">Costo Mensual </t>
  </si>
  <si>
    <t>Gastos Mensuales por persona</t>
  </si>
  <si>
    <t>V3</t>
  </si>
  <si>
    <t>Contador</t>
  </si>
  <si>
    <t>Otros</t>
  </si>
  <si>
    <t>Fondo de desempleo</t>
  </si>
  <si>
    <t>Cant.</t>
  </si>
  <si>
    <t>Otros Costos mensuales</t>
  </si>
  <si>
    <t>Cat. Ropa y EPP</t>
  </si>
  <si>
    <t>Cat. Otros GdP</t>
  </si>
  <si>
    <t>Op</t>
  </si>
  <si>
    <t>Adm</t>
  </si>
  <si>
    <t>Sup</t>
  </si>
  <si>
    <t>Seguros del personal</t>
  </si>
  <si>
    <t>Manejo defensivo</t>
  </si>
  <si>
    <t>Adicional 
Zona</t>
  </si>
  <si>
    <t>CAC cct 545/08</t>
  </si>
  <si>
    <t>Ayuda Alim.Art 42</t>
  </si>
  <si>
    <t>Viandas Art 41</t>
  </si>
  <si>
    <t>Horas de Viaje Art 44</t>
  </si>
  <si>
    <t xml:space="preserve">Básico       </t>
  </si>
  <si>
    <t>Zona</t>
  </si>
  <si>
    <t>Asistencia</t>
  </si>
  <si>
    <t>Adic. Art.38</t>
  </si>
  <si>
    <t>Kg</t>
  </si>
  <si>
    <t>$ Disp</t>
  </si>
  <si>
    <t>$ Utiliz</t>
  </si>
  <si>
    <t>Monto a asignar al item</t>
  </si>
  <si>
    <t>Cantidad promedio</t>
  </si>
  <si>
    <t>Participación del Gasto de Estructura</t>
  </si>
  <si>
    <t>Contribución Sindical</t>
  </si>
  <si>
    <t>L-B</t>
  </si>
  <si>
    <t>Viandas CANTIDAD</t>
  </si>
  <si>
    <t>Viandas IMPORTE</t>
  </si>
  <si>
    <t>Ayuda Alimentaria IMPORTE</t>
  </si>
  <si>
    <t>Ayuda Alimentaria CANTIDAD</t>
  </si>
  <si>
    <t>Horas 
de 
Viaje</t>
  </si>
  <si>
    <t>Presentismo</t>
  </si>
  <si>
    <t>Disponibilidad</t>
  </si>
  <si>
    <t>J-B</t>
  </si>
  <si>
    <t>Hijo Discapacidad</t>
  </si>
  <si>
    <t>G-B</t>
  </si>
  <si>
    <t>CAÑISTAS</t>
  </si>
  <si>
    <t>RETROEXCAVADORA</t>
  </si>
  <si>
    <t>LABORATORISTAS</t>
  </si>
  <si>
    <t>C-A</t>
  </si>
  <si>
    <t>L-A</t>
  </si>
  <si>
    <t>BARROS, Jorge Daniel</t>
  </si>
  <si>
    <t>CÁRCAMO, Rodrigo</t>
  </si>
  <si>
    <t>CRUZ, Fernando</t>
  </si>
  <si>
    <t>LAMAS, Ramón Jacinto</t>
  </si>
  <si>
    <t>MERCADO, Dardo Roque</t>
  </si>
  <si>
    <t>MOSQUEDA, Andrés Eduardo</t>
  </si>
  <si>
    <t>QUIROGA, Jorge Américo</t>
  </si>
  <si>
    <t>SOPORTES DE PRODUCCIÓN</t>
  </si>
  <si>
    <t>OPERADORES DE PRODUCCIÓN</t>
  </si>
  <si>
    <t>H-B</t>
  </si>
  <si>
    <t>OTROS SUELDOS DIRECTOS</t>
  </si>
  <si>
    <t>AGUILAR, José Armando</t>
  </si>
  <si>
    <t>CURÍN, Franco</t>
  </si>
  <si>
    <t>BARRÍA, Sergio Edgardo</t>
  </si>
  <si>
    <t>FERNANDEZ, Gabino</t>
  </si>
  <si>
    <t>GERÓNIMO, César</t>
  </si>
  <si>
    <t>GONZÁLEZ, Sergio Ariel</t>
  </si>
  <si>
    <t>PAEZ, Angel Andrés</t>
  </si>
  <si>
    <t>ROSSI, Juan Antonio</t>
  </si>
  <si>
    <t>FONSECA, Pablo Benigno</t>
  </si>
  <si>
    <t>LLEMALDIN, Carlos</t>
  </si>
  <si>
    <t>H-A</t>
  </si>
  <si>
    <t>Horas Extras Asignadas</t>
  </si>
  <si>
    <t>ARAUJO Carlos</t>
  </si>
  <si>
    <t>CARCAMO FIGUEROA, Pedro</t>
  </si>
  <si>
    <t>PORTILLO, Julieta</t>
  </si>
  <si>
    <t>TROSSERO Andrés</t>
  </si>
  <si>
    <t>Jerárquico</t>
  </si>
  <si>
    <t>Supervisor</t>
  </si>
  <si>
    <t>Seguridad Industrial</t>
  </si>
  <si>
    <t>Representante Técnico</t>
  </si>
  <si>
    <t>Plus Adecuación Salarial</t>
  </si>
  <si>
    <t>Incremento Compensad.</t>
  </si>
  <si>
    <t>Guardias Pasivas</t>
  </si>
  <si>
    <t>Gratificación</t>
  </si>
  <si>
    <t>HIDROGRÚA 7 Tn/metro</t>
  </si>
  <si>
    <t>MOTOSOLDADORA DE 300 AMP</t>
  </si>
  <si>
    <t>Amoladora de 4" Metabo 750 W</t>
  </si>
  <si>
    <t>SERVICIO DE TRANSPORTE DE PERSONAL</t>
  </si>
  <si>
    <t>ETAP</t>
  </si>
  <si>
    <t>Com. Riv.</t>
  </si>
  <si>
    <t>SERVICIO DE AGUA AL PERSONAL</t>
  </si>
  <si>
    <t>VIAJE/PERS</t>
  </si>
  <si>
    <t>UNIDAD/PERS</t>
  </si>
  <si>
    <t>MAMELUCO TERMICO</t>
  </si>
  <si>
    <t>MAMELUCO COMUN</t>
  </si>
  <si>
    <t>BORCEGUI C/PUNTERA</t>
  </si>
  <si>
    <t>CAMPERAS</t>
  </si>
  <si>
    <t>CAMISA DE JEAN</t>
  </si>
  <si>
    <t>PANTALON DE JEAN</t>
  </si>
  <si>
    <t>RESPIRADOR 8720 3M</t>
  </si>
  <si>
    <t>LENTE SEG.</t>
  </si>
  <si>
    <t>GUANTE DESCARNE</t>
  </si>
  <si>
    <t>GUANTE MATEADO</t>
  </si>
  <si>
    <t>GUANTE VAC 1/2 PASEO FORR.</t>
  </si>
  <si>
    <t>FAJA LUMBAR</t>
  </si>
  <si>
    <t>CASCO</t>
  </si>
  <si>
    <t>PROT AUD.</t>
  </si>
  <si>
    <t>Par</t>
  </si>
  <si>
    <t>Disco de corte</t>
  </si>
  <si>
    <t>Oxigeno</t>
  </si>
  <si>
    <t>Acetileno</t>
  </si>
  <si>
    <t>Electrodos 6010 3 mm</t>
  </si>
  <si>
    <t>Electrodos 6010 4 mm</t>
  </si>
  <si>
    <t>Electrodos 7015 3 mm</t>
  </si>
  <si>
    <t>Electrodos 7015 4 mm</t>
  </si>
  <si>
    <t>kg</t>
  </si>
  <si>
    <t>Otros ( estopas, trapos, etc )</t>
  </si>
  <si>
    <t>Batería</t>
  </si>
  <si>
    <t>Amortiguadores</t>
  </si>
  <si>
    <t>Embrague</t>
  </si>
  <si>
    <t>Crapodina</t>
  </si>
  <si>
    <t>Refrigerante</t>
  </si>
  <si>
    <t>Liquido Hidráulico</t>
  </si>
  <si>
    <t>Filtro Hidráulico</t>
  </si>
  <si>
    <t>Correas</t>
  </si>
  <si>
    <t>Junta Tapa Válvulas</t>
  </si>
  <si>
    <t>Retenes de Maza</t>
  </si>
  <si>
    <t>Grasa de maza</t>
  </si>
  <si>
    <t>Mano de obra filtros - válvulas - retenes</t>
  </si>
  <si>
    <t>Mant. mecánico (amort- frenos-embrague)</t>
  </si>
  <si>
    <t>Alicate</t>
  </si>
  <si>
    <t>OPERADORES DE PLANTA KK</t>
  </si>
  <si>
    <t>OPERADORES DE PLANTA PC</t>
  </si>
  <si>
    <t>OPERADORES DE PRODUCCION</t>
  </si>
  <si>
    <t>OPERADORES DE PLANTA</t>
  </si>
  <si>
    <t>ANAFER</t>
  </si>
  <si>
    <t>SOLDADORES</t>
  </si>
  <si>
    <t>TACÓGRAFO</t>
  </si>
  <si>
    <t>HANDY</t>
  </si>
  <si>
    <t>PICK UP</t>
  </si>
  <si>
    <t>Juego-Llaves combinadas boca/anillo, de ¼” a 1”</t>
  </si>
  <si>
    <t>Juego-Llaves combinadas boca/anillo de 7 a 25mm</t>
  </si>
  <si>
    <t>Llave pinza presión mediana</t>
  </si>
  <si>
    <t>Lima mediana media/plana</t>
  </si>
  <si>
    <t>Lima redonda</t>
  </si>
  <si>
    <t>Llaves hexagonales (Allen)</t>
  </si>
  <si>
    <t>Espátula metálica mediana</t>
  </si>
  <si>
    <t>Pinza pico de loro mediana</t>
  </si>
  <si>
    <t>Pinza universal</t>
  </si>
  <si>
    <t>Tijera Multiuso</t>
  </si>
  <si>
    <t>Llave “Francesa” mediana 8</t>
  </si>
  <si>
    <t>Llave “Stillson” 18”</t>
  </si>
  <si>
    <t>Cinta métrica de 3 m de longitud</t>
  </si>
  <si>
    <t>Cepillo de acero</t>
  </si>
  <si>
    <t>Destornillador plano (chico)</t>
  </si>
  <si>
    <t>Destornillador plano (mediano)</t>
  </si>
  <si>
    <t>Destornillador plano (grande)</t>
  </si>
  <si>
    <t>Destorn. “Phillips” (chico)</t>
  </si>
  <si>
    <t>Destorn. “Phillips” (mediano)</t>
  </si>
  <si>
    <t>Destorn. “Phillips” (grande)</t>
  </si>
  <si>
    <t>Martillo bolita chico</t>
  </si>
  <si>
    <t>“Cuter” con cinco hojas de repuesto</t>
  </si>
  <si>
    <t>Caja metálica p/herramientas</t>
  </si>
  <si>
    <t>Candado p/caja metálica con cuatro (4) llaves</t>
  </si>
  <si>
    <t>ESCALAS SALARIALES</t>
  </si>
  <si>
    <t>A-A</t>
  </si>
  <si>
    <t>A-B</t>
  </si>
  <si>
    <t>B-A</t>
  </si>
  <si>
    <t>B-B</t>
  </si>
  <si>
    <t>C-B</t>
  </si>
  <si>
    <t>D-A</t>
  </si>
  <si>
    <t>D-B</t>
  </si>
  <si>
    <t>E-A</t>
  </si>
  <si>
    <t>E-B</t>
  </si>
  <si>
    <t>F-A</t>
  </si>
  <si>
    <t>F-B</t>
  </si>
  <si>
    <t>G-A</t>
  </si>
  <si>
    <t>I-A</t>
  </si>
  <si>
    <t>I-B</t>
  </si>
  <si>
    <t>J-A</t>
  </si>
  <si>
    <t>K-A</t>
  </si>
  <si>
    <t>K-B</t>
  </si>
  <si>
    <t>ANTIGÜEDAD</t>
  </si>
  <si>
    <t>HORAS DE VIAJE</t>
  </si>
  <si>
    <t>Paz Social</t>
  </si>
  <si>
    <t>Reconocimiento Empresa</t>
  </si>
  <si>
    <t>VIANDAS</t>
  </si>
  <si>
    <t>Hijo Discapacitado</t>
  </si>
  <si>
    <t>MANO DE OBRA</t>
  </si>
  <si>
    <t>COMBUSTIBLE</t>
  </si>
  <si>
    <t xml:space="preserve">                   DESCOMPOSICIÓN DE  LA TARIFA</t>
  </si>
  <si>
    <t>SIPM Maq. &amp; Eq.</t>
  </si>
  <si>
    <t>SIPM Nivel Gral.</t>
  </si>
  <si>
    <t>VARIACIÓN SIPM (Maq. &amp; Eq.)</t>
  </si>
  <si>
    <t>Incremento de 23 % en remuneraciones</t>
  </si>
  <si>
    <t>Tasa Municipal (Activ. Diversas)</t>
  </si>
  <si>
    <t>GRUPO DE ARTICULOS</t>
  </si>
  <si>
    <t>CODIGO DE SERVICIO</t>
  </si>
  <si>
    <t>CONTRATISTA</t>
  </si>
  <si>
    <t>COEF de PASE</t>
  </si>
  <si>
    <t xml:space="preserve">Precio de Venta </t>
  </si>
  <si>
    <t xml:space="preserve">CONTRATO </t>
  </si>
  <si>
    <t xml:space="preserve">SERVICIO </t>
  </si>
  <si>
    <t xml:space="preserve">OTROS </t>
  </si>
  <si>
    <t>(resto de los conceptos)</t>
  </si>
  <si>
    <t xml:space="preserve">PRECIO DEL SERVICIO </t>
  </si>
  <si>
    <t xml:space="preserve">MANO DE OBRA (directa) </t>
  </si>
  <si>
    <t>EQUIPOS y HERRAMIENTAS</t>
  </si>
  <si>
    <t>(Conceptos liquidados en recibo de sueldo, Capacitaciones, EPP, Seguros , ART,)</t>
  </si>
  <si>
    <t>(Equipos Herramintas afectados al servicio)</t>
  </si>
  <si>
    <t>(Combustible de los equipos afectados al servicio )</t>
  </si>
  <si>
    <t xml:space="preserve">Transporte de personal </t>
  </si>
  <si>
    <t>(Transporte para trasladar el personal al yacimiento)</t>
  </si>
  <si>
    <t>TOTAL COSTO INDIRECTO</t>
  </si>
  <si>
    <t>TOTAL COSTO</t>
  </si>
  <si>
    <t>MATERIALES</t>
  </si>
  <si>
    <t>(Materiales afectados al servicio)</t>
  </si>
  <si>
    <t>TOTAL COSTO DIRECTO</t>
  </si>
  <si>
    <t>(Incluye GE)</t>
  </si>
  <si>
    <t>Ingresos Brutos</t>
  </si>
  <si>
    <t>Impuesto Cheque (Ley 25.413)</t>
  </si>
  <si>
    <t>CS</t>
  </si>
  <si>
    <t>GdP</t>
  </si>
  <si>
    <t>MO</t>
  </si>
  <si>
    <t>CARGAS SOCIALES</t>
  </si>
  <si>
    <t>GASTOS de PERSONAL</t>
  </si>
  <si>
    <t>Veh</t>
  </si>
  <si>
    <t>Vehiculos y Equipos</t>
  </si>
  <si>
    <t>Maq</t>
  </si>
  <si>
    <t>Maquinas y Herramientas</t>
  </si>
  <si>
    <t>Ropa de Trabajo y Elementos de Protección Personal (Descripcion cantidad, Unidad, Imp Unitario de) e indicar a que recurso corresponde aplicar</t>
  </si>
  <si>
    <t>Gastos Mensuales por persona ( Descripcionm Costo mensual, Costo Anual)  e indicar a que recurso corresponde aplicar</t>
  </si>
  <si>
    <t>Mat</t>
  </si>
  <si>
    <t xml:space="preserve">Materiales: </t>
  </si>
  <si>
    <t>Nota Aplicable a todas las solapas:</t>
  </si>
  <si>
    <t>Otros: en esta Solapa se debe incluir el Transporte de Personal</t>
  </si>
  <si>
    <t>GE</t>
  </si>
  <si>
    <t>GASTOS de ESTRUCTURA</t>
  </si>
  <si>
    <t>Asignacion de Costos: los porcentajes aplican según participacion en PAE.</t>
  </si>
  <si>
    <t xml:space="preserve"> </t>
  </si>
  <si>
    <t>RESUMEN</t>
  </si>
  <si>
    <t>RESUMEN:  compila todo la apertura de costos y muestra el precio final del servicio</t>
  </si>
  <si>
    <t>se divide en los campos completadosde cada Solapa: (MO; CS;GdeP; Veh; Maq; Mat;Otros;GE)</t>
  </si>
  <si>
    <t>para comenzar a completar el resumen se deben seleccionar las decripciones de cada solapa, y luego indicar las Cant Unidades , luego se determina Costo de cada componente.</t>
  </si>
  <si>
    <t>APERTURA DE COSTOS ESTANDAR DE PAN AMERICAN ENERGY LLC</t>
  </si>
  <si>
    <t>IMPORTANTE</t>
  </si>
  <si>
    <t>Se deben completar las celdas de color BLANCO</t>
  </si>
  <si>
    <r>
      <t>No</t>
    </r>
    <r>
      <rPr>
        <sz val="12"/>
        <rFont val="Arial"/>
        <family val="2"/>
      </rPr>
      <t xml:space="preserve"> modificar las celdas de color GRIS</t>
    </r>
  </si>
  <si>
    <t>COMPLETAR</t>
  </si>
  <si>
    <t>NO COMPLETAR</t>
  </si>
  <si>
    <t>PRIMER PASO</t>
  </si>
  <si>
    <t>Se deben completar las solapas según se indica (MO; CS;GdeP; Veh; Maq; Mat;Otros;GE).</t>
  </si>
  <si>
    <t>SEGUNDO PASO</t>
  </si>
  <si>
    <t>Completar la solapa RESUMEN</t>
  </si>
  <si>
    <t>COMPLETAR SOLAPAS (MO; CS;GdeP; Veh; Maq; Mat;Otros;GE)</t>
  </si>
  <si>
    <t>INSTRUCTIVO DE CARGA</t>
  </si>
  <si>
    <t>Se debe incluir la nomina de personal DIRECTO al servicio , ecuadrada según corresponda a cada CCT</t>
  </si>
  <si>
    <t xml:space="preserve">Se debe completar: </t>
  </si>
  <si>
    <t>Se debe completar los % que corresponden según encuadre gremial  ( JCOS; UOCRA, PETROLEROS, Etc….)</t>
  </si>
  <si>
    <r>
      <t xml:space="preserve">Vehiculos : un vez indicado el el Nombre / Modelo, se deben completar todos los </t>
    </r>
    <r>
      <rPr>
        <u/>
        <sz val="10"/>
        <color indexed="12"/>
        <rFont val="Arial"/>
        <family val="2"/>
      </rPr>
      <t>campos en blanco</t>
    </r>
    <r>
      <rPr>
        <sz val="10"/>
        <color indexed="12"/>
        <rFont val="Arial"/>
        <family val="2"/>
      </rPr>
      <t xml:space="preserve"> indicados en la cabecera</t>
    </r>
  </si>
  <si>
    <r>
      <t xml:space="preserve">Mantenimineto / Repuestos: del vehiculo /Equipo indicado corresponde el detalle de conceptos; se deben completar todos los </t>
    </r>
    <r>
      <rPr>
        <u/>
        <sz val="10"/>
        <color indexed="12"/>
        <rFont val="Arial"/>
        <family val="2"/>
      </rPr>
      <t>campos en blanco</t>
    </r>
    <r>
      <rPr>
        <sz val="10"/>
        <color indexed="12"/>
        <rFont val="Arial"/>
        <family val="2"/>
      </rPr>
      <t xml:space="preserve"> indicados en la cabecera</t>
    </r>
  </si>
  <si>
    <r>
      <t xml:space="preserve">Maquinas: un vez indicada Descripcion, se deben completar todos los </t>
    </r>
    <r>
      <rPr>
        <u/>
        <sz val="10"/>
        <color indexed="12"/>
        <rFont val="Arial"/>
        <family val="2"/>
      </rPr>
      <t>campos en blanco</t>
    </r>
    <r>
      <rPr>
        <sz val="10"/>
        <color indexed="12"/>
        <rFont val="Arial"/>
        <family val="2"/>
      </rPr>
      <t xml:space="preserve"> indicados en la cabecera</t>
    </r>
  </si>
  <si>
    <r>
      <t xml:space="preserve">Mantenimineto / Repuestos: de la Maquina / Herramienta indicado corresponde el detalle de conceptos; se deben completar todos los </t>
    </r>
    <r>
      <rPr>
        <u/>
        <sz val="10"/>
        <color indexed="12"/>
        <rFont val="Arial"/>
        <family val="2"/>
      </rPr>
      <t>campos en blanco</t>
    </r>
    <r>
      <rPr>
        <sz val="10"/>
        <color indexed="12"/>
        <rFont val="Arial"/>
        <family val="2"/>
      </rPr>
      <t xml:space="preserve"> indicados en la cabecera</t>
    </r>
  </si>
  <si>
    <r>
      <t xml:space="preserve">Materiales: un vez indicada Descripcion, se deben completar todos los </t>
    </r>
    <r>
      <rPr>
        <b/>
        <u/>
        <sz val="12"/>
        <color indexed="12"/>
        <rFont val="Arial"/>
        <family val="2"/>
      </rPr>
      <t>campos en blanco</t>
    </r>
    <r>
      <rPr>
        <b/>
        <sz val="12"/>
        <color indexed="12"/>
        <rFont val="Arial"/>
        <family val="2"/>
      </rPr>
      <t xml:space="preserve"> indicados en la cabecera</t>
    </r>
  </si>
  <si>
    <r>
      <t xml:space="preserve">Otros: una vez indcada la  Descripcion, se deben completar todos los </t>
    </r>
    <r>
      <rPr>
        <u/>
        <sz val="10"/>
        <color indexed="12"/>
        <rFont val="Arial"/>
        <family val="2"/>
      </rPr>
      <t>campos en blanco</t>
    </r>
    <r>
      <rPr>
        <sz val="10"/>
        <color indexed="12"/>
        <rFont val="Arial"/>
        <family val="2"/>
      </rPr>
      <t xml:space="preserve"> indicados en la cabecera</t>
    </r>
  </si>
  <si>
    <r>
      <t xml:space="preserve">Personal / Instalaciones / Muebles y Útiles / Gastos Generales / Subcontrataciones : una vez indcado el concepto, se deben completar todos los </t>
    </r>
    <r>
      <rPr>
        <b/>
        <u/>
        <sz val="12"/>
        <color indexed="12"/>
        <rFont val="Arial"/>
        <family val="2"/>
      </rPr>
      <t>campos en blanco</t>
    </r>
    <r>
      <rPr>
        <b/>
        <sz val="12"/>
        <color indexed="12"/>
        <rFont val="Arial"/>
        <family val="2"/>
      </rPr>
      <t xml:space="preserve"> indicados en la cabecera</t>
    </r>
  </si>
  <si>
    <t>A definir en cada caso</t>
  </si>
  <si>
    <t>Vehículos y Equipos</t>
  </si>
  <si>
    <t>APERTURA DE COSTOS ESTANDAR DE PAE LLC</t>
  </si>
  <si>
    <t>JUAN</t>
  </si>
  <si>
    <t>SERVICIO</t>
  </si>
  <si>
    <t>Mantenimiento y Rep. (por Km)</t>
  </si>
  <si>
    <t>AB550NN</t>
  </si>
  <si>
    <t>FORD-NUEVA RANGER DC 4X2 XL 2.2L D</t>
  </si>
  <si>
    <t>Funes Sebastian</t>
  </si>
  <si>
    <t>AB646DV</t>
  </si>
  <si>
    <t>TOYOTA-HILUX 4X4 CABINA DOBLE DX 2.4 T</t>
  </si>
  <si>
    <t>Blasco Mauro</t>
  </si>
  <si>
    <t>AE024EF</t>
  </si>
  <si>
    <t>Rouret Damian</t>
  </si>
  <si>
    <t>AF402RN</t>
  </si>
  <si>
    <t>Bobadilla Marcelo</t>
  </si>
  <si>
    <t>AF484GW</t>
  </si>
  <si>
    <t>Cuevas Adrian</t>
  </si>
  <si>
    <t>AF533IT</t>
  </si>
  <si>
    <t>Aciar Manuel</t>
  </si>
  <si>
    <t>AF533IM</t>
  </si>
  <si>
    <t>TOYOTA-HILUX 4X4 CABINA DOBLE DX 2.4</t>
  </si>
  <si>
    <t>Garay Leandro</t>
  </si>
  <si>
    <t>Varios</t>
  </si>
  <si>
    <t>Empaquetaduras - 10 por mes</t>
  </si>
  <si>
    <t>Juego Pistón 10 por mes</t>
  </si>
  <si>
    <t>Neuquén</t>
  </si>
  <si>
    <t>Herramientas Recorredor</t>
  </si>
  <si>
    <t>Repuestos</t>
  </si>
  <si>
    <t>Alicate mango aislado</t>
  </si>
  <si>
    <t>Pnza punta</t>
  </si>
  <si>
    <t>Pico Loro</t>
  </si>
  <si>
    <t>Martillo o masa</t>
  </si>
  <si>
    <t>Llaves alen</t>
  </si>
  <si>
    <t>Llaves combinadas</t>
  </si>
  <si>
    <t>Cepillo acero</t>
  </si>
  <si>
    <t>Espatula</t>
  </si>
  <si>
    <t>Pala metálica</t>
  </si>
  <si>
    <t>Caja herramientas</t>
  </si>
  <si>
    <t>Dobladora de tubing</t>
  </si>
  <si>
    <t>Cortador de tubing</t>
  </si>
  <si>
    <t>Cinta</t>
  </si>
  <si>
    <t>Llave stilson</t>
  </si>
  <si>
    <t>Caja de herramientas y consumibles</t>
  </si>
  <si>
    <t>Guantes vaqueta</t>
  </si>
  <si>
    <t>Guantes nitrilo</t>
  </si>
  <si>
    <t>WD40</t>
  </si>
  <si>
    <t>Trapos</t>
  </si>
  <si>
    <t>Consumible</t>
  </si>
  <si>
    <t>Duración [meses]</t>
  </si>
  <si>
    <t>Costo mensual [ARS]</t>
  </si>
  <si>
    <t>Total [ARS/mes]</t>
  </si>
  <si>
    <t>ARS</t>
  </si>
  <si>
    <t>Jefe de Area</t>
  </si>
  <si>
    <t>Gerente</t>
  </si>
  <si>
    <t>Consumibles por tareas de reparación y mantenimiento de bombas</t>
  </si>
  <si>
    <t>Vehiculos</t>
  </si>
  <si>
    <t>Ingeniero</t>
  </si>
  <si>
    <t>HES</t>
  </si>
  <si>
    <t>Certificación</t>
  </si>
  <si>
    <t>MTTO PREVENT-CORRECT BBA DOSIF PROD QCO</t>
  </si>
  <si>
    <t>DOSIF QUIM CONEX PTO DOSIF</t>
  </si>
  <si>
    <t>TRAILER</t>
  </si>
  <si>
    <t>C/U</t>
  </si>
  <si>
    <t>MON</t>
  </si>
  <si>
    <t>Ítem</t>
  </si>
  <si>
    <t>UM</t>
  </si>
  <si>
    <t>ARS/UM</t>
  </si>
  <si>
    <t>Precio de Venta (según apertura de costos de PAE)</t>
  </si>
  <si>
    <t>Precio [ARS]</t>
  </si>
  <si>
    <t>Bono Paz Social</t>
  </si>
  <si>
    <t>Adicional Disponibilidad</t>
  </si>
  <si>
    <t>Adicional Yac. Produccion</t>
  </si>
  <si>
    <t>Res. 2321/22</t>
  </si>
  <si>
    <t>GP LAV</t>
  </si>
  <si>
    <t>GP SAD</t>
  </si>
  <si>
    <t>644/12</t>
  </si>
  <si>
    <t>M-B</t>
  </si>
  <si>
    <t>637/11</t>
  </si>
  <si>
    <t>PJ</t>
  </si>
  <si>
    <t>M-A</t>
  </si>
  <si>
    <t>Contribución tarea diferencial</t>
  </si>
  <si>
    <t>Botines</t>
  </si>
  <si>
    <t>Mameluco</t>
  </si>
  <si>
    <t>Campera</t>
  </si>
  <si>
    <t>Casco</t>
  </si>
  <si>
    <t>Protector auditivo + antiparras</t>
  </si>
  <si>
    <t>Pantalon y camisa</t>
  </si>
  <si>
    <t>Guantes</t>
  </si>
  <si>
    <t>op</t>
  </si>
  <si>
    <t>sup</t>
  </si>
  <si>
    <t>Trailer</t>
  </si>
  <si>
    <t>revisar</t>
  </si>
  <si>
    <t>Horas extras 50% y 100%</t>
  </si>
  <si>
    <t>Hs 50%: 22 días x 2 horas/día</t>
  </si>
  <si>
    <t>Hs 100%: 10 hs por mes</t>
  </si>
  <si>
    <t>Herramientas Recorredor*</t>
  </si>
  <si>
    <t>*</t>
  </si>
  <si>
    <t>Alquiler trailer</t>
  </si>
  <si>
    <t>Precio [ARS/UM]</t>
  </si>
  <si>
    <t>Total [ARS]</t>
  </si>
  <si>
    <t>Base Neuquén</t>
  </si>
  <si>
    <t>USD</t>
  </si>
  <si>
    <t>Sociedad</t>
  </si>
  <si>
    <t>Legajo</t>
  </si>
  <si>
    <t>Apellido</t>
  </si>
  <si>
    <t>Nombre</t>
  </si>
  <si>
    <t>CUIL</t>
  </si>
  <si>
    <t>Centro de costo</t>
  </si>
  <si>
    <t>Elemento PEP</t>
  </si>
  <si>
    <t>Orden</t>
  </si>
  <si>
    <t>Cebe</t>
  </si>
  <si>
    <t>Distribución</t>
  </si>
  <si>
    <t>Centro de trabajo</t>
  </si>
  <si>
    <t>Centro de trabajo Desc.</t>
  </si>
  <si>
    <t>Categoria</t>
  </si>
  <si>
    <t>Cod. funcion</t>
  </si>
  <si>
    <t>Funcion</t>
  </si>
  <si>
    <t>Fecha de ingreso</t>
  </si>
  <si>
    <t>Fecha de egreso</t>
  </si>
  <si>
    <t>114 Indemniz.Vac.No Gozadas</t>
  </si>
  <si>
    <t>9043 Viandas</t>
  </si>
  <si>
    <t>9512 Vianda CCT 644/12</t>
  </si>
  <si>
    <t>9512R Vianda CCT 644/12</t>
  </si>
  <si>
    <t>9515 Vianda desayuno/merienda</t>
  </si>
  <si>
    <t>951A Vianda Alimentación Diari</t>
  </si>
  <si>
    <t>951B Vianda Expte.</t>
  </si>
  <si>
    <t>951BR Vianda Expte.</t>
  </si>
  <si>
    <t>9549 Subs Hijo c/Discap. NR</t>
  </si>
  <si>
    <t>964V SNR ActaMT 300623 REM</t>
  </si>
  <si>
    <t>964W SNR ActaMT 300623 NO REM</t>
  </si>
  <si>
    <t>966H SNR ActaMTE 01.24 REM</t>
  </si>
  <si>
    <t>966HR SNR ActaMTE 01.24 REM</t>
  </si>
  <si>
    <t>966I SNR ActaMTE 01.24 NO REM</t>
  </si>
  <si>
    <t>966IR SNR ActaMTE 01.24 NO REM</t>
  </si>
  <si>
    <t>967P SNR ActaMTE 02.24 REM</t>
  </si>
  <si>
    <t>967PR SNR ActaMTE 02.24 REM</t>
  </si>
  <si>
    <t>967Q SNR ActaMTE 02.24 NO REM</t>
  </si>
  <si>
    <t>967QR SNR ActaMTE 02.24 NO REM</t>
  </si>
  <si>
    <t>9RED Redondeo</t>
  </si>
  <si>
    <t>9REDR Redondeo</t>
  </si>
  <si>
    <t>T53 SAC indemn.Vacac.no goza.</t>
  </si>
  <si>
    <t>109 Pago de Vacaciones</t>
  </si>
  <si>
    <t>109R Pago de Vacaciones</t>
  </si>
  <si>
    <t>9000 Sueldo basico</t>
  </si>
  <si>
    <t>9017 Acuenta futuros aumentos</t>
  </si>
  <si>
    <t>9082 Mayor Función</t>
  </si>
  <si>
    <t>9083 Traslado Transitorio 10%</t>
  </si>
  <si>
    <t>908A Traslado Transitorio 20%</t>
  </si>
  <si>
    <t>911I Adic. Empresa</t>
  </si>
  <si>
    <t>9206 Pago días enferm acc priv</t>
  </si>
  <si>
    <t>9206R Pago días enferm acc priv</t>
  </si>
  <si>
    <t>9212R Pago días fallec familiar</t>
  </si>
  <si>
    <t>9219 Desc días enferm acc priv</t>
  </si>
  <si>
    <t>9219R Desc días enferm acc priv</t>
  </si>
  <si>
    <t>9224R Desc días fallec familiar</t>
  </si>
  <si>
    <t>9232 Desc Dias ingreso/egreso</t>
  </si>
  <si>
    <t>9239 Desc días vacaciones</t>
  </si>
  <si>
    <t>9239R Desc días vacaciones</t>
  </si>
  <si>
    <t>9292R Pago  Lic.Art.8 inc.G</t>
  </si>
  <si>
    <t>9295R Desc  Lic.Art.8 inc.G</t>
  </si>
  <si>
    <t>935C Ad Especial CCT 637/11</t>
  </si>
  <si>
    <t>9368 Paz Social Rem JE</t>
  </si>
  <si>
    <t>936A Ad Yac/Prod CCT 637/11</t>
  </si>
  <si>
    <t>9401 Adicional zona</t>
  </si>
  <si>
    <t>9402 Mayor funcion</t>
  </si>
  <si>
    <t>9404 Antiguedad</t>
  </si>
  <si>
    <t>9406 Porc.turno B s/Básico</t>
  </si>
  <si>
    <t>9407 Antiguedad</t>
  </si>
  <si>
    <t>9429 Guardias Pasivas</t>
  </si>
  <si>
    <t>9443 Permanencia en campament</t>
  </si>
  <si>
    <t>9447 Bonif. desarraigo 10%</t>
  </si>
  <si>
    <t>9447R Bonif. desarraigo 10%</t>
  </si>
  <si>
    <t>9467 Hrs nocturnas</t>
  </si>
  <si>
    <t>9468 Hrs noct. 50%</t>
  </si>
  <si>
    <t>9470 Horas extras al 50%</t>
  </si>
  <si>
    <t>9470R Horas extras al 50%</t>
  </si>
  <si>
    <t>9471 Horas extras al 100%</t>
  </si>
  <si>
    <t>9471R Horas extras al 100%</t>
  </si>
  <si>
    <t>9474 Presentismo</t>
  </si>
  <si>
    <t>9474R Presentismo</t>
  </si>
  <si>
    <t>9495 Bono Paz Social CT 644/12</t>
  </si>
  <si>
    <t>949G Franco Trabajado</t>
  </si>
  <si>
    <t>949N Ad Yac Prod CCT 644/12</t>
  </si>
  <si>
    <t>949O Comp Ind nuevo cct</t>
  </si>
  <si>
    <t>949S Ad p/disponibilidad Rem</t>
  </si>
  <si>
    <t>9526 Porc.turno B s/Zona</t>
  </si>
  <si>
    <t>9572 Tiempo de Viaje</t>
  </si>
  <si>
    <t>9574 Adicional Presentismo</t>
  </si>
  <si>
    <t>957S Res.Mteyss. Nro.1912/1913</t>
  </si>
  <si>
    <t>957SR Res.Mteyss. Nro.1912/1913</t>
  </si>
  <si>
    <t>958E - Adicional</t>
  </si>
  <si>
    <t>958G Compens. Indiv. CCT</t>
  </si>
  <si>
    <t>958Q Res. N°2321/22</t>
  </si>
  <si>
    <t>9779 Gdias Art60/49 (L a V)</t>
  </si>
  <si>
    <t>977A Adic.Dispon(art.27 Inc.B)</t>
  </si>
  <si>
    <t>977D Gdias Art60/49 (S, D y F)</t>
  </si>
  <si>
    <t>9V06 Aj Porc.turno A</t>
  </si>
  <si>
    <t>S02 S.A.C.</t>
  </si>
  <si>
    <t>9154 Cuota alim %NV5</t>
  </si>
  <si>
    <t>9155 Cuota alim %N1</t>
  </si>
  <si>
    <t>9173 Embargo comercial % 2</t>
  </si>
  <si>
    <t>9321 Seguro optativo conyuge</t>
  </si>
  <si>
    <t>9324 Desc. Seguro opt titular</t>
  </si>
  <si>
    <t>933N Adh Docthos (No Deduc)</t>
  </si>
  <si>
    <t>9AS1 Cuota sind. PET RN/NQN</t>
  </si>
  <si>
    <t>9AS1R Cuota sind. PET RN/NQN</t>
  </si>
  <si>
    <t>9AS2 Cuota sindical</t>
  </si>
  <si>
    <t>9AS2R Cuota sindical</t>
  </si>
  <si>
    <t>9ASC Mutual Pet RN / NQN</t>
  </si>
  <si>
    <t>9ASCR Mutual Pet RN / NQN</t>
  </si>
  <si>
    <t>9ASI Cuota sindical NQN/RN/LP</t>
  </si>
  <si>
    <t>9ASIR Cuota sindical NQN/RN/LP</t>
  </si>
  <si>
    <t>9ASL Cuota Mutual NQN/RN/LP</t>
  </si>
  <si>
    <t>D01 Retención adelantos</t>
  </si>
  <si>
    <t>321 Aporte SIJP sobre sueldo</t>
  </si>
  <si>
    <t>325 Aporte SIJP sobre Sac</t>
  </si>
  <si>
    <t>351 Aporte INSSJP sobre suel</t>
  </si>
  <si>
    <t>355 Aporte INSSJP sobre Sac</t>
  </si>
  <si>
    <t>361 Aporte O.SOC. sobre suel.</t>
  </si>
  <si>
    <t>365 Aporte O.SOC. sobre Sac</t>
  </si>
  <si>
    <t>371 Apo.O.S.suel.s/sdo.F.adh.</t>
  </si>
  <si>
    <t>4T2 Impuesto pagado/devuelto</t>
  </si>
  <si>
    <t>936S Aportes Obra Social Adic</t>
  </si>
  <si>
    <t>TOTAL REMUNERATIVO</t>
  </si>
  <si>
    <t>310 Contrib.ART sobre sueldo</t>
  </si>
  <si>
    <t>312 Contrib.ART sobre Sac</t>
  </si>
  <si>
    <t>314 Contr. ART sobre no remu.</t>
  </si>
  <si>
    <t>315 Contrib.ART importe fijo</t>
  </si>
  <si>
    <t>320 Contrib.SIJP sobre sueldo</t>
  </si>
  <si>
    <t>324 Contrib.SIJP sobre Sac</t>
  </si>
  <si>
    <t>330 Contr.ASIG.FAM sobre suel</t>
  </si>
  <si>
    <t>332 Contr.ASIG.FAM sobre Sac</t>
  </si>
  <si>
    <t>340 Contr.FDO.DES sobre suel.</t>
  </si>
  <si>
    <t>342 Contr.FDO.DES sobre Sac</t>
  </si>
  <si>
    <t>350 Contrib.INSSJP sobre suel</t>
  </si>
  <si>
    <t>354 Contrib.INSSJP sobre Sac</t>
  </si>
  <si>
    <t>360 Contrib.O.SOC. sobre suel</t>
  </si>
  <si>
    <t>364 Contrib.O.SOC. sobre Sac</t>
  </si>
  <si>
    <t>3A1 Dif Cont-IVA sobre sueldo</t>
  </si>
  <si>
    <t>3A5 Dif Cont-IVA sobre SAC</t>
  </si>
  <si>
    <t>9335 Servicio de Sepelio</t>
  </si>
  <si>
    <t>9345 Seguro Obligatorio</t>
  </si>
  <si>
    <t>9558 Cuota solidaridad</t>
  </si>
  <si>
    <t>955C Contrib Extraor Jer y Pet</t>
  </si>
  <si>
    <t>955CR Contrib Extraor Jer y Pet</t>
  </si>
  <si>
    <t>963G Cont. O.Soc Sumas Exp NR</t>
  </si>
  <si>
    <t>977E Contr Adic Privileg 2%</t>
  </si>
  <si>
    <t>0S10R Sueldo - Vac Compensadas</t>
  </si>
  <si>
    <t>0S20R Plus - Vac Compensadas</t>
  </si>
  <si>
    <t>0S30R Variable -Vac Compensadas</t>
  </si>
  <si>
    <t>CONTRIBUCIONES</t>
  </si>
  <si>
    <t>COSTO TOTAL</t>
  </si>
  <si>
    <t>AR20</t>
  </si>
  <si>
    <t>54034001</t>
  </si>
  <si>
    <t>ROURET</t>
  </si>
  <si>
    <t>OSCAR DAMIAN</t>
  </si>
  <si>
    <t>20261322162</t>
  </si>
  <si>
    <t>AR0AÑTQ102</t>
  </si>
  <si>
    <t xml:space="preserve">                    100</t>
  </si>
  <si>
    <t>NE30</t>
  </si>
  <si>
    <t>O Ref P.Huincul</t>
  </si>
  <si>
    <t>CAT.M-Z2</t>
  </si>
  <si>
    <t>84001008</t>
  </si>
  <si>
    <t>Recorredor Especializado Principal de Ya</t>
  </si>
  <si>
    <t>02.01.2019</t>
  </si>
  <si>
    <t>00.00.0000</t>
  </si>
  <si>
    <t>54034605</t>
  </si>
  <si>
    <t>MUÑOZ</t>
  </si>
  <si>
    <t>MIGUEL ANGEL</t>
  </si>
  <si>
    <t>23262484629</t>
  </si>
  <si>
    <t>NE43</t>
  </si>
  <si>
    <t>TQ Añelo</t>
  </si>
  <si>
    <t>08.09.2011</t>
  </si>
  <si>
    <t>54034631</t>
  </si>
  <si>
    <t>BOBADILLA</t>
  </si>
  <si>
    <t>MARCELO GERMAN</t>
  </si>
  <si>
    <t>20258605013</t>
  </si>
  <si>
    <t>NE01</t>
  </si>
  <si>
    <t>Pq.Ind. Neuquén</t>
  </si>
  <si>
    <t>84001103</t>
  </si>
  <si>
    <t>Supervisor Trat. Químicos II/TQ-Operacio</t>
  </si>
  <si>
    <t>01.12.2009</t>
  </si>
  <si>
    <t>54034635</t>
  </si>
  <si>
    <t>GALLI</t>
  </si>
  <si>
    <t>LUCIO GABRIEL</t>
  </si>
  <si>
    <t>20258605692</t>
  </si>
  <si>
    <t>54037586</t>
  </si>
  <si>
    <t>GARAY</t>
  </si>
  <si>
    <t>LEANDRO EXEQUIEL</t>
  </si>
  <si>
    <t>20365141933</t>
  </si>
  <si>
    <t>CAT.M-Z3</t>
  </si>
  <si>
    <t>26.05.2021</t>
  </si>
  <si>
    <t>54037654</t>
  </si>
  <si>
    <t>FUNES</t>
  </si>
  <si>
    <t>CARLOS SEBASTIAN</t>
  </si>
  <si>
    <t>20319229761</t>
  </si>
  <si>
    <t>CAT.J-Z2</t>
  </si>
  <si>
    <t>84000998</t>
  </si>
  <si>
    <t>Recorredor de Instalaciones en Yacimient</t>
  </si>
  <si>
    <t>07.06.2021</t>
  </si>
  <si>
    <t>54037659</t>
  </si>
  <si>
    <t>CUEVAS</t>
  </si>
  <si>
    <t>ADRIAN ALEJANDRO</t>
  </si>
  <si>
    <t>20202425098</t>
  </si>
  <si>
    <t>84000948</t>
  </si>
  <si>
    <t>Operador Especializado de PO/O&amp;M-Producc</t>
  </si>
  <si>
    <t>Alquiler</t>
  </si>
  <si>
    <t>Otros costos</t>
  </si>
  <si>
    <t>Var IPIM</t>
  </si>
  <si>
    <t>Última certificación mar-24</t>
  </si>
  <si>
    <t>Venta</t>
  </si>
  <si>
    <t>CP</t>
  </si>
  <si>
    <t>EERR</t>
  </si>
  <si>
    <t>9930 Sum cs soc prov Vacac</t>
  </si>
  <si>
    <t>9931 Sum cs soc prov SAC</t>
  </si>
  <si>
    <t>9932 Provisiones Vacaciones</t>
  </si>
  <si>
    <t>9933 Provisiones SAC</t>
  </si>
  <si>
    <t>9M20 Carga Soc Prov Plus</t>
  </si>
  <si>
    <t>9P20 Carga Pls pago de Vac</t>
  </si>
  <si>
    <t>9P20R Carga Pls pago de Vac</t>
  </si>
  <si>
    <t>9Q37 Provisión Mensual PCV</t>
  </si>
  <si>
    <t>9Q38 Provisión Mensual PCV CC</t>
  </si>
  <si>
    <t>9Q90 Provisión MenPlusCont 91</t>
  </si>
  <si>
    <t>9Q91 Provisión Mensual Cont 91</t>
  </si>
  <si>
    <t>9Q92 Provisión Men  Car Con 91</t>
  </si>
  <si>
    <t>MQ10 PrV.Sdo. p/vacacion.Dife.</t>
  </si>
  <si>
    <t>MQ11 PrV.Sdo. p/vac.Dife.ant</t>
  </si>
  <si>
    <t>MQ20 PrV.plus p/vacacion.Dife.</t>
  </si>
  <si>
    <t>MQ21 PrV.plus p/vac.Dife.ant</t>
  </si>
  <si>
    <t>MQ30 PrV.rem.var.p/vacac.:Dife</t>
  </si>
  <si>
    <t>MQ31 PrV.rem.var.p/vac.:Dife.a</t>
  </si>
  <si>
    <t>PD1 Dif.con.jubil.s/prov.vaca</t>
  </si>
  <si>
    <t>PD2 Dif.Con.INSSJP s/prov.vac</t>
  </si>
  <si>
    <t>PD3 Dif.Cont.O.Soc s/Prov.vac</t>
  </si>
  <si>
    <t>PD4 Dif.Cont.f.des.s/pro.vac</t>
  </si>
  <si>
    <t>PD5 Dif.Cont.asi.fa.s/pro.vac</t>
  </si>
  <si>
    <t>PD6 Dife.Contr.ART  s/Pro.vac</t>
  </si>
  <si>
    <t>PD7 Dif.con.CUSS s/prov.vaca</t>
  </si>
  <si>
    <t>PD8 Dif.con.Dif.IVAs/prov.vac</t>
  </si>
  <si>
    <t>S05 Diferenc.provisión p/FICO</t>
  </si>
  <si>
    <t>SD1 Dif.cont.jubil.s/prov.SAC</t>
  </si>
  <si>
    <t>SD2 Dif.con.INSSJP s/prov.SAC</t>
  </si>
  <si>
    <t>SD3 Dif.cont.O.Soc.s/Prov.SAC</t>
  </si>
  <si>
    <t>SD4 Dif.contr.fdo.s/prov.SAC</t>
  </si>
  <si>
    <t>SD5 Dif.contr.asig.s/prov.SAC</t>
  </si>
  <si>
    <t>SD6 Dif.contr.ART  s/Prov.SAC</t>
  </si>
  <si>
    <t>SD7 Dif.cont.CUSS.s/prov.SAC</t>
  </si>
  <si>
    <t>SD8 Dif.con.Dif.IVAs/prov.SAC</t>
  </si>
  <si>
    <t>Total Previsiones</t>
  </si>
  <si>
    <t>Operador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</si>
</sst>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0.0%"/>
    <numFmt numFmtId="167" formatCode="&quot;$&quot;\ #,##0.00"/>
    <numFmt numFmtId="168" formatCode="&quot;$&quot;\ #,##0"/>
    <numFmt numFmtId="169" formatCode="0.0000"/>
    <numFmt numFmtId="170" formatCode="dd/mm/yy;@"/>
    <numFmt numFmtId="171" formatCode="[$$-2C0A]\ #,##0.00"/>
    <numFmt numFmtId="172" formatCode="&quot;$&quot;\ #,##0.000"/>
    <numFmt numFmtId="173" formatCode="&quot;$&quot;\ #,##0.00000"/>
    <numFmt numFmtId="174" formatCode="&quot;$&quot;\ #,##0.000000"/>
    <numFmt numFmtId="175" formatCode="0.00000%"/>
    <numFmt numFmtId="176" formatCode="0.0000000%"/>
    <numFmt numFmtId="177" formatCode="0.00000000%"/>
    <numFmt numFmtId="178" formatCode="0.0"/>
    <numFmt numFmtId="179" formatCode="[$$-2C0A]\ #,##0"/>
    <numFmt numFmtId="180" formatCode="#,##0.000_ ;\-#,##0.000\ "/>
    <numFmt numFmtId="181" formatCode="0.000%"/>
    <numFmt numFmtId="182" formatCode="_ * #,##0_ ;_ * \-#,##0_ ;_ * &quot;-&quot;??_ ;_ @_ "/>
  </numFmts>
  <fonts count="4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8"/>
      <color indexed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i/>
      <u/>
      <sz val="12"/>
      <name val="Arial"/>
      <family val="2"/>
    </font>
    <font>
      <sz val="10"/>
      <color indexed="12"/>
      <name val="Arial"/>
      <family val="2"/>
    </font>
    <font>
      <b/>
      <sz val="12"/>
      <color indexed="12"/>
      <name val="Arial"/>
      <family val="2"/>
    </font>
    <font>
      <b/>
      <u/>
      <sz val="12"/>
      <color indexed="12"/>
      <name val="Arial"/>
      <family val="2"/>
    </font>
    <font>
      <sz val="10"/>
      <name val="Arial"/>
      <family val="2"/>
    </font>
    <font>
      <b/>
      <sz val="18"/>
      <color indexed="9"/>
      <name val="Arial"/>
      <family val="2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4"/>
      <color indexed="9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9"/>
        <bgColor indexed="31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6">
    <xf numFmtId="0" fontId="0" fillId="0" borderId="0" xfId="0"/>
    <xf numFmtId="0" fontId="0" fillId="2" borderId="0" xfId="0" applyFill="1"/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0" fillId="2" borderId="3" xfId="0" applyFill="1" applyBorder="1"/>
    <xf numFmtId="0" fontId="2" fillId="2" borderId="0" xfId="0" applyFont="1" applyFill="1"/>
    <xf numFmtId="10" fontId="2" fillId="2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/>
    <xf numFmtId="0" fontId="2" fillId="3" borderId="1" xfId="0" applyFont="1" applyFill="1" applyBorder="1"/>
    <xf numFmtId="0" fontId="5" fillId="3" borderId="1" xfId="0" applyFont="1" applyFill="1" applyBorder="1"/>
    <xf numFmtId="0" fontId="5" fillId="3" borderId="5" xfId="0" applyFont="1" applyFill="1" applyBorder="1"/>
    <xf numFmtId="167" fontId="0" fillId="2" borderId="0" xfId="0" applyNumberForma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0" fontId="9" fillId="2" borderId="3" xfId="0" applyFont="1" applyFill="1" applyBorder="1" applyAlignment="1">
      <alignment horizontal="center" vertical="center"/>
    </xf>
    <xf numFmtId="10" fontId="2" fillId="2" borderId="3" xfId="3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2" fillId="2" borderId="4" xfId="0" applyFont="1" applyFill="1" applyBorder="1"/>
    <xf numFmtId="10" fontId="2" fillId="2" borderId="7" xfId="3" applyNumberFormat="1" applyFont="1" applyFill="1" applyBorder="1" applyAlignment="1">
      <alignment horizontal="center" vertical="center"/>
    </xf>
    <xf numFmtId="10" fontId="2" fillId="2" borderId="8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0" fontId="0" fillId="2" borderId="0" xfId="0" applyFill="1" applyProtection="1">
      <protection locked="0"/>
    </xf>
    <xf numFmtId="167" fontId="10" fillId="2" borderId="0" xfId="0" applyNumberFormat="1" applyFont="1" applyFill="1" applyAlignment="1" applyProtection="1">
      <alignment horizontal="center"/>
      <protection locked="0"/>
    </xf>
    <xf numFmtId="168" fontId="10" fillId="2" borderId="0" xfId="0" applyNumberFormat="1" applyFont="1" applyFill="1" applyAlignment="1" applyProtection="1">
      <alignment horizontal="center"/>
      <protection locked="0"/>
    </xf>
    <xf numFmtId="3" fontId="10" fillId="2" borderId="0" xfId="0" applyNumberFormat="1" applyFont="1" applyFill="1" applyAlignment="1" applyProtection="1">
      <alignment horizontal="center"/>
      <protection locked="0"/>
    </xf>
    <xf numFmtId="167" fontId="10" fillId="4" borderId="10" xfId="0" applyNumberFormat="1" applyFont="1" applyFill="1" applyBorder="1" applyAlignment="1" applyProtection="1">
      <alignment horizontal="center"/>
      <protection locked="0"/>
    </xf>
    <xf numFmtId="167" fontId="0" fillId="2" borderId="10" xfId="0" applyNumberFormat="1" applyFill="1" applyBorder="1" applyAlignment="1" applyProtection="1">
      <alignment horizontal="center"/>
      <protection locked="0"/>
    </xf>
    <xf numFmtId="167" fontId="10" fillId="2" borderId="1" xfId="0" applyNumberFormat="1" applyFont="1" applyFill="1" applyBorder="1" applyAlignment="1" applyProtection="1">
      <alignment horizontal="center"/>
      <protection locked="0"/>
    </xf>
    <xf numFmtId="167" fontId="10" fillId="4" borderId="3" xfId="0" applyNumberFormat="1" applyFont="1" applyFill="1" applyBorder="1" applyAlignment="1" applyProtection="1">
      <alignment horizontal="center"/>
      <protection locked="0"/>
    </xf>
    <xf numFmtId="168" fontId="0" fillId="2" borderId="0" xfId="0" applyNumberFormat="1" applyFill="1" applyAlignment="1" applyProtection="1">
      <alignment horizontal="center"/>
      <protection locked="0"/>
    </xf>
    <xf numFmtId="167" fontId="0" fillId="2" borderId="3" xfId="0" applyNumberFormat="1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1" fontId="0" fillId="2" borderId="0" xfId="0" applyNumberFormat="1" applyFill="1" applyAlignment="1" applyProtection="1">
      <alignment horizontal="center"/>
      <protection locked="0"/>
    </xf>
    <xf numFmtId="2" fontId="0" fillId="2" borderId="0" xfId="0" applyNumberFormat="1" applyFill="1" applyAlignment="1" applyProtection="1">
      <alignment horizontal="center"/>
      <protection locked="0"/>
    </xf>
    <xf numFmtId="3" fontId="0" fillId="2" borderId="7" xfId="0" applyNumberFormat="1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2" xfId="0" applyFill="1" applyBorder="1" applyProtection="1"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Protection="1">
      <protection locked="0"/>
    </xf>
    <xf numFmtId="0" fontId="0" fillId="3" borderId="3" xfId="0" applyFill="1" applyBorder="1" applyAlignment="1" applyProtection="1">
      <alignment horizontal="center" vertical="center" wrapText="1"/>
      <protection locked="0"/>
    </xf>
    <xf numFmtId="167" fontId="0" fillId="2" borderId="7" xfId="0" applyNumberFormat="1" applyFill="1" applyBorder="1" applyAlignment="1" applyProtection="1">
      <alignment horizontal="center"/>
      <protection locked="0"/>
    </xf>
    <xf numFmtId="4" fontId="0" fillId="2" borderId="0" xfId="0" applyNumberFormat="1" applyFill="1" applyProtection="1">
      <protection locked="0"/>
    </xf>
    <xf numFmtId="0" fontId="0" fillId="2" borderId="7" xfId="0" applyFill="1" applyBorder="1" applyAlignment="1" applyProtection="1">
      <alignment horizontal="center"/>
      <protection locked="0"/>
    </xf>
    <xf numFmtId="167" fontId="0" fillId="2" borderId="11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12" xfId="0" applyFill="1" applyBorder="1" applyProtection="1"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13" xfId="0" applyFill="1" applyBorder="1" applyProtection="1">
      <protection locked="0"/>
    </xf>
    <xf numFmtId="0" fontId="2" fillId="3" borderId="4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2" fillId="2" borderId="6" xfId="0" applyFont="1" applyFill="1" applyBorder="1" applyProtection="1">
      <protection locked="0"/>
    </xf>
    <xf numFmtId="167" fontId="3" fillId="2" borderId="0" xfId="0" applyNumberFormat="1" applyFont="1" applyFill="1" applyAlignment="1" applyProtection="1">
      <alignment horizontal="center"/>
      <protection locked="0"/>
    </xf>
    <xf numFmtId="167" fontId="1" fillId="2" borderId="0" xfId="0" applyNumberFormat="1" applyFont="1" applyFill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vertical="center" wrapText="1"/>
      <protection locked="0"/>
    </xf>
    <xf numFmtId="0" fontId="3" fillId="6" borderId="3" xfId="0" applyFont="1" applyFill="1" applyBorder="1" applyAlignment="1" applyProtection="1">
      <alignment horizontal="center" vertical="center" wrapText="1"/>
      <protection locked="0"/>
    </xf>
    <xf numFmtId="1" fontId="0" fillId="2" borderId="7" xfId="0" applyNumberFormat="1" applyFill="1" applyBorder="1" applyAlignment="1" applyProtection="1">
      <alignment horizontal="center"/>
      <protection locked="0"/>
    </xf>
    <xf numFmtId="167" fontId="0" fillId="2" borderId="0" xfId="0" applyNumberFormat="1" applyFill="1" applyProtection="1"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3" fillId="5" borderId="12" xfId="0" applyFont="1" applyFill="1" applyBorder="1" applyAlignment="1" applyProtection="1">
      <alignment horizontal="center" vertical="center" wrapText="1"/>
      <protection locked="0"/>
    </xf>
    <xf numFmtId="0" fontId="3" fillId="5" borderId="3" xfId="0" applyFont="1" applyFill="1" applyBorder="1" applyAlignment="1" applyProtection="1">
      <alignment horizontal="center" vertical="center" wrapText="1"/>
      <protection locked="0"/>
    </xf>
    <xf numFmtId="0" fontId="3" fillId="5" borderId="12" xfId="0" applyFont="1" applyFill="1" applyBorder="1" applyAlignment="1" applyProtection="1">
      <alignment horizontal="left" vertical="center" wrapText="1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Protection="1">
      <protection locked="0"/>
    </xf>
    <xf numFmtId="0" fontId="2" fillId="2" borderId="0" xfId="0" applyFont="1" applyFill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3" xfId="0" applyFill="1" applyBorder="1" applyProtection="1">
      <protection locked="0"/>
    </xf>
    <xf numFmtId="10" fontId="2" fillId="4" borderId="1" xfId="0" applyNumberFormat="1" applyFont="1" applyFill="1" applyBorder="1" applyAlignment="1" applyProtection="1">
      <alignment horizontal="center"/>
      <protection locked="0"/>
    </xf>
    <xf numFmtId="10" fontId="0" fillId="2" borderId="0" xfId="0" applyNumberFormat="1" applyFill="1" applyAlignment="1" applyProtection="1">
      <alignment horizontal="center"/>
      <protection locked="0"/>
    </xf>
    <xf numFmtId="169" fontId="0" fillId="2" borderId="0" xfId="0" applyNumberFormat="1" applyFill="1" applyAlignment="1" applyProtection="1">
      <alignment horizont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1" fontId="11" fillId="2" borderId="12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 applyProtection="1">
      <alignment horizontal="center"/>
      <protection locked="0"/>
    </xf>
    <xf numFmtId="10" fontId="2" fillId="2" borderId="14" xfId="0" applyNumberFormat="1" applyFont="1" applyFill="1" applyBorder="1" applyAlignment="1" applyProtection="1">
      <alignment horizontal="center"/>
      <protection locked="0"/>
    </xf>
    <xf numFmtId="167" fontId="2" fillId="2" borderId="0" xfId="0" applyNumberFormat="1" applyFont="1" applyFill="1" applyAlignment="1" applyProtection="1">
      <alignment horizontal="center"/>
      <protection locked="0"/>
    </xf>
    <xf numFmtId="9" fontId="0" fillId="2" borderId="0" xfId="0" applyNumberFormat="1" applyFill="1" applyAlignment="1" applyProtection="1">
      <alignment horizontal="center"/>
      <protection locked="0"/>
    </xf>
    <xf numFmtId="167" fontId="0" fillId="7" borderId="0" xfId="0" applyNumberFormat="1" applyFill="1" applyAlignment="1" applyProtection="1">
      <alignment horizontal="center"/>
      <protection locked="0"/>
    </xf>
    <xf numFmtId="167" fontId="0" fillId="7" borderId="10" xfId="0" applyNumberFormat="1" applyFill="1" applyBorder="1" applyAlignment="1" applyProtection="1">
      <alignment horizontal="center"/>
      <protection locked="0"/>
    </xf>
    <xf numFmtId="0" fontId="11" fillId="7" borderId="10" xfId="0" applyFont="1" applyFill="1" applyBorder="1" applyProtection="1">
      <protection locked="0"/>
    </xf>
    <xf numFmtId="0" fontId="0" fillId="7" borderId="10" xfId="0" applyFill="1" applyBorder="1" applyProtection="1">
      <protection locked="0"/>
    </xf>
    <xf numFmtId="168" fontId="0" fillId="7" borderId="0" xfId="0" applyNumberFormat="1" applyFill="1" applyAlignment="1" applyProtection="1">
      <alignment horizontal="center"/>
      <protection locked="0"/>
    </xf>
    <xf numFmtId="167" fontId="0" fillId="7" borderId="11" xfId="0" applyNumberFormat="1" applyFill="1" applyBorder="1" applyAlignment="1" applyProtection="1">
      <alignment horizontal="center"/>
      <protection locked="0"/>
    </xf>
    <xf numFmtId="0" fontId="0" fillId="7" borderId="11" xfId="0" applyFill="1" applyBorder="1" applyProtection="1">
      <protection locked="0"/>
    </xf>
    <xf numFmtId="0" fontId="11" fillId="7" borderId="2" xfId="0" applyFont="1" applyFill="1" applyBorder="1" applyAlignment="1" applyProtection="1">
      <alignment horizontal="center"/>
      <protection locked="0"/>
    </xf>
    <xf numFmtId="10" fontId="11" fillId="7" borderId="12" xfId="0" applyNumberFormat="1" applyFont="1" applyFill="1" applyBorder="1" applyAlignment="1" applyProtection="1">
      <alignment horizontal="center"/>
      <protection locked="0"/>
    </xf>
    <xf numFmtId="167" fontId="11" fillId="7" borderId="12" xfId="0" applyNumberFormat="1" applyFont="1" applyFill="1" applyBorder="1" applyAlignment="1" applyProtection="1">
      <alignment horizontal="center"/>
      <protection locked="0"/>
    </xf>
    <xf numFmtId="0" fontId="11" fillId="7" borderId="12" xfId="0" applyFont="1" applyFill="1" applyBorder="1" applyProtection="1">
      <protection locked="0"/>
    </xf>
    <xf numFmtId="0" fontId="0" fillId="7" borderId="12" xfId="0" applyFill="1" applyBorder="1" applyProtection="1">
      <protection locked="0"/>
    </xf>
    <xf numFmtId="3" fontId="0" fillId="2" borderId="0" xfId="0" applyNumberFormat="1" applyFill="1" applyAlignment="1" applyProtection="1">
      <alignment horizontal="center"/>
      <protection locked="0"/>
    </xf>
    <xf numFmtId="0" fontId="3" fillId="2" borderId="0" xfId="0" applyFont="1" applyFill="1" applyProtection="1">
      <protection locked="0"/>
    </xf>
    <xf numFmtId="0" fontId="10" fillId="2" borderId="0" xfId="0" applyFont="1" applyFill="1" applyProtection="1">
      <protection locked="0"/>
    </xf>
    <xf numFmtId="0" fontId="10" fillId="4" borderId="10" xfId="0" applyFont="1" applyFill="1" applyBorder="1" applyAlignment="1" applyProtection="1">
      <alignment horizontal="center"/>
      <protection locked="0"/>
    </xf>
    <xf numFmtId="0" fontId="10" fillId="2" borderId="1" xfId="0" applyFont="1" applyFill="1" applyBorder="1" applyProtection="1">
      <protection locked="0"/>
    </xf>
    <xf numFmtId="0" fontId="10" fillId="2" borderId="1" xfId="0" applyFont="1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left"/>
      <protection locked="0"/>
    </xf>
    <xf numFmtId="0" fontId="0" fillId="7" borderId="14" xfId="0" applyFill="1" applyBorder="1" applyProtection="1">
      <protection locked="0"/>
    </xf>
    <xf numFmtId="167" fontId="2" fillId="7" borderId="3" xfId="0" applyNumberFormat="1" applyFont="1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0" fillId="7" borderId="15" xfId="0" applyFill="1" applyBorder="1" applyAlignment="1" applyProtection="1">
      <alignment horizontal="left"/>
      <protection locked="0"/>
    </xf>
    <xf numFmtId="0" fontId="0" fillId="2" borderId="13" xfId="0" applyFill="1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left"/>
      <protection locked="0"/>
    </xf>
    <xf numFmtId="0" fontId="10" fillId="7" borderId="0" xfId="0" applyFont="1" applyFill="1" applyAlignment="1" applyProtection="1">
      <alignment horizontal="center"/>
      <protection locked="0"/>
    </xf>
    <xf numFmtId="167" fontId="10" fillId="7" borderId="1" xfId="0" applyNumberFormat="1" applyFont="1" applyFill="1" applyBorder="1" applyAlignment="1" applyProtection="1">
      <alignment horizontal="center"/>
      <protection locked="0"/>
    </xf>
    <xf numFmtId="0" fontId="10" fillId="7" borderId="1" xfId="0" applyFont="1" applyFill="1" applyBorder="1" applyAlignment="1" applyProtection="1">
      <alignment horizontal="center"/>
      <protection locked="0"/>
    </xf>
    <xf numFmtId="167" fontId="10" fillId="7" borderId="0" xfId="0" applyNumberFormat="1" applyFont="1" applyFill="1" applyAlignment="1" applyProtection="1">
      <alignment horizontal="center"/>
      <protection locked="0"/>
    </xf>
    <xf numFmtId="167" fontId="0" fillId="7" borderId="7" xfId="0" applyNumberFormat="1" applyFill="1" applyBorder="1" applyAlignment="1" applyProtection="1">
      <alignment horizontal="center"/>
      <protection locked="0"/>
    </xf>
    <xf numFmtId="167" fontId="0" fillId="7" borderId="9" xfId="0" applyNumberFormat="1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2" xfId="0" applyFill="1" applyBorder="1" applyProtection="1">
      <protection locked="0"/>
    </xf>
    <xf numFmtId="0" fontId="0" fillId="2" borderId="14" xfId="0" applyFill="1" applyBorder="1" applyAlignment="1" applyProtection="1">
      <alignment horizontal="center"/>
      <protection locked="0"/>
    </xf>
    <xf numFmtId="168" fontId="0" fillId="2" borderId="14" xfId="0" applyNumberFormat="1" applyFill="1" applyBorder="1" applyAlignment="1" applyProtection="1">
      <alignment horizontal="center"/>
      <protection locked="0"/>
    </xf>
    <xf numFmtId="167" fontId="0" fillId="2" borderId="14" xfId="0" applyNumberFormat="1" applyFill="1" applyBorder="1" applyAlignment="1" applyProtection="1">
      <alignment horizontal="center"/>
      <protection locked="0"/>
    </xf>
    <xf numFmtId="0" fontId="12" fillId="2" borderId="0" xfId="0" applyFont="1" applyFill="1" applyProtection="1">
      <protection locked="0"/>
    </xf>
    <xf numFmtId="167" fontId="0" fillId="2" borderId="2" xfId="0" applyNumberFormat="1" applyFill="1" applyBorder="1" applyAlignment="1" applyProtection="1">
      <alignment horizontal="center"/>
      <protection locked="0"/>
    </xf>
    <xf numFmtId="167" fontId="0" fillId="2" borderId="9" xfId="0" applyNumberFormat="1" applyFill="1" applyBorder="1" applyAlignment="1" applyProtection="1">
      <alignment horizontal="center"/>
      <protection locked="0"/>
    </xf>
    <xf numFmtId="0" fontId="3" fillId="2" borderId="7" xfId="0" applyFont="1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0" fontId="3" fillId="2" borderId="11" xfId="0" applyFont="1" applyFill="1" applyBorder="1" applyAlignment="1" applyProtection="1">
      <alignment horizontal="center"/>
      <protection locked="0"/>
    </xf>
    <xf numFmtId="167" fontId="3" fillId="2" borderId="10" xfId="0" applyNumberFormat="1" applyFont="1" applyFill="1" applyBorder="1" applyAlignment="1" applyProtection="1">
      <alignment horizontal="center"/>
      <protection locked="0"/>
    </xf>
    <xf numFmtId="167" fontId="0" fillId="7" borderId="12" xfId="0" applyNumberFormat="1" applyFill="1" applyBorder="1" applyAlignment="1" applyProtection="1">
      <alignment horizontal="center"/>
      <protection locked="0"/>
    </xf>
    <xf numFmtId="167" fontId="11" fillId="7" borderId="9" xfId="0" applyNumberFormat="1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167" fontId="0" fillId="3" borderId="3" xfId="0" applyNumberFormat="1" applyFill="1" applyBorder="1" applyAlignment="1">
      <alignment horizontal="center"/>
    </xf>
    <xf numFmtId="167" fontId="0" fillId="3" borderId="12" xfId="0" applyNumberFormat="1" applyFill="1" applyBorder="1" applyAlignment="1">
      <alignment horizontal="center"/>
    </xf>
    <xf numFmtId="0" fontId="0" fillId="2" borderId="0" xfId="0" applyFill="1" applyAlignment="1" applyProtection="1">
      <alignment horizontal="left" vertical="center"/>
      <protection locked="0"/>
    </xf>
    <xf numFmtId="0" fontId="6" fillId="2" borderId="0" xfId="1" applyFill="1" applyAlignment="1" applyProtection="1">
      <protection locked="0"/>
    </xf>
    <xf numFmtId="0" fontId="0" fillId="7" borderId="0" xfId="0" applyFill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14" fillId="2" borderId="0" xfId="1" applyFont="1" applyFill="1" applyAlignment="1" applyProtection="1">
      <protection locked="0"/>
    </xf>
    <xf numFmtId="0" fontId="0" fillId="2" borderId="4" xfId="0" applyFill="1" applyBorder="1" applyProtection="1">
      <protection locked="0"/>
    </xf>
    <xf numFmtId="0" fontId="0" fillId="2" borderId="1" xfId="0" applyFill="1" applyBorder="1" applyProtection="1">
      <protection locked="0"/>
    </xf>
    <xf numFmtId="167" fontId="0" fillId="7" borderId="3" xfId="0" applyNumberFormat="1" applyFill="1" applyBorder="1" applyAlignment="1" applyProtection="1">
      <alignment horizontal="center"/>
      <protection locked="0"/>
    </xf>
    <xf numFmtId="0" fontId="0" fillId="2" borderId="5" xfId="0" applyFill="1" applyBorder="1" applyProtection="1">
      <protection locked="0"/>
    </xf>
    <xf numFmtId="0" fontId="3" fillId="3" borderId="11" xfId="0" applyFont="1" applyFill="1" applyBorder="1" applyAlignment="1" applyProtection="1">
      <alignment horizontal="left"/>
      <protection locked="0"/>
    </xf>
    <xf numFmtId="0" fontId="3" fillId="3" borderId="11" xfId="0" applyFont="1" applyFill="1" applyBorder="1" applyAlignment="1" applyProtection="1">
      <alignment horizontal="center"/>
      <protection locked="0"/>
    </xf>
    <xf numFmtId="0" fontId="3" fillId="2" borderId="14" xfId="0" applyFon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7" fillId="2" borderId="0" xfId="0" applyFont="1" applyFill="1" applyProtection="1">
      <protection locked="0"/>
    </xf>
    <xf numFmtId="0" fontId="3" fillId="3" borderId="3" xfId="0" applyFont="1" applyFill="1" applyBorder="1" applyAlignment="1" applyProtection="1">
      <alignment horizontal="left"/>
      <protection locked="0"/>
    </xf>
    <xf numFmtId="171" fontId="0" fillId="2" borderId="2" xfId="0" applyNumberFormat="1" applyFill="1" applyBorder="1" applyAlignment="1" applyProtection="1">
      <alignment horizontal="center"/>
      <protection locked="0"/>
    </xf>
    <xf numFmtId="0" fontId="2" fillId="4" borderId="4" xfId="0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168" fontId="0" fillId="4" borderId="1" xfId="0" applyNumberFormat="1" applyFill="1" applyBorder="1" applyAlignment="1" applyProtection="1">
      <alignment horizontal="center"/>
      <protection locked="0"/>
    </xf>
    <xf numFmtId="167" fontId="0" fillId="4" borderId="5" xfId="0" applyNumberFormat="1" applyFill="1" applyBorder="1" applyAlignment="1" applyProtection="1">
      <alignment horizontal="center"/>
      <protection locked="0"/>
    </xf>
    <xf numFmtId="0" fontId="0" fillId="7" borderId="0" xfId="0" applyFill="1" applyProtection="1">
      <protection locked="0"/>
    </xf>
    <xf numFmtId="168" fontId="0" fillId="4" borderId="3" xfId="0" applyNumberFormat="1" applyFill="1" applyBorder="1" applyAlignment="1" applyProtection="1">
      <alignment horizontal="center"/>
      <protection locked="0"/>
    </xf>
    <xf numFmtId="167" fontId="2" fillId="4" borderId="5" xfId="0" applyNumberFormat="1" applyFont="1" applyFill="1" applyBorder="1" applyAlignment="1" applyProtection="1">
      <alignment horizontal="center"/>
      <protection locked="0"/>
    </xf>
    <xf numFmtId="9" fontId="0" fillId="7" borderId="3" xfId="0" applyNumberFormat="1" applyFill="1" applyBorder="1" applyAlignment="1" applyProtection="1">
      <alignment horizontal="center"/>
      <protection locked="0"/>
    </xf>
    <xf numFmtId="0" fontId="8" fillId="2" borderId="6" xfId="0" applyFont="1" applyFill="1" applyBorder="1" applyProtection="1">
      <protection locked="0"/>
    </xf>
    <xf numFmtId="168" fontId="2" fillId="4" borderId="3" xfId="0" applyNumberFormat="1" applyFont="1" applyFill="1" applyBorder="1" applyAlignment="1" applyProtection="1">
      <alignment horizontal="center"/>
      <protection locked="0"/>
    </xf>
    <xf numFmtId="167" fontId="2" fillId="4" borderId="3" xfId="0" applyNumberFormat="1" applyFont="1" applyFill="1" applyBorder="1" applyAlignment="1" applyProtection="1">
      <alignment horizontal="center"/>
      <protection locked="0"/>
    </xf>
    <xf numFmtId="4" fontId="0" fillId="7" borderId="10" xfId="0" applyNumberFormat="1" applyFill="1" applyBorder="1" applyAlignment="1" applyProtection="1">
      <alignment horizontal="center"/>
      <protection locked="0"/>
    </xf>
    <xf numFmtId="167" fontId="11" fillId="2" borderId="2" xfId="0" applyNumberFormat="1" applyFont="1" applyFill="1" applyBorder="1" applyAlignment="1" applyProtection="1">
      <alignment horizontal="center"/>
      <protection locked="0"/>
    </xf>
    <xf numFmtId="10" fontId="0" fillId="2" borderId="3" xfId="0" applyNumberFormat="1" applyFill="1" applyBorder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13" fillId="3" borderId="5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167" fontId="2" fillId="3" borderId="3" xfId="0" applyNumberFormat="1" applyFont="1" applyFill="1" applyBorder="1" applyAlignment="1" applyProtection="1">
      <alignment horizontal="center"/>
      <protection locked="0"/>
    </xf>
    <xf numFmtId="167" fontId="15" fillId="2" borderId="0" xfId="0" applyNumberFormat="1" applyFont="1" applyFill="1" applyAlignment="1" applyProtection="1">
      <alignment horizontal="center"/>
      <protection locked="0"/>
    </xf>
    <xf numFmtId="176" fontId="0" fillId="2" borderId="0" xfId="0" applyNumberFormat="1" applyFill="1"/>
    <xf numFmtId="177" fontId="0" fillId="2" borderId="0" xfId="0" applyNumberFormat="1" applyFill="1"/>
    <xf numFmtId="0" fontId="17" fillId="0" borderId="0" xfId="0" applyFont="1" applyProtection="1">
      <protection locked="0"/>
    </xf>
    <xf numFmtId="0" fontId="18" fillId="2" borderId="0" xfId="0" applyFont="1" applyFill="1" applyAlignment="1" applyProtection="1">
      <alignment horizontal="center"/>
      <protection locked="0"/>
    </xf>
    <xf numFmtId="167" fontId="18" fillId="2" borderId="0" xfId="0" applyNumberFormat="1" applyFont="1" applyFill="1" applyAlignment="1" applyProtection="1">
      <alignment horizontal="center"/>
      <protection locked="0"/>
    </xf>
    <xf numFmtId="0" fontId="0" fillId="0" borderId="0" xfId="0" applyAlignment="1" applyProtection="1">
      <alignment vertical="center" wrapText="1"/>
      <protection locked="0"/>
    </xf>
    <xf numFmtId="179" fontId="0" fillId="2" borderId="0" xfId="0" applyNumberFormat="1" applyFill="1" applyAlignment="1" applyProtection="1">
      <alignment horizontal="center"/>
      <protection locked="0"/>
    </xf>
    <xf numFmtId="0" fontId="15" fillId="3" borderId="3" xfId="0" applyFont="1" applyFill="1" applyBorder="1" applyAlignment="1" applyProtection="1">
      <alignment horizontal="center" vertical="center" wrapText="1"/>
      <protection locked="0"/>
    </xf>
    <xf numFmtId="0" fontId="0" fillId="3" borderId="5" xfId="0" applyFill="1" applyBorder="1" applyProtection="1">
      <protection locked="0"/>
    </xf>
    <xf numFmtId="0" fontId="2" fillId="3" borderId="12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10" fontId="0" fillId="2" borderId="0" xfId="0" applyNumberFormat="1" applyFill="1" applyProtection="1">
      <protection locked="0"/>
    </xf>
    <xf numFmtId="164" fontId="0" fillId="2" borderId="0" xfId="3" applyFont="1" applyFill="1" applyAlignment="1" applyProtection="1">
      <alignment horizontal="center"/>
      <protection locked="0"/>
    </xf>
    <xf numFmtId="10" fontId="0" fillId="3" borderId="3" xfId="0" applyNumberFormat="1" applyFill="1" applyBorder="1" applyAlignment="1" applyProtection="1">
      <alignment horizontal="center"/>
      <protection locked="0"/>
    </xf>
    <xf numFmtId="164" fontId="0" fillId="2" borderId="0" xfId="3" applyFont="1" applyFill="1" applyAlignment="1" applyProtection="1">
      <alignment horizontal="right" wrapText="1"/>
      <protection locked="0"/>
    </xf>
    <xf numFmtId="166" fontId="0" fillId="2" borderId="0" xfId="4" applyNumberFormat="1" applyFont="1" applyFill="1" applyAlignment="1" applyProtection="1">
      <alignment horizontal="right"/>
      <protection locked="0"/>
    </xf>
    <xf numFmtId="0" fontId="0" fillId="2" borderId="0" xfId="0" applyFill="1" applyAlignment="1" applyProtection="1">
      <alignment horizontal="right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178" fontId="0" fillId="2" borderId="3" xfId="0" applyNumberFormat="1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left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15" xfId="0" applyFont="1" applyFill="1" applyBorder="1" applyAlignment="1" applyProtection="1">
      <alignment horizontal="left" vertical="center" wrapText="1"/>
      <protection locked="0"/>
    </xf>
    <xf numFmtId="0" fontId="1" fillId="2" borderId="13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167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7" fontId="1" fillId="7" borderId="7" xfId="0" applyNumberFormat="1" applyFont="1" applyFill="1" applyBorder="1" applyAlignment="1" applyProtection="1">
      <alignment horizontal="center"/>
      <protection locked="0"/>
    </xf>
    <xf numFmtId="0" fontId="1" fillId="7" borderId="11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1" fillId="2" borderId="0" xfId="0" applyFont="1" applyFill="1" applyAlignment="1" applyProtection="1">
      <alignment horizontal="center"/>
      <protection locked="0"/>
    </xf>
    <xf numFmtId="167" fontId="1" fillId="7" borderId="0" xfId="0" applyNumberFormat="1" applyFont="1" applyFill="1" applyAlignment="1" applyProtection="1">
      <alignment horizontal="center"/>
      <protection locked="0"/>
    </xf>
    <xf numFmtId="0" fontId="1" fillId="3" borderId="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left"/>
      <protection locked="0"/>
    </xf>
    <xf numFmtId="0" fontId="1" fillId="2" borderId="6" xfId="0" applyFont="1" applyFill="1" applyBorder="1" applyAlignment="1" applyProtection="1">
      <alignment horizontal="left"/>
      <protection locked="0"/>
    </xf>
    <xf numFmtId="0" fontId="1" fillId="2" borderId="2" xfId="0" applyFont="1" applyFill="1" applyBorder="1" applyProtection="1">
      <protection locked="0"/>
    </xf>
    <xf numFmtId="0" fontId="1" fillId="0" borderId="0" xfId="0" applyFont="1"/>
    <xf numFmtId="0" fontId="1" fillId="3" borderId="3" xfId="0" applyFont="1" applyFill="1" applyBorder="1" applyAlignment="1" applyProtection="1">
      <alignment vertical="center" wrapText="1"/>
      <protection locked="0"/>
    </xf>
    <xf numFmtId="10" fontId="1" fillId="4" borderId="1" xfId="0" applyNumberFormat="1" applyFont="1" applyFill="1" applyBorder="1" applyProtection="1">
      <protection locked="0"/>
    </xf>
    <xf numFmtId="0" fontId="1" fillId="3" borderId="4" xfId="0" applyFont="1" applyFill="1" applyBorder="1" applyAlignment="1" applyProtection="1">
      <alignment vertical="center" wrapText="1"/>
      <protection locked="0"/>
    </xf>
    <xf numFmtId="0" fontId="1" fillId="3" borderId="11" xfId="0" applyFont="1" applyFill="1" applyBorder="1" applyAlignment="1" applyProtection="1">
      <alignment vertical="center" wrapText="1"/>
      <protection locked="0"/>
    </xf>
    <xf numFmtId="10" fontId="1" fillId="2" borderId="0" xfId="0" applyNumberFormat="1" applyFont="1" applyFill="1" applyProtection="1">
      <protection locked="0"/>
    </xf>
    <xf numFmtId="169" fontId="1" fillId="2" borderId="0" xfId="0" applyNumberFormat="1" applyFont="1" applyFill="1" applyProtection="1">
      <protection locked="0"/>
    </xf>
    <xf numFmtId="0" fontId="1" fillId="2" borderId="6" xfId="0" applyFont="1" applyFill="1" applyBorder="1" applyProtection="1">
      <protection locked="0"/>
    </xf>
    <xf numFmtId="170" fontId="1" fillId="2" borderId="0" xfId="0" applyNumberFormat="1" applyFont="1" applyFill="1" applyAlignment="1" applyProtection="1">
      <alignment vertical="center" wrapText="1"/>
      <protection locked="0"/>
    </xf>
    <xf numFmtId="0" fontId="1" fillId="7" borderId="0" xfId="0" applyFont="1" applyFill="1" applyProtection="1">
      <protection locked="0"/>
    </xf>
    <xf numFmtId="167" fontId="1" fillId="2" borderId="0" xfId="0" applyNumberFormat="1" applyFont="1" applyFill="1" applyProtection="1">
      <protection locked="0"/>
    </xf>
    <xf numFmtId="167" fontId="1" fillId="7" borderId="0" xfId="0" applyNumberFormat="1" applyFont="1" applyFill="1" applyProtection="1">
      <protection locked="0"/>
    </xf>
    <xf numFmtId="4" fontId="1" fillId="7" borderId="0" xfId="0" applyNumberFormat="1" applyFont="1" applyFill="1" applyProtection="1">
      <protection locked="0"/>
    </xf>
    <xf numFmtId="4" fontId="1" fillId="7" borderId="10" xfId="0" applyNumberFormat="1" applyFont="1" applyFill="1" applyBorder="1" applyProtection="1">
      <protection locked="0"/>
    </xf>
    <xf numFmtId="1" fontId="1" fillId="2" borderId="7" xfId="0" applyNumberFormat="1" applyFont="1" applyFill="1" applyBorder="1" applyProtection="1">
      <protection locked="0"/>
    </xf>
    <xf numFmtId="10" fontId="11" fillId="2" borderId="0" xfId="0" applyNumberFormat="1" applyFont="1" applyFill="1" applyProtection="1">
      <protection locked="0"/>
    </xf>
    <xf numFmtId="167" fontId="1" fillId="7" borderId="10" xfId="0" applyNumberFormat="1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1" fillId="2" borderId="11" xfId="0" applyFont="1" applyFill="1" applyBorder="1" applyProtection="1">
      <protection locked="0"/>
    </xf>
    <xf numFmtId="167" fontId="1" fillId="2" borderId="7" xfId="0" applyNumberFormat="1" applyFont="1" applyFill="1" applyBorder="1" applyProtection="1">
      <protection locked="0"/>
    </xf>
    <xf numFmtId="167" fontId="1" fillId="7" borderId="7" xfId="0" applyNumberFormat="1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3" borderId="4" xfId="0" applyFont="1" applyFill="1" applyBorder="1"/>
    <xf numFmtId="0" fontId="1" fillId="3" borderId="1" xfId="0" applyFont="1" applyFill="1" applyBorder="1"/>
    <xf numFmtId="0" fontId="1" fillId="3" borderId="5" xfId="0" applyFont="1" applyFill="1" applyBorder="1"/>
    <xf numFmtId="0" fontId="1" fillId="2" borderId="0" xfId="0" applyFont="1" applyFill="1"/>
    <xf numFmtId="10" fontId="1" fillId="2" borderId="5" xfId="3" applyNumberFormat="1" applyFont="1" applyFill="1" applyBorder="1" applyAlignment="1">
      <alignment vertical="center"/>
    </xf>
    <xf numFmtId="10" fontId="1" fillId="2" borderId="3" xfId="0" applyNumberFormat="1" applyFont="1" applyFill="1" applyBorder="1" applyAlignment="1">
      <alignment vertical="center"/>
    </xf>
    <xf numFmtId="10" fontId="1" fillId="2" borderId="8" xfId="0" applyNumberFormat="1" applyFont="1" applyFill="1" applyBorder="1" applyAlignment="1">
      <alignment vertical="center"/>
    </xf>
    <xf numFmtId="10" fontId="1" fillId="2" borderId="5" xfId="0" applyNumberFormat="1" applyFont="1" applyFill="1" applyBorder="1" applyAlignment="1">
      <alignment vertical="center"/>
    </xf>
    <xf numFmtId="10" fontId="1" fillId="2" borderId="9" xfId="0" applyNumberFormat="1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1" fillId="2" borderId="4" xfId="0" applyFont="1" applyFill="1" applyBorder="1"/>
    <xf numFmtId="0" fontId="1" fillId="6" borderId="3" xfId="0" applyFont="1" applyFill="1" applyBorder="1" applyAlignment="1" applyProtection="1">
      <alignment vertical="center" wrapText="1"/>
      <protection locked="0"/>
    </xf>
    <xf numFmtId="0" fontId="1" fillId="0" borderId="0" xfId="0" applyFont="1" applyProtection="1">
      <protection locked="0"/>
    </xf>
    <xf numFmtId="0" fontId="1" fillId="5" borderId="12" xfId="0" applyFont="1" applyFill="1" applyBorder="1" applyAlignment="1" applyProtection="1">
      <alignment vertical="center" wrapText="1"/>
      <protection locked="0"/>
    </xf>
    <xf numFmtId="167" fontId="1" fillId="2" borderId="11" xfId="0" applyNumberFormat="1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167" fontId="1" fillId="2" borderId="10" xfId="0" applyNumberFormat="1" applyFont="1" applyFill="1" applyBorder="1" applyProtection="1"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1" fillId="3" borderId="3" xfId="0" applyFont="1" applyFill="1" applyBorder="1"/>
    <xf numFmtId="0" fontId="1" fillId="2" borderId="13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Alignment="1" applyProtection="1">
      <alignment vertical="center" wrapText="1"/>
      <protection locked="0"/>
    </xf>
    <xf numFmtId="10" fontId="1" fillId="7" borderId="3" xfId="3" applyNumberFormat="1" applyFont="1" applyFill="1" applyBorder="1" applyAlignment="1">
      <alignment vertical="center"/>
    </xf>
    <xf numFmtId="10" fontId="1" fillId="7" borderId="7" xfId="3" applyNumberFormat="1" applyFont="1" applyFill="1" applyBorder="1" applyAlignment="1">
      <alignment vertical="center"/>
    </xf>
    <xf numFmtId="10" fontId="1" fillId="7" borderId="3" xfId="0" applyNumberFormat="1" applyFont="1" applyFill="1" applyBorder="1" applyAlignment="1">
      <alignment vertical="center"/>
    </xf>
    <xf numFmtId="10" fontId="1" fillId="7" borderId="8" xfId="0" applyNumberFormat="1" applyFont="1" applyFill="1" applyBorder="1" applyAlignment="1">
      <alignment vertical="center"/>
    </xf>
    <xf numFmtId="167" fontId="1" fillId="7" borderId="3" xfId="0" applyNumberFormat="1" applyFont="1" applyFill="1" applyBorder="1"/>
    <xf numFmtId="167" fontId="1" fillId="7" borderId="12" xfId="0" applyNumberFormat="1" applyFont="1" applyFill="1" applyBorder="1"/>
    <xf numFmtId="0" fontId="2" fillId="0" borderId="0" xfId="0" applyFont="1"/>
    <xf numFmtId="0" fontId="1" fillId="3" borderId="15" xfId="0" applyFont="1" applyFill="1" applyBorder="1" applyAlignment="1" applyProtection="1">
      <alignment horizontal="center" vertical="center" wrapText="1"/>
      <protection locked="0"/>
    </xf>
    <xf numFmtId="0" fontId="1" fillId="4" borderId="11" xfId="0" applyFont="1" applyFill="1" applyBorder="1" applyAlignment="1" applyProtection="1">
      <alignment horizontal="center" vertical="center" wrapText="1"/>
      <protection locked="0"/>
    </xf>
    <xf numFmtId="167" fontId="1" fillId="4" borderId="10" xfId="0" applyNumberFormat="1" applyFont="1" applyFill="1" applyBorder="1" applyAlignment="1" applyProtection="1">
      <alignment horizontal="right"/>
      <protection locked="0"/>
    </xf>
    <xf numFmtId="2" fontId="1" fillId="2" borderId="0" xfId="0" applyNumberFormat="1" applyFont="1" applyFill="1" applyAlignment="1" applyProtection="1">
      <alignment horizontal="center"/>
      <protection locked="0"/>
    </xf>
    <xf numFmtId="167" fontId="1" fillId="7" borderId="0" xfId="0" applyNumberFormat="1" applyFont="1" applyFill="1" applyAlignment="1" applyProtection="1">
      <alignment horizontal="right"/>
      <protection locked="0"/>
    </xf>
    <xf numFmtId="168" fontId="1" fillId="2" borderId="0" xfId="0" applyNumberFormat="1" applyFont="1" applyFill="1" applyAlignment="1" applyProtection="1">
      <alignment horizontal="right"/>
      <protection locked="0"/>
    </xf>
    <xf numFmtId="173" fontId="1" fillId="7" borderId="0" xfId="0" applyNumberFormat="1" applyFont="1" applyFill="1" applyAlignment="1" applyProtection="1">
      <alignment horizontal="right"/>
      <protection locked="0"/>
    </xf>
    <xf numFmtId="167" fontId="1" fillId="4" borderId="10" xfId="0" applyNumberFormat="1" applyFont="1" applyFill="1" applyBorder="1" applyAlignment="1" applyProtection="1">
      <alignment horizontal="center"/>
      <protection locked="0"/>
    </xf>
    <xf numFmtId="168" fontId="1" fillId="2" borderId="0" xfId="0" applyNumberFormat="1" applyFont="1" applyFill="1" applyAlignment="1" applyProtection="1">
      <alignment horizontal="center"/>
      <protection locked="0"/>
    </xf>
    <xf numFmtId="168" fontId="1" fillId="7" borderId="1" xfId="0" applyNumberFormat="1" applyFont="1" applyFill="1" applyBorder="1" applyAlignment="1" applyProtection="1">
      <alignment horizontal="center"/>
      <protection locked="0"/>
    </xf>
    <xf numFmtId="168" fontId="1" fillId="2" borderId="1" xfId="0" applyNumberFormat="1" applyFont="1" applyFill="1" applyBorder="1" applyAlignment="1" applyProtection="1">
      <alignment horizontal="center"/>
      <protection locked="0"/>
    </xf>
    <xf numFmtId="167" fontId="1" fillId="7" borderId="1" xfId="0" applyNumberFormat="1" applyFont="1" applyFill="1" applyBorder="1" applyAlignment="1" applyProtection="1">
      <alignment horizontal="center"/>
      <protection locked="0"/>
    </xf>
    <xf numFmtId="4" fontId="1" fillId="2" borderId="0" xfId="0" applyNumberFormat="1" applyFont="1" applyFill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left"/>
      <protection locked="0"/>
    </xf>
    <xf numFmtId="174" fontId="1" fillId="2" borderId="0" xfId="0" applyNumberFormat="1" applyFont="1" applyFill="1" applyProtection="1"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7" borderId="14" xfId="0" applyFont="1" applyFill="1" applyBorder="1" applyAlignment="1" applyProtection="1">
      <alignment horizontal="left"/>
      <protection locked="0"/>
    </xf>
    <xf numFmtId="0" fontId="1" fillId="7" borderId="15" xfId="0" applyFont="1" applyFill="1" applyBorder="1" applyProtection="1">
      <protection locked="0"/>
    </xf>
    <xf numFmtId="0" fontId="1" fillId="7" borderId="14" xfId="0" applyFont="1" applyFill="1" applyBorder="1" applyProtection="1">
      <protection locked="0"/>
    </xf>
    <xf numFmtId="0" fontId="1" fillId="7" borderId="8" xfId="0" applyFont="1" applyFill="1" applyBorder="1" applyProtection="1">
      <protection locked="0"/>
    </xf>
    <xf numFmtId="167" fontId="1" fillId="7" borderId="3" xfId="0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7" xfId="0" applyFont="1" applyFill="1" applyBorder="1" applyAlignment="1" applyProtection="1">
      <alignment horizontal="left"/>
      <protection locked="0"/>
    </xf>
    <xf numFmtId="168" fontId="1" fillId="2" borderId="10" xfId="0" applyNumberFormat="1" applyFont="1" applyFill="1" applyBorder="1" applyAlignment="1" applyProtection="1">
      <alignment horizontal="center"/>
      <protection locked="0"/>
    </xf>
    <xf numFmtId="3" fontId="1" fillId="2" borderId="10" xfId="0" applyNumberFormat="1" applyFont="1" applyFill="1" applyBorder="1" applyAlignment="1" applyProtection="1">
      <alignment horizontal="center"/>
      <protection locked="0"/>
    </xf>
    <xf numFmtId="172" fontId="1" fillId="7" borderId="7" xfId="0" applyNumberFormat="1" applyFont="1" applyFill="1" applyBorder="1" applyAlignment="1" applyProtection="1">
      <alignment horizontal="center"/>
      <protection locked="0"/>
    </xf>
    <xf numFmtId="168" fontId="1" fillId="2" borderId="12" xfId="0" applyNumberFormat="1" applyFont="1" applyFill="1" applyBorder="1" applyAlignment="1" applyProtection="1">
      <alignment horizontal="center"/>
      <protection locked="0"/>
    </xf>
    <xf numFmtId="3" fontId="1" fillId="2" borderId="12" xfId="0" applyNumberFormat="1" applyFont="1" applyFill="1" applyBorder="1" applyAlignment="1" applyProtection="1">
      <alignment horizontal="center"/>
      <protection locked="0"/>
    </xf>
    <xf numFmtId="167" fontId="1" fillId="7" borderId="9" xfId="0" applyNumberFormat="1" applyFont="1" applyFill="1" applyBorder="1" applyAlignment="1" applyProtection="1">
      <alignment horizontal="center"/>
      <protection locked="0"/>
    </xf>
    <xf numFmtId="0" fontId="1" fillId="7" borderId="15" xfId="0" applyFont="1" applyFill="1" applyBorder="1" applyAlignment="1" applyProtection="1">
      <alignment horizontal="left"/>
      <protection locked="0"/>
    </xf>
    <xf numFmtId="0" fontId="1" fillId="2" borderId="13" xfId="0" applyFont="1" applyFill="1" applyBorder="1" applyAlignment="1" applyProtection="1">
      <alignment horizontal="center"/>
      <protection locked="0"/>
    </xf>
    <xf numFmtId="0" fontId="1" fillId="2" borderId="13" xfId="0" applyFont="1" applyFill="1" applyBorder="1" applyAlignment="1" applyProtection="1">
      <alignment horizontal="left"/>
      <protection locked="0"/>
    </xf>
    <xf numFmtId="0" fontId="1" fillId="2" borderId="2" xfId="0" applyFont="1" applyFill="1" applyBorder="1" applyAlignment="1" applyProtection="1">
      <alignment horizontal="left"/>
      <protection locked="0"/>
    </xf>
    <xf numFmtId="0" fontId="1" fillId="2" borderId="9" xfId="0" applyFont="1" applyFill="1" applyBorder="1" applyAlignment="1" applyProtection="1">
      <alignment horizontal="left"/>
      <protection locked="0"/>
    </xf>
    <xf numFmtId="0" fontId="1" fillId="0" borderId="1" xfId="0" applyFont="1" applyBorder="1"/>
    <xf numFmtId="167" fontId="0" fillId="4" borderId="15" xfId="0" applyNumberFormat="1" applyFill="1" applyBorder="1" applyAlignment="1" applyProtection="1">
      <alignment horizontal="center"/>
      <protection locked="0"/>
    </xf>
    <xf numFmtId="167" fontId="0" fillId="4" borderId="11" xfId="0" applyNumberFormat="1" applyFill="1" applyBorder="1" applyAlignment="1" applyProtection="1">
      <alignment horizontal="center"/>
      <protection locked="0"/>
    </xf>
    <xf numFmtId="167" fontId="0" fillId="4" borderId="4" xfId="0" applyNumberFormat="1" applyFill="1" applyBorder="1" applyAlignment="1" applyProtection="1">
      <alignment horizontal="center"/>
      <protection locked="0"/>
    </xf>
    <xf numFmtId="167" fontId="0" fillId="4" borderId="3" xfId="0" applyNumberFormat="1" applyFill="1" applyBorder="1" applyAlignment="1" applyProtection="1">
      <alignment horizontal="center"/>
      <protection locked="0"/>
    </xf>
    <xf numFmtId="168" fontId="0" fillId="4" borderId="0" xfId="0" applyNumberFormat="1" applyFill="1" applyAlignment="1" applyProtection="1">
      <alignment horizontal="center"/>
      <protection locked="0"/>
    </xf>
    <xf numFmtId="167" fontId="0" fillId="4" borderId="0" xfId="0" applyNumberFormat="1" applyFill="1" applyAlignment="1" applyProtection="1">
      <alignment horizontal="center"/>
      <protection locked="0"/>
    </xf>
    <xf numFmtId="167" fontId="0" fillId="4" borderId="7" xfId="0" applyNumberFormat="1" applyFill="1" applyBorder="1" applyAlignment="1" applyProtection="1">
      <alignment horizontal="center"/>
      <protection locked="0"/>
    </xf>
    <xf numFmtId="170" fontId="1" fillId="0" borderId="0" xfId="0" applyNumberFormat="1" applyFont="1" applyAlignment="1" applyProtection="1">
      <alignment vertical="center" wrapText="1"/>
      <protection locked="0"/>
    </xf>
    <xf numFmtId="167" fontId="1" fillId="0" borderId="0" xfId="0" applyNumberFormat="1" applyFont="1" applyProtection="1">
      <protection locked="0"/>
    </xf>
    <xf numFmtId="4" fontId="1" fillId="0" borderId="0" xfId="0" applyNumberFormat="1" applyFont="1" applyProtection="1">
      <protection locked="0"/>
    </xf>
    <xf numFmtId="1" fontId="1" fillId="0" borderId="0" xfId="0" applyNumberFormat="1" applyFont="1" applyProtection="1">
      <protection locked="0"/>
    </xf>
    <xf numFmtId="10" fontId="11" fillId="0" borderId="0" xfId="0" applyNumberFormat="1" applyFont="1" applyProtection="1">
      <protection locked="0"/>
    </xf>
    <xf numFmtId="0" fontId="11" fillId="0" borderId="0" xfId="0" applyFont="1" applyProtection="1">
      <protection locked="0"/>
    </xf>
    <xf numFmtId="10" fontId="0" fillId="0" borderId="3" xfId="0" applyNumberFormat="1" applyBorder="1" applyAlignment="1" applyProtection="1">
      <alignment horizontal="center"/>
      <protection locked="0"/>
    </xf>
    <xf numFmtId="167" fontId="2" fillId="0" borderId="3" xfId="0" applyNumberFormat="1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10" fontId="0" fillId="0" borderId="0" xfId="0" applyNumberFormat="1" applyAlignment="1" applyProtection="1">
      <alignment horizontal="center"/>
      <protection locked="0"/>
    </xf>
    <xf numFmtId="175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Protection="1">
      <protection locked="0"/>
    </xf>
    <xf numFmtId="0" fontId="23" fillId="0" borderId="0" xfId="0" applyFont="1"/>
    <xf numFmtId="0" fontId="24" fillId="0" borderId="0" xfId="0" applyFont="1"/>
    <xf numFmtId="0" fontId="30" fillId="8" borderId="0" xfId="0" applyFont="1" applyFill="1"/>
    <xf numFmtId="0" fontId="31" fillId="8" borderId="0" xfId="0" applyFont="1" applyFill="1"/>
    <xf numFmtId="0" fontId="1" fillId="3" borderId="3" xfId="0" applyFont="1" applyFill="1" applyBorder="1" applyProtection="1">
      <protection locked="0"/>
    </xf>
    <xf numFmtId="0" fontId="32" fillId="9" borderId="0" xfId="0" applyFont="1" applyFill="1"/>
    <xf numFmtId="0" fontId="31" fillId="9" borderId="0" xfId="0" applyFont="1" applyFill="1"/>
    <xf numFmtId="0" fontId="33" fillId="9" borderId="0" xfId="0" applyFont="1" applyFill="1"/>
    <xf numFmtId="0" fontId="31" fillId="2" borderId="0" xfId="0" applyFont="1" applyFill="1"/>
    <xf numFmtId="0" fontId="30" fillId="9" borderId="0" xfId="0" applyFont="1" applyFill="1" applyProtection="1">
      <protection locked="0"/>
    </xf>
    <xf numFmtId="0" fontId="31" fillId="9" borderId="0" xfId="0" applyFont="1" applyFill="1" applyProtection="1">
      <protection locked="0"/>
    </xf>
    <xf numFmtId="0" fontId="0" fillId="9" borderId="0" xfId="0" applyFill="1" applyAlignment="1" applyProtection="1">
      <alignment horizontal="center"/>
      <protection locked="0"/>
    </xf>
    <xf numFmtId="167" fontId="29" fillId="10" borderId="3" xfId="3" applyNumberFormat="1" applyFont="1" applyFill="1" applyBorder="1" applyAlignment="1" applyProtection="1">
      <alignment horizontal="right" wrapText="1"/>
      <protection locked="0"/>
    </xf>
    <xf numFmtId="164" fontId="29" fillId="10" borderId="3" xfId="3" applyFont="1" applyFill="1" applyBorder="1" applyAlignment="1" applyProtection="1">
      <alignment horizontal="right" wrapText="1"/>
      <protection locked="0"/>
    </xf>
    <xf numFmtId="164" fontId="34" fillId="8" borderId="3" xfId="3" applyFont="1" applyFill="1" applyBorder="1" applyAlignment="1" applyProtection="1">
      <alignment horizontal="right" wrapText="1"/>
      <protection locked="0"/>
    </xf>
    <xf numFmtId="166" fontId="34" fillId="8" borderId="3" xfId="4" applyNumberFormat="1" applyFont="1" applyFill="1" applyBorder="1" applyAlignment="1" applyProtection="1">
      <alignment horizontal="right"/>
      <protection locked="0"/>
    </xf>
    <xf numFmtId="167" fontId="34" fillId="8" borderId="3" xfId="3" applyNumberFormat="1" applyFont="1" applyFill="1" applyBorder="1" applyAlignment="1" applyProtection="1">
      <alignment horizontal="right" wrapText="1"/>
      <protection locked="0"/>
    </xf>
    <xf numFmtId="0" fontId="0" fillId="2" borderId="16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8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2" borderId="20" xfId="0" applyFill="1" applyBorder="1" applyProtection="1">
      <protection locked="0"/>
    </xf>
    <xf numFmtId="0" fontId="0" fillId="10" borderId="20" xfId="0" applyFill="1" applyBorder="1" applyAlignment="1" applyProtection="1">
      <alignment horizontal="left"/>
      <protection locked="0"/>
    </xf>
    <xf numFmtId="0" fontId="0" fillId="10" borderId="0" xfId="0" applyFill="1" applyAlignment="1" applyProtection="1">
      <alignment horizontal="left"/>
      <protection locked="0"/>
    </xf>
    <xf numFmtId="0" fontId="0" fillId="10" borderId="0" xfId="0" applyFill="1" applyAlignment="1" applyProtection="1">
      <alignment horizontal="left" wrapText="1"/>
      <protection locked="0"/>
    </xf>
    <xf numFmtId="1" fontId="0" fillId="10" borderId="0" xfId="0" applyNumberFormat="1" applyFill="1" applyAlignment="1" applyProtection="1">
      <alignment horizontal="left"/>
      <protection locked="0"/>
    </xf>
    <xf numFmtId="0" fontId="0" fillId="10" borderId="20" xfId="0" applyFill="1" applyBorder="1" applyProtection="1">
      <protection locked="0"/>
    </xf>
    <xf numFmtId="0" fontId="0" fillId="10" borderId="0" xfId="0" applyFill="1" applyProtection="1">
      <protection locked="0"/>
    </xf>
    <xf numFmtId="0" fontId="21" fillId="10" borderId="21" xfId="0" applyFont="1" applyFill="1" applyBorder="1" applyAlignment="1" applyProtection="1">
      <alignment horizontal="left" wrapText="1"/>
      <protection locked="0"/>
    </xf>
    <xf numFmtId="166" fontId="29" fillId="10" borderId="0" xfId="4" applyNumberFormat="1" applyFont="1" applyFill="1" applyBorder="1" applyAlignment="1" applyProtection="1">
      <alignment horizontal="right"/>
      <protection locked="0"/>
    </xf>
    <xf numFmtId="0" fontId="0" fillId="10" borderId="20" xfId="0" applyFill="1" applyBorder="1" applyAlignment="1" applyProtection="1">
      <alignment horizontal="left" wrapText="1"/>
      <protection locked="0"/>
    </xf>
    <xf numFmtId="164" fontId="29" fillId="10" borderId="0" xfId="3" applyFont="1" applyFill="1" applyBorder="1" applyAlignment="1" applyProtection="1">
      <alignment horizontal="right" wrapText="1"/>
      <protection locked="0"/>
    </xf>
    <xf numFmtId="0" fontId="0" fillId="10" borderId="21" xfId="0" applyFill="1" applyBorder="1" applyAlignment="1" applyProtection="1">
      <alignment horizontal="left" wrapText="1"/>
      <protection locked="0"/>
    </xf>
    <xf numFmtId="0" fontId="34" fillId="8" borderId="21" xfId="0" applyFont="1" applyFill="1" applyBorder="1" applyAlignment="1" applyProtection="1">
      <alignment horizontal="left" wrapText="1"/>
      <protection locked="0"/>
    </xf>
    <xf numFmtId="180" fontId="29" fillId="10" borderId="0" xfId="3" applyNumberFormat="1" applyFont="1" applyFill="1" applyBorder="1" applyAlignment="1" applyProtection="1">
      <alignment horizontal="right" wrapText="1"/>
      <protection locked="0"/>
    </xf>
    <xf numFmtId="0" fontId="0" fillId="2" borderId="22" xfId="0" applyFill="1" applyBorder="1" applyProtection="1">
      <protection locked="0"/>
    </xf>
    <xf numFmtId="0" fontId="0" fillId="2" borderId="23" xfId="0" applyFill="1" applyBorder="1" applyProtection="1">
      <protection locked="0"/>
    </xf>
    <xf numFmtId="0" fontId="0" fillId="2" borderId="24" xfId="0" applyFill="1" applyBorder="1" applyProtection="1">
      <protection locked="0"/>
    </xf>
    <xf numFmtId="0" fontId="35" fillId="8" borderId="20" xfId="0" applyFont="1" applyFill="1" applyBorder="1" applyProtection="1">
      <protection locked="0"/>
    </xf>
    <xf numFmtId="0" fontId="2" fillId="2" borderId="3" xfId="0" applyFont="1" applyFill="1" applyBorder="1" applyAlignment="1">
      <alignment horizontal="center" vertical="center"/>
    </xf>
    <xf numFmtId="0" fontId="23" fillId="4" borderId="25" xfId="0" applyFont="1" applyFill="1" applyBorder="1"/>
    <xf numFmtId="0" fontId="1" fillId="4" borderId="26" xfId="0" applyFont="1" applyFill="1" applyBorder="1"/>
    <xf numFmtId="0" fontId="1" fillId="4" borderId="27" xfId="0" applyFont="1" applyFill="1" applyBorder="1"/>
    <xf numFmtId="0" fontId="13" fillId="4" borderId="28" xfId="0" applyFont="1" applyFill="1" applyBorder="1"/>
    <xf numFmtId="0" fontId="1" fillId="4" borderId="0" xfId="0" applyFont="1" applyFill="1"/>
    <xf numFmtId="0" fontId="1" fillId="4" borderId="29" xfId="0" applyFont="1" applyFill="1" applyBorder="1"/>
    <xf numFmtId="0" fontId="11" fillId="4" borderId="28" xfId="0" applyFont="1" applyFill="1" applyBorder="1"/>
    <xf numFmtId="0" fontId="25" fillId="4" borderId="28" xfId="0" applyFont="1" applyFill="1" applyBorder="1"/>
    <xf numFmtId="0" fontId="0" fillId="4" borderId="0" xfId="0" applyFill="1"/>
    <xf numFmtId="0" fontId="0" fillId="4" borderId="29" xfId="0" applyFill="1" applyBorder="1"/>
    <xf numFmtId="0" fontId="2" fillId="4" borderId="30" xfId="0" applyFont="1" applyFill="1" applyBorder="1"/>
    <xf numFmtId="0" fontId="1" fillId="4" borderId="31" xfId="0" applyFont="1" applyFill="1" applyBorder="1"/>
    <xf numFmtId="0" fontId="1" fillId="4" borderId="32" xfId="0" applyFont="1" applyFill="1" applyBorder="1"/>
    <xf numFmtId="0" fontId="2" fillId="7" borderId="3" xfId="0" applyFont="1" applyFill="1" applyBorder="1" applyAlignment="1">
      <alignment horizontal="center" vertical="center"/>
    </xf>
    <xf numFmtId="0" fontId="33" fillId="2" borderId="0" xfId="0" applyFont="1" applyFill="1"/>
    <xf numFmtId="0" fontId="36" fillId="0" borderId="1" xfId="0" applyFont="1" applyBorder="1"/>
    <xf numFmtId="0" fontId="37" fillId="0" borderId="1" xfId="0" applyFont="1" applyBorder="1"/>
    <xf numFmtId="0" fontId="36" fillId="0" borderId="0" xfId="0" applyFont="1"/>
    <xf numFmtId="0" fontId="37" fillId="0" borderId="0" xfId="0" applyFont="1"/>
    <xf numFmtId="0" fontId="1" fillId="2" borderId="15" xfId="0" applyFont="1" applyFill="1" applyBorder="1" applyProtection="1">
      <protection locked="0"/>
    </xf>
    <xf numFmtId="0" fontId="1" fillId="2" borderId="14" xfId="0" applyFont="1" applyFill="1" applyBorder="1" applyProtection="1">
      <protection locked="0"/>
    </xf>
    <xf numFmtId="167" fontId="1" fillId="2" borderId="14" xfId="0" applyNumberFormat="1" applyFont="1" applyFill="1" applyBorder="1" applyProtection="1">
      <protection locked="0"/>
    </xf>
    <xf numFmtId="167" fontId="1" fillId="2" borderId="8" xfId="0" applyNumberFormat="1" applyFont="1" applyFill="1" applyBorder="1" applyProtection="1">
      <protection locked="0"/>
    </xf>
    <xf numFmtId="0" fontId="1" fillId="0" borderId="7" xfId="0" applyFont="1" applyBorder="1"/>
    <xf numFmtId="0" fontId="1" fillId="0" borderId="2" xfId="0" applyFont="1" applyBorder="1"/>
    <xf numFmtId="0" fontId="1" fillId="0" borderId="9" xfId="0" applyFont="1" applyBorder="1"/>
    <xf numFmtId="0" fontId="1" fillId="3" borderId="11" xfId="0" applyFont="1" applyFill="1" applyBorder="1" applyProtection="1">
      <protection locked="0"/>
    </xf>
    <xf numFmtId="0" fontId="1" fillId="0" borderId="6" xfId="0" applyFont="1" applyBorder="1"/>
    <xf numFmtId="0" fontId="3" fillId="2" borderId="13" xfId="0" applyFont="1" applyFill="1" applyBorder="1" applyProtection="1">
      <protection locked="0"/>
    </xf>
    <xf numFmtId="0" fontId="36" fillId="2" borderId="0" xfId="0" applyFont="1" applyFill="1" applyProtection="1">
      <protection locked="0"/>
    </xf>
    <xf numFmtId="0" fontId="1" fillId="4" borderId="11" xfId="0" applyFont="1" applyFill="1" applyBorder="1" applyAlignment="1" applyProtection="1">
      <alignment vertical="center" wrapText="1"/>
      <protection locked="0"/>
    </xf>
    <xf numFmtId="170" fontId="1" fillId="2" borderId="14" xfId="0" applyNumberFormat="1" applyFont="1" applyFill="1" applyBorder="1" applyAlignment="1" applyProtection="1">
      <alignment vertical="center" wrapText="1"/>
      <protection locked="0"/>
    </xf>
    <xf numFmtId="167" fontId="1" fillId="7" borderId="14" xfId="0" applyNumberFormat="1" applyFont="1" applyFill="1" applyBorder="1" applyProtection="1">
      <protection locked="0"/>
    </xf>
    <xf numFmtId="4" fontId="1" fillId="7" borderId="14" xfId="0" applyNumberFormat="1" applyFont="1" applyFill="1" applyBorder="1" applyProtection="1">
      <protection locked="0"/>
    </xf>
    <xf numFmtId="4" fontId="1" fillId="7" borderId="11" xfId="0" applyNumberFormat="1" applyFont="1" applyFill="1" applyBorder="1" applyProtection="1">
      <protection locked="0"/>
    </xf>
    <xf numFmtId="1" fontId="1" fillId="2" borderId="8" xfId="0" applyNumberFormat="1" applyFont="1" applyFill="1" applyBorder="1" applyProtection="1">
      <protection locked="0"/>
    </xf>
    <xf numFmtId="10" fontId="11" fillId="2" borderId="14" xfId="0" applyNumberFormat="1" applyFont="1" applyFill="1" applyBorder="1" applyProtection="1">
      <protection locked="0"/>
    </xf>
    <xf numFmtId="167" fontId="1" fillId="7" borderId="11" xfId="0" applyNumberFormat="1" applyFont="1" applyFill="1" applyBorder="1" applyProtection="1">
      <protection locked="0"/>
    </xf>
    <xf numFmtId="0" fontId="11" fillId="2" borderId="14" xfId="0" applyFont="1" applyFill="1" applyBorder="1" applyProtection="1">
      <protection locked="0"/>
    </xf>
    <xf numFmtId="167" fontId="1" fillId="7" borderId="8" xfId="0" applyNumberFormat="1" applyFont="1" applyFill="1" applyBorder="1" applyProtection="1">
      <protection locked="0"/>
    </xf>
    <xf numFmtId="170" fontId="1" fillId="2" borderId="2" xfId="0" applyNumberFormat="1" applyFont="1" applyFill="1" applyBorder="1" applyAlignment="1" applyProtection="1">
      <alignment vertical="center" wrapText="1"/>
      <protection locked="0"/>
    </xf>
    <xf numFmtId="0" fontId="1" fillId="7" borderId="2" xfId="0" applyFont="1" applyFill="1" applyBorder="1" applyProtection="1">
      <protection locked="0"/>
    </xf>
    <xf numFmtId="167" fontId="1" fillId="2" borderId="2" xfId="0" applyNumberFormat="1" applyFont="1" applyFill="1" applyBorder="1" applyProtection="1">
      <protection locked="0"/>
    </xf>
    <xf numFmtId="167" fontId="1" fillId="7" borderId="2" xfId="0" applyNumberFormat="1" applyFont="1" applyFill="1" applyBorder="1" applyProtection="1">
      <protection locked="0"/>
    </xf>
    <xf numFmtId="4" fontId="1" fillId="7" borderId="2" xfId="0" applyNumberFormat="1" applyFont="1" applyFill="1" applyBorder="1" applyProtection="1">
      <protection locked="0"/>
    </xf>
    <xf numFmtId="4" fontId="1" fillId="7" borderId="12" xfId="0" applyNumberFormat="1" applyFont="1" applyFill="1" applyBorder="1" applyProtection="1">
      <protection locked="0"/>
    </xf>
    <xf numFmtId="1" fontId="1" fillId="2" borderId="9" xfId="0" applyNumberFormat="1" applyFont="1" applyFill="1" applyBorder="1" applyProtection="1">
      <protection locked="0"/>
    </xf>
    <xf numFmtId="10" fontId="11" fillId="2" borderId="2" xfId="0" applyNumberFormat="1" applyFont="1" applyFill="1" applyBorder="1" applyProtection="1">
      <protection locked="0"/>
    </xf>
    <xf numFmtId="167" fontId="1" fillId="7" borderId="12" xfId="0" applyNumberFormat="1" applyFont="1" applyFill="1" applyBorder="1" applyProtection="1">
      <protection locked="0"/>
    </xf>
    <xf numFmtId="0" fontId="11" fillId="2" borderId="2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167" fontId="1" fillId="2" borderId="9" xfId="0" applyNumberFormat="1" applyFont="1" applyFill="1" applyBorder="1" applyProtection="1">
      <protection locked="0"/>
    </xf>
    <xf numFmtId="167" fontId="1" fillId="7" borderId="9" xfId="0" applyNumberFormat="1" applyFont="1" applyFill="1" applyBorder="1" applyProtection="1">
      <protection locked="0"/>
    </xf>
    <xf numFmtId="0" fontId="1" fillId="3" borderId="3" xfId="0" applyFont="1" applyFill="1" applyBorder="1" applyAlignment="1">
      <alignment vertical="center"/>
    </xf>
    <xf numFmtId="0" fontId="1" fillId="0" borderId="14" xfId="0" applyFont="1" applyBorder="1"/>
    <xf numFmtId="0" fontId="1" fillId="0" borderId="15" xfId="0" applyFont="1" applyBorder="1"/>
    <xf numFmtId="0" fontId="1" fillId="0" borderId="8" xfId="0" applyFont="1" applyBorder="1"/>
    <xf numFmtId="4" fontId="1" fillId="2" borderId="0" xfId="0" applyNumberFormat="1" applyFont="1" applyFill="1" applyAlignment="1" applyProtection="1">
      <alignment horizontal="right"/>
      <protection locked="0"/>
    </xf>
    <xf numFmtId="3" fontId="1" fillId="2" borderId="0" xfId="0" applyNumberFormat="1" applyFont="1" applyFill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68" fontId="1" fillId="7" borderId="0" xfId="0" applyNumberFormat="1" applyFont="1" applyFill="1" applyAlignment="1" applyProtection="1">
      <alignment horizontal="center"/>
      <protection locked="0"/>
    </xf>
    <xf numFmtId="0" fontId="10" fillId="2" borderId="6" xfId="0" applyFont="1" applyFill="1" applyBorder="1" applyProtection="1">
      <protection locked="0"/>
    </xf>
    <xf numFmtId="0" fontId="10" fillId="2" borderId="4" xfId="0" applyFont="1" applyFill="1" applyBorder="1" applyProtection="1"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 textRotation="90" wrapText="1"/>
      <protection locked="0"/>
    </xf>
    <xf numFmtId="0" fontId="1" fillId="2" borderId="15" xfId="0" applyFont="1" applyFill="1" applyBorder="1" applyAlignment="1" applyProtection="1">
      <alignment horizontal="left"/>
      <protection locked="0"/>
    </xf>
    <xf numFmtId="0" fontId="1" fillId="2" borderId="8" xfId="0" applyFont="1" applyFill="1" applyBorder="1" applyAlignment="1" applyProtection="1">
      <alignment horizontal="left"/>
      <protection locked="0"/>
    </xf>
    <xf numFmtId="0" fontId="1" fillId="2" borderId="6" xfId="0" applyFont="1" applyFill="1" applyBorder="1" applyAlignment="1" applyProtection="1">
      <alignment horizontal="center"/>
      <protection locked="0"/>
    </xf>
    <xf numFmtId="0" fontId="1" fillId="2" borderId="7" xfId="0" applyFont="1" applyFill="1" applyBorder="1" applyAlignment="1" applyProtection="1">
      <alignment horizontal="center"/>
      <protection locked="0"/>
    </xf>
    <xf numFmtId="0" fontId="1" fillId="7" borderId="8" xfId="0" applyFont="1" applyFill="1" applyBorder="1" applyAlignment="1" applyProtection="1">
      <alignment horizontal="left"/>
      <protection locked="0"/>
    </xf>
    <xf numFmtId="0" fontId="1" fillId="2" borderId="9" xfId="0" applyFont="1" applyFill="1" applyBorder="1" applyAlignment="1" applyProtection="1">
      <alignment horizontal="center"/>
      <protection locked="0"/>
    </xf>
    <xf numFmtId="9" fontId="0" fillId="2" borderId="2" xfId="0" applyNumberFormat="1" applyFill="1" applyBorder="1" applyAlignment="1" applyProtection="1">
      <alignment horizontal="center"/>
      <protection locked="0"/>
    </xf>
    <xf numFmtId="167" fontId="0" fillId="7" borderId="2" xfId="0" applyNumberFormat="1" applyFill="1" applyBorder="1" applyAlignment="1" applyProtection="1">
      <alignment horizontal="center"/>
      <protection locked="0"/>
    </xf>
    <xf numFmtId="0" fontId="2" fillId="2" borderId="15" xfId="0" applyFont="1" applyFill="1" applyBorder="1" applyProtection="1">
      <protection locked="0"/>
    </xf>
    <xf numFmtId="0" fontId="6" fillId="2" borderId="14" xfId="1" applyFill="1" applyBorder="1" applyAlignment="1" applyProtection="1">
      <protection locked="0"/>
    </xf>
    <xf numFmtId="167" fontId="0" fillId="4" borderId="2" xfId="0" applyNumberFormat="1" applyFill="1" applyBorder="1" applyAlignment="1" applyProtection="1">
      <alignment horizontal="center"/>
      <protection locked="0"/>
    </xf>
    <xf numFmtId="167" fontId="0" fillId="4" borderId="9" xfId="0" applyNumberFormat="1" applyFill="1" applyBorder="1" applyAlignment="1" applyProtection="1">
      <alignment horizontal="center"/>
      <protection locked="0"/>
    </xf>
    <xf numFmtId="178" fontId="0" fillId="4" borderId="3" xfId="0" applyNumberFormat="1" applyFill="1" applyBorder="1" applyAlignment="1" applyProtection="1">
      <alignment horizontal="center"/>
      <protection locked="0"/>
    </xf>
    <xf numFmtId="0" fontId="0" fillId="11" borderId="3" xfId="0" applyFill="1" applyBorder="1" applyAlignment="1" applyProtection="1">
      <alignment horizontal="center"/>
      <protection locked="0"/>
    </xf>
    <xf numFmtId="10" fontId="38" fillId="0" borderId="0" xfId="0" applyNumberFormat="1" applyFont="1" applyAlignment="1" applyProtection="1">
      <alignment horizontal="center"/>
      <protection locked="0"/>
    </xf>
    <xf numFmtId="0" fontId="38" fillId="0" borderId="0" xfId="0" applyFont="1" applyProtection="1">
      <protection locked="0"/>
    </xf>
    <xf numFmtId="9" fontId="0" fillId="0" borderId="0" xfId="0" applyNumberFormat="1" applyProtection="1">
      <protection locked="0"/>
    </xf>
    <xf numFmtId="168" fontId="0" fillId="2" borderId="0" xfId="0" applyNumberFormat="1" applyFill="1" applyProtection="1">
      <protection locked="0"/>
    </xf>
    <xf numFmtId="168" fontId="0" fillId="0" borderId="0" xfId="0" applyNumberFormat="1" applyProtection="1">
      <protection locked="0"/>
    </xf>
    <xf numFmtId="165" fontId="1" fillId="2" borderId="0" xfId="2" applyFont="1" applyFill="1" applyAlignment="1" applyProtection="1">
      <alignment horizontal="center"/>
      <protection locked="0"/>
    </xf>
    <xf numFmtId="0" fontId="0" fillId="0" borderId="0" xfId="0" applyAlignment="1">
      <alignment vertical="center"/>
    </xf>
    <xf numFmtId="0" fontId="0" fillId="3" borderId="5" xfId="0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0" borderId="3" xfId="0" applyFont="1" applyBorder="1"/>
    <xf numFmtId="3" fontId="0" fillId="0" borderId="3" xfId="0" applyNumberFormat="1" applyBorder="1"/>
    <xf numFmtId="0" fontId="2" fillId="0" borderId="3" xfId="0" applyFont="1" applyBorder="1"/>
    <xf numFmtId="3" fontId="2" fillId="0" borderId="3" xfId="0" applyNumberFormat="1" applyFont="1" applyBorder="1"/>
    <xf numFmtId="0" fontId="0" fillId="0" borderId="3" xfId="0" applyBorder="1" applyAlignment="1">
      <alignment horizontal="center"/>
    </xf>
    <xf numFmtId="3" fontId="0" fillId="2" borderId="14" xfId="0" applyNumberFormat="1" applyFill="1" applyBorder="1" applyAlignment="1" applyProtection="1">
      <alignment horizontal="center"/>
      <protection locked="0"/>
    </xf>
    <xf numFmtId="168" fontId="0" fillId="7" borderId="14" xfId="0" applyNumberFormat="1" applyFill="1" applyBorder="1" applyAlignment="1" applyProtection="1">
      <alignment horizontal="center"/>
      <protection locked="0"/>
    </xf>
    <xf numFmtId="9" fontId="1" fillId="2" borderId="0" xfId="0" applyNumberFormat="1" applyFont="1" applyFill="1" applyProtection="1">
      <protection locked="0"/>
    </xf>
    <xf numFmtId="3" fontId="0" fillId="0" borderId="3" xfId="0" applyNumberFormat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165" fontId="1" fillId="2" borderId="0" xfId="2" applyFont="1" applyFill="1" applyAlignment="1" applyProtection="1">
      <alignment vertical="center"/>
      <protection locked="0"/>
    </xf>
    <xf numFmtId="165" fontId="1" fillId="2" borderId="0" xfId="2" applyFont="1" applyFill="1" applyProtection="1">
      <protection locked="0"/>
    </xf>
    <xf numFmtId="165" fontId="1" fillId="2" borderId="0" xfId="0" applyNumberFormat="1" applyFont="1" applyFill="1" applyProtection="1">
      <protection locked="0"/>
    </xf>
    <xf numFmtId="9" fontId="1" fillId="2" borderId="0" xfId="0" applyNumberFormat="1" applyFont="1" applyFill="1" applyAlignment="1" applyProtection="1">
      <alignment vertical="center"/>
      <protection locked="0"/>
    </xf>
    <xf numFmtId="9" fontId="1" fillId="2" borderId="0" xfId="4" applyFont="1" applyFill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3" fontId="1" fillId="2" borderId="0" xfId="0" applyNumberFormat="1" applyFont="1" applyFill="1" applyAlignment="1" applyProtection="1">
      <alignment horizontal="right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167" fontId="1" fillId="2" borderId="1" xfId="0" applyNumberFormat="1" applyFont="1" applyFill="1" applyBorder="1" applyAlignment="1" applyProtection="1">
      <alignment horizontal="center"/>
      <protection locked="0"/>
    </xf>
    <xf numFmtId="167" fontId="1" fillId="4" borderId="3" xfId="0" applyNumberFormat="1" applyFon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9" xfId="0" applyBorder="1" applyProtection="1">
      <protection locked="0"/>
    </xf>
    <xf numFmtId="0" fontId="1" fillId="0" borderId="3" xfId="0" applyFont="1" applyBorder="1" applyAlignment="1">
      <alignment horizontal="center"/>
    </xf>
    <xf numFmtId="167" fontId="2" fillId="0" borderId="0" xfId="0" applyNumberFormat="1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3" fontId="0" fillId="0" borderId="3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3" fontId="1" fillId="2" borderId="0" xfId="0" applyNumberFormat="1" applyFont="1" applyFill="1" applyProtection="1">
      <protection locked="0"/>
    </xf>
    <xf numFmtId="43" fontId="1" fillId="2" borderId="0" xfId="0" applyNumberFormat="1" applyFont="1" applyFill="1" applyProtection="1">
      <protection locked="0"/>
    </xf>
    <xf numFmtId="167" fontId="2" fillId="4" borderId="0" xfId="0" applyNumberFormat="1" applyFont="1" applyFill="1" applyAlignment="1" applyProtection="1">
      <alignment horizontal="center"/>
      <protection locked="0"/>
    </xf>
    <xf numFmtId="165" fontId="2" fillId="2" borderId="0" xfId="2" applyFont="1" applyFill="1" applyAlignment="1" applyProtection="1">
      <alignment horizontal="center"/>
      <protection locked="0"/>
    </xf>
    <xf numFmtId="171" fontId="2" fillId="2" borderId="2" xfId="0" applyNumberFormat="1" applyFont="1" applyFill="1" applyBorder="1" applyAlignment="1" applyProtection="1">
      <alignment horizontal="center"/>
      <protection locked="0"/>
    </xf>
    <xf numFmtId="0" fontId="2" fillId="13" borderId="3" xfId="0" applyFont="1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0" borderId="3" xfId="0" applyFont="1" applyBorder="1" applyProtection="1">
      <protection locked="0"/>
    </xf>
    <xf numFmtId="3" fontId="0" fillId="0" borderId="3" xfId="0" applyNumberFormat="1" applyBorder="1" applyProtection="1">
      <protection locked="0"/>
    </xf>
    <xf numFmtId="0" fontId="2" fillId="0" borderId="3" xfId="0" applyFont="1" applyBorder="1" applyProtection="1">
      <protection locked="0"/>
    </xf>
    <xf numFmtId="3" fontId="2" fillId="0" borderId="3" xfId="0" applyNumberFormat="1" applyFont="1" applyBorder="1" applyProtection="1">
      <protection locked="0"/>
    </xf>
    <xf numFmtId="0" fontId="2" fillId="13" borderId="3" xfId="0" applyFont="1" applyFill="1" applyBorder="1" applyProtection="1">
      <protection locked="0"/>
    </xf>
    <xf numFmtId="3" fontId="2" fillId="13" borderId="3" xfId="0" applyNumberFormat="1" applyFont="1" applyFill="1" applyBorder="1" applyProtection="1">
      <protection locked="0"/>
    </xf>
    <xf numFmtId="167" fontId="42" fillId="2" borderId="0" xfId="0" applyNumberFormat="1" applyFont="1" applyFill="1" applyAlignment="1" applyProtection="1">
      <alignment horizontal="center"/>
      <protection locked="0"/>
    </xf>
    <xf numFmtId="0" fontId="2" fillId="3" borderId="1" xfId="0" applyFont="1" applyFill="1" applyBorder="1" applyProtection="1">
      <protection locked="0"/>
    </xf>
    <xf numFmtId="0" fontId="2" fillId="3" borderId="5" xfId="0" applyFont="1" applyFill="1" applyBorder="1" applyProtection="1">
      <protection locked="0"/>
    </xf>
    <xf numFmtId="170" fontId="1" fillId="2" borderId="0" xfId="0" applyNumberFormat="1" applyFont="1" applyFill="1" applyAlignment="1" applyProtection="1">
      <alignment horizontal="center" vertical="center" wrapText="1"/>
      <protection locked="0"/>
    </xf>
    <xf numFmtId="167" fontId="19" fillId="2" borderId="0" xfId="0" applyNumberFormat="1" applyFont="1" applyFill="1" applyAlignment="1" applyProtection="1">
      <alignment horizontal="center"/>
      <protection locked="0"/>
    </xf>
    <xf numFmtId="4" fontId="0" fillId="7" borderId="0" xfId="0" applyNumberFormat="1" applyFill="1" applyAlignment="1" applyProtection="1">
      <alignment horizontal="center"/>
      <protection locked="0"/>
    </xf>
    <xf numFmtId="10" fontId="11" fillId="2" borderId="0" xfId="0" applyNumberFormat="1" applyFont="1" applyFill="1" applyAlignment="1" applyProtection="1">
      <alignment horizontal="center"/>
      <protection locked="0"/>
    </xf>
    <xf numFmtId="0" fontId="1" fillId="2" borderId="11" xfId="0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 applyProtection="1">
      <alignment horizontal="center"/>
      <protection locked="0"/>
    </xf>
    <xf numFmtId="4" fontId="1" fillId="7" borderId="0" xfId="0" applyNumberFormat="1" applyFont="1" applyFill="1" applyAlignment="1" applyProtection="1">
      <alignment horizontal="center"/>
      <protection locked="0"/>
    </xf>
    <xf numFmtId="173" fontId="0" fillId="2" borderId="0" xfId="0" applyNumberFormat="1" applyFill="1" applyAlignment="1" applyProtection="1">
      <alignment horizontal="center"/>
      <protection locked="0"/>
    </xf>
    <xf numFmtId="174" fontId="0" fillId="2" borderId="0" xfId="0" applyNumberFormat="1" applyFill="1" applyAlignment="1" applyProtection="1">
      <alignment horizontal="center"/>
      <protection locked="0"/>
    </xf>
    <xf numFmtId="167" fontId="20" fillId="2" borderId="0" xfId="0" applyNumberFormat="1" applyFont="1" applyFill="1" applyProtection="1">
      <protection locked="0"/>
    </xf>
    <xf numFmtId="0" fontId="16" fillId="2" borderId="0" xfId="0" applyFont="1" applyFill="1" applyAlignment="1" applyProtection="1">
      <alignment horizontal="left"/>
      <protection locked="0"/>
    </xf>
    <xf numFmtId="167" fontId="1" fillId="2" borderId="14" xfId="0" applyNumberFormat="1" applyFont="1" applyFill="1" applyBorder="1" applyAlignment="1" applyProtection="1">
      <alignment horizontal="center"/>
      <protection locked="0"/>
    </xf>
    <xf numFmtId="1" fontId="1" fillId="7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Alignment="1" applyProtection="1">
      <alignment horizontal="center"/>
      <protection locked="0"/>
    </xf>
    <xf numFmtId="0" fontId="1" fillId="2" borderId="12" xfId="0" applyFont="1" applyFill="1" applyBorder="1" applyAlignment="1" applyProtection="1">
      <alignment horizontal="center"/>
      <protection locked="0"/>
    </xf>
    <xf numFmtId="165" fontId="0" fillId="0" borderId="0" xfId="2" applyFont="1" applyAlignment="1" applyProtection="1">
      <alignment vertical="center" wrapText="1"/>
      <protection locked="0"/>
    </xf>
    <xf numFmtId="167" fontId="11" fillId="2" borderId="0" xfId="0" applyNumberFormat="1" applyFont="1" applyFill="1" applyAlignment="1" applyProtection="1">
      <alignment horizontal="center"/>
      <protection locked="0"/>
    </xf>
    <xf numFmtId="2" fontId="19" fillId="0" borderId="0" xfId="0" applyNumberFormat="1" applyFont="1" applyAlignment="1" applyProtection="1">
      <alignment vertical="center" wrapText="1"/>
      <protection locked="0"/>
    </xf>
    <xf numFmtId="10" fontId="1" fillId="2" borderId="5" xfId="3" applyNumberFormat="1" applyFont="1" applyFill="1" applyBorder="1" applyAlignment="1">
      <alignment horizontal="center" vertical="center"/>
    </xf>
    <xf numFmtId="10" fontId="1" fillId="2" borderId="3" xfId="0" applyNumberFormat="1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0" fontId="1" fillId="2" borderId="5" xfId="0" applyNumberFormat="1" applyFont="1" applyFill="1" applyBorder="1" applyAlignment="1">
      <alignment horizontal="center" vertical="center"/>
    </xf>
    <xf numFmtId="10" fontId="1" fillId="2" borderId="9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10" fontId="1" fillId="2" borderId="3" xfId="3" applyNumberFormat="1" applyFont="1" applyFill="1" applyBorder="1" applyAlignment="1">
      <alignment horizontal="center" vertical="center"/>
    </xf>
    <xf numFmtId="167" fontId="1" fillId="2" borderId="11" xfId="0" applyNumberFormat="1" applyFont="1" applyFill="1" applyBorder="1" applyAlignment="1" applyProtection="1">
      <alignment horizontal="center"/>
      <protection locked="0"/>
    </xf>
    <xf numFmtId="167" fontId="1" fillId="2" borderId="10" xfId="0" applyNumberFormat="1" applyFont="1" applyFill="1" applyBorder="1" applyAlignment="1" applyProtection="1">
      <alignment horizontal="center"/>
      <protection locked="0"/>
    </xf>
    <xf numFmtId="0" fontId="1" fillId="5" borderId="12" xfId="0" applyFont="1" applyFill="1" applyBorder="1" applyAlignment="1" applyProtection="1">
      <alignment horizontal="center" vertical="center" wrapText="1"/>
      <protection locked="0"/>
    </xf>
    <xf numFmtId="4" fontId="0" fillId="0" borderId="3" xfId="0" applyNumberFormat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right" vertical="center"/>
      <protection locked="0"/>
    </xf>
    <xf numFmtId="2" fontId="0" fillId="2" borderId="0" xfId="0" applyNumberFormat="1" applyFill="1" applyProtection="1">
      <protection locked="0"/>
    </xf>
    <xf numFmtId="3" fontId="0" fillId="2" borderId="0" xfId="0" applyNumberFormat="1" applyFill="1" applyProtection="1">
      <protection locked="0"/>
    </xf>
    <xf numFmtId="3" fontId="0" fillId="0" borderId="0" xfId="0" applyNumberFormat="1" applyAlignment="1" applyProtection="1">
      <alignment horizontal="center"/>
      <protection locked="0"/>
    </xf>
    <xf numFmtId="166" fontId="0" fillId="2" borderId="0" xfId="0" applyNumberFormat="1" applyFill="1" applyProtection="1">
      <protection locked="0"/>
    </xf>
    <xf numFmtId="181" fontId="0" fillId="2" borderId="0" xfId="4" applyNumberFormat="1" applyFont="1" applyFill="1" applyProtection="1">
      <protection locked="0"/>
    </xf>
    <xf numFmtId="165" fontId="0" fillId="2" borderId="0" xfId="2" applyFont="1" applyFill="1" applyProtection="1">
      <protection locked="0"/>
    </xf>
    <xf numFmtId="0" fontId="2" fillId="13" borderId="3" xfId="0" applyFont="1" applyFill="1" applyBorder="1" applyAlignment="1" applyProtection="1">
      <alignment horizontal="center" vertical="center" wrapText="1"/>
      <protection locked="0"/>
    </xf>
    <xf numFmtId="0" fontId="13" fillId="15" borderId="0" xfId="0" applyFont="1" applyFill="1" applyAlignment="1" applyProtection="1">
      <alignment horizontal="center" vertical="center"/>
      <protection locked="0"/>
    </xf>
    <xf numFmtId="0" fontId="0" fillId="15" borderId="0" xfId="0" applyFill="1" applyAlignment="1" applyProtection="1">
      <alignment horizontal="right"/>
      <protection locked="0"/>
    </xf>
    <xf numFmtId="164" fontId="0" fillId="15" borderId="0" xfId="3" applyFont="1" applyFill="1" applyAlignment="1" applyProtection="1">
      <alignment horizontal="right" wrapText="1"/>
      <protection locked="0"/>
    </xf>
    <xf numFmtId="166" fontId="0" fillId="15" borderId="0" xfId="4" applyNumberFormat="1" applyFont="1" applyFill="1" applyAlignment="1" applyProtection="1">
      <alignment horizontal="right"/>
      <protection locked="0"/>
    </xf>
    <xf numFmtId="10" fontId="0" fillId="2" borderId="0" xfId="4" applyNumberFormat="1" applyFont="1" applyFill="1" applyProtection="1">
      <protection locked="0"/>
    </xf>
    <xf numFmtId="182" fontId="0" fillId="2" borderId="0" xfId="2" applyNumberFormat="1" applyFont="1" applyFill="1" applyProtection="1">
      <protection locked="0"/>
    </xf>
    <xf numFmtId="0" fontId="0" fillId="2" borderId="25" xfId="0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17" fontId="0" fillId="2" borderId="28" xfId="0" applyNumberFormat="1" applyFill="1" applyBorder="1" applyAlignment="1" applyProtection="1">
      <alignment horizontal="center"/>
      <protection locked="0"/>
    </xf>
    <xf numFmtId="0" fontId="0" fillId="2" borderId="30" xfId="0" applyFill="1" applyBorder="1" applyAlignment="1" applyProtection="1">
      <alignment horizontal="center"/>
      <protection locked="0"/>
    </xf>
    <xf numFmtId="17" fontId="0" fillId="2" borderId="34" xfId="0" applyNumberFormat="1" applyFill="1" applyBorder="1" applyAlignment="1" applyProtection="1">
      <alignment horizontal="center"/>
      <protection locked="0"/>
    </xf>
    <xf numFmtId="0" fontId="0" fillId="2" borderId="36" xfId="0" applyFill="1" applyBorder="1" applyAlignment="1" applyProtection="1">
      <alignment horizontal="center"/>
      <protection locked="0"/>
    </xf>
    <xf numFmtId="3" fontId="0" fillId="2" borderId="33" xfId="0" applyNumberFormat="1" applyFill="1" applyBorder="1" applyAlignment="1" applyProtection="1">
      <alignment horizontal="center"/>
      <protection locked="0"/>
    </xf>
    <xf numFmtId="3" fontId="0" fillId="2" borderId="35" xfId="0" applyNumberFormat="1" applyFill="1" applyBorder="1" applyAlignment="1" applyProtection="1">
      <alignment horizontal="center"/>
      <protection locked="0"/>
    </xf>
    <xf numFmtId="3" fontId="0" fillId="2" borderId="37" xfId="0" applyNumberFormat="1" applyFill="1" applyBorder="1" applyAlignment="1" applyProtection="1">
      <alignment horizontal="center"/>
      <protection locked="0"/>
    </xf>
    <xf numFmtId="3" fontId="0" fillId="2" borderId="29" xfId="0" applyNumberFormat="1" applyFill="1" applyBorder="1" applyAlignment="1" applyProtection="1">
      <alignment horizontal="center"/>
      <protection locked="0"/>
    </xf>
    <xf numFmtId="3" fontId="0" fillId="2" borderId="38" xfId="0" applyNumberFormat="1" applyFill="1" applyBorder="1" applyAlignment="1" applyProtection="1">
      <alignment horizontal="center"/>
      <protection locked="0"/>
    </xf>
    <xf numFmtId="3" fontId="0" fillId="2" borderId="32" xfId="0" applyNumberFormat="1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right"/>
    </xf>
    <xf numFmtId="4" fontId="0" fillId="13" borderId="0" xfId="0" applyNumberFormat="1" applyFill="1" applyAlignment="1">
      <alignment horizontal="right" vertical="center"/>
    </xf>
    <xf numFmtId="164" fontId="0" fillId="13" borderId="0" xfId="3" applyFont="1" applyFill="1" applyAlignment="1">
      <alignment horizontal="right"/>
    </xf>
    <xf numFmtId="164" fontId="0" fillId="17" borderId="0" xfId="3" applyFont="1" applyFill="1" applyAlignment="1">
      <alignment horizontal="right"/>
    </xf>
    <xf numFmtId="0" fontId="2" fillId="2" borderId="25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right"/>
      <protection locked="0"/>
    </xf>
    <xf numFmtId="9" fontId="2" fillId="2" borderId="27" xfId="4" applyFont="1" applyFill="1" applyBorder="1" applyAlignment="1" applyProtection="1">
      <alignment horizontal="center"/>
      <protection locked="0"/>
    </xf>
    <xf numFmtId="0" fontId="2" fillId="2" borderId="28" xfId="0" applyFont="1" applyFill="1" applyBorder="1" applyAlignment="1" applyProtection="1">
      <alignment horizontal="center"/>
      <protection locked="0"/>
    </xf>
    <xf numFmtId="3" fontId="2" fillId="2" borderId="29" xfId="4" applyNumberFormat="1" applyFont="1" applyFill="1" applyBorder="1" applyAlignment="1" applyProtection="1">
      <alignment horizontal="center"/>
      <protection locked="0"/>
    </xf>
    <xf numFmtId="0" fontId="2" fillId="2" borderId="30" xfId="0" applyFont="1" applyFill="1" applyBorder="1" applyAlignment="1" applyProtection="1">
      <alignment horizontal="center"/>
      <protection locked="0"/>
    </xf>
    <xf numFmtId="9" fontId="2" fillId="2" borderId="31" xfId="4" applyFont="1" applyFill="1" applyBorder="1" applyAlignment="1" applyProtection="1">
      <alignment horizontal="center"/>
      <protection locked="0"/>
    </xf>
    <xf numFmtId="0" fontId="2" fillId="2" borderId="36" xfId="0" applyFont="1" applyFill="1" applyBorder="1" applyAlignment="1" applyProtection="1">
      <alignment horizontal="center"/>
      <protection locked="0"/>
    </xf>
    <xf numFmtId="3" fontId="2" fillId="2" borderId="37" xfId="4" applyNumberFormat="1" applyFont="1" applyFill="1" applyBorder="1" applyAlignment="1" applyProtection="1">
      <alignment horizontal="center"/>
      <protection locked="0"/>
    </xf>
    <xf numFmtId="3" fontId="2" fillId="2" borderId="36" xfId="4" applyNumberFormat="1" applyFont="1" applyFill="1" applyBorder="1" applyAlignment="1" applyProtection="1">
      <alignment horizontal="center"/>
      <protection locked="0"/>
    </xf>
    <xf numFmtId="3" fontId="2" fillId="2" borderId="27" xfId="4" applyNumberFormat="1" applyFont="1" applyFill="1" applyBorder="1" applyAlignment="1" applyProtection="1">
      <alignment horizontal="center"/>
      <protection locked="0"/>
    </xf>
    <xf numFmtId="3" fontId="2" fillId="2" borderId="38" xfId="4" applyNumberFormat="1" applyFont="1" applyFill="1" applyBorder="1" applyAlignment="1" applyProtection="1">
      <alignment horizontal="center"/>
      <protection locked="0"/>
    </xf>
    <xf numFmtId="0" fontId="0" fillId="2" borderId="31" xfId="0" applyFill="1" applyBorder="1" applyAlignment="1" applyProtection="1">
      <alignment horizontal="right" vertical="center"/>
      <protection locked="0"/>
    </xf>
    <xf numFmtId="3" fontId="2" fillId="2" borderId="32" xfId="4" applyNumberFormat="1" applyFont="1" applyFill="1" applyBorder="1" applyAlignment="1" applyProtection="1">
      <alignment horizontal="center"/>
      <protection locked="0"/>
    </xf>
    <xf numFmtId="4" fontId="1" fillId="0" borderId="0" xfId="0" applyNumberFormat="1" applyFont="1"/>
    <xf numFmtId="44" fontId="1" fillId="0" borderId="0" xfId="0" applyNumberFormat="1" applyFont="1"/>
    <xf numFmtId="0" fontId="0" fillId="16" borderId="3" xfId="0" applyFill="1" applyBorder="1" applyAlignment="1">
      <alignment textRotation="90"/>
    </xf>
    <xf numFmtId="0" fontId="2" fillId="13" borderId="3" xfId="0" applyFont="1" applyFill="1" applyBorder="1" applyAlignment="1">
      <alignment horizontal="center" vertical="center" textRotation="90"/>
    </xf>
    <xf numFmtId="164" fontId="2" fillId="13" borderId="3" xfId="3" applyFont="1" applyFill="1" applyBorder="1" applyAlignment="1">
      <alignment horizontal="center" vertical="center" textRotation="90"/>
    </xf>
    <xf numFmtId="164" fontId="2" fillId="18" borderId="3" xfId="3" applyFont="1" applyFill="1" applyBorder="1" applyAlignment="1">
      <alignment horizontal="center" vertical="center" textRotation="90"/>
    </xf>
    <xf numFmtId="0" fontId="1" fillId="0" borderId="0" xfId="0" applyFont="1" applyAlignment="1">
      <alignment textRotation="90"/>
    </xf>
    <xf numFmtId="0" fontId="2" fillId="0" borderId="0" xfId="0" applyFont="1" applyAlignment="1">
      <alignment textRotation="90"/>
    </xf>
    <xf numFmtId="0" fontId="0" fillId="0" borderId="0" xfId="0" applyAlignment="1">
      <alignment textRotation="90"/>
    </xf>
    <xf numFmtId="178" fontId="9" fillId="0" borderId="0" xfId="0" applyNumberFormat="1" applyFont="1"/>
    <xf numFmtId="178" fontId="9" fillId="18" borderId="0" xfId="0" applyNumberFormat="1" applyFont="1" applyFill="1"/>
    <xf numFmtId="166" fontId="0" fillId="2" borderId="0" xfId="4" applyNumberFormat="1" applyFont="1" applyFill="1" applyAlignment="1" applyProtection="1">
      <alignment horizontal="center"/>
      <protection locked="0"/>
    </xf>
    <xf numFmtId="167" fontId="0" fillId="0" borderId="0" xfId="0" applyNumberFormat="1" applyProtection="1">
      <protection locked="0"/>
    </xf>
    <xf numFmtId="166" fontId="2" fillId="2" borderId="38" xfId="4" applyNumberFormat="1" applyFont="1" applyFill="1" applyBorder="1" applyAlignment="1" applyProtection="1">
      <alignment horizontal="center"/>
      <protection locked="0"/>
    </xf>
    <xf numFmtId="166" fontId="2" fillId="2" borderId="32" xfId="4" applyNumberFormat="1" applyFont="1" applyFill="1" applyBorder="1" applyAlignment="1" applyProtection="1">
      <alignment horizontal="center"/>
      <protection locked="0"/>
    </xf>
    <xf numFmtId="0" fontId="0" fillId="18" borderId="3" xfId="0" applyFill="1" applyBorder="1" applyAlignment="1">
      <alignment textRotation="90"/>
    </xf>
    <xf numFmtId="9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41" fillId="14" borderId="0" xfId="0" applyFont="1" applyFill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Alignment="1">
      <alignment vertical="center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178" fontId="0" fillId="4" borderId="4" xfId="0" applyNumberFormat="1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167" fontId="0" fillId="4" borderId="0" xfId="0" applyNumberFormat="1" applyFill="1" applyAlignment="1" applyProtection="1">
      <alignment horizontal="center"/>
      <protection locked="0"/>
    </xf>
    <xf numFmtId="167" fontId="0" fillId="4" borderId="7" xfId="0" applyNumberFormat="1" applyFill="1" applyBorder="1" applyAlignment="1" applyProtection="1">
      <alignment horizontal="center"/>
      <protection locked="0"/>
    </xf>
    <xf numFmtId="178" fontId="0" fillId="2" borderId="3" xfId="0" applyNumberFormat="1" applyFill="1" applyBorder="1" applyAlignment="1" applyProtection="1">
      <alignment horizontal="center"/>
      <protection locked="0"/>
    </xf>
    <xf numFmtId="178" fontId="0" fillId="2" borderId="0" xfId="0" applyNumberFormat="1" applyFill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168" fontId="0" fillId="4" borderId="0" xfId="0" applyNumberFormat="1" applyFill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11" borderId="4" xfId="0" applyFill="1" applyBorder="1" applyAlignment="1" applyProtection="1">
      <alignment horizontal="center"/>
      <protection locked="0"/>
    </xf>
    <xf numFmtId="0" fontId="0" fillId="11" borderId="5" xfId="0" applyFill="1" applyBorder="1" applyAlignment="1" applyProtection="1">
      <alignment horizontal="center"/>
      <protection locked="0"/>
    </xf>
    <xf numFmtId="167" fontId="0" fillId="2" borderId="0" xfId="0" applyNumberFormat="1" applyFill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12" xfId="0" applyFont="1" applyFill="1" applyBorder="1" applyAlignment="1" applyProtection="1">
      <alignment horizontal="center" vertical="center" wrapText="1"/>
      <protection locked="0"/>
    </xf>
    <xf numFmtId="0" fontId="0" fillId="12" borderId="0" xfId="0" applyFill="1" applyAlignment="1" applyProtection="1">
      <alignment horizontal="center" vertical="center" wrapText="1"/>
      <protection locked="0"/>
    </xf>
    <xf numFmtId="0" fontId="0" fillId="3" borderId="3" xfId="0" applyFill="1" applyBorder="1" applyAlignment="1" applyProtection="1">
      <alignment horizontal="center" wrapText="1"/>
      <protection locked="0"/>
    </xf>
    <xf numFmtId="0" fontId="2" fillId="3" borderId="4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3" borderId="4" xfId="0" applyFont="1" applyFill="1" applyBorder="1" applyAlignment="1" applyProtection="1">
      <alignment horizontal="left"/>
      <protection locked="0"/>
    </xf>
    <xf numFmtId="0" fontId="2" fillId="3" borderId="1" xfId="0" applyFont="1" applyFill="1" applyBorder="1" applyAlignment="1" applyProtection="1">
      <alignment horizontal="left"/>
      <protection locked="0"/>
    </xf>
    <xf numFmtId="0" fontId="3" fillId="5" borderId="4" xfId="0" applyFont="1" applyFill="1" applyBorder="1" applyAlignment="1" applyProtection="1">
      <alignment horizontal="left" vertical="center" wrapText="1"/>
      <protection locked="0"/>
    </xf>
    <xf numFmtId="0" fontId="3" fillId="5" borderId="1" xfId="0" applyFont="1" applyFill="1" applyBorder="1" applyAlignment="1" applyProtection="1">
      <alignment horizontal="left" vertical="center" wrapText="1"/>
      <protection locked="0"/>
    </xf>
    <xf numFmtId="0" fontId="3" fillId="5" borderId="5" xfId="0" applyFont="1" applyFill="1" applyBorder="1" applyAlignment="1" applyProtection="1">
      <alignment horizontal="left" vertical="center" wrapText="1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2" fillId="4" borderId="10" xfId="0" applyFont="1" applyFill="1" applyBorder="1" applyAlignment="1" applyProtection="1">
      <alignment horizontal="center" vertical="center" wrapText="1"/>
      <protection locked="0"/>
    </xf>
    <xf numFmtId="0" fontId="2" fillId="4" borderId="12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textRotation="90" wrapText="1"/>
      <protection locked="0"/>
    </xf>
    <xf numFmtId="0" fontId="2" fillId="3" borderId="12" xfId="0" applyFont="1" applyFill="1" applyBorder="1" applyAlignment="1" applyProtection="1">
      <alignment horizontal="center" vertical="center" textRotation="90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 wrapText="1"/>
      <protection locked="0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center" vertical="center" textRotation="90" wrapText="1"/>
      <protection locked="0"/>
    </xf>
    <xf numFmtId="0" fontId="2" fillId="3" borderId="9" xfId="0" applyFont="1" applyFill="1" applyBorder="1" applyAlignment="1" applyProtection="1">
      <alignment horizontal="center" vertical="center" textRotation="90" wrapText="1"/>
      <protection locked="0"/>
    </xf>
    <xf numFmtId="0" fontId="3" fillId="3" borderId="3" xfId="0" applyFont="1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Alignment="1" applyProtection="1">
      <alignment horizontal="left" vertical="center" wrapText="1"/>
      <protection locked="0"/>
    </xf>
    <xf numFmtId="0" fontId="2" fillId="2" borderId="0" xfId="0" applyFont="1" applyFill="1" applyAlignment="1" applyProtection="1">
      <alignment horizontal="left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2" fillId="3" borderId="15" xfId="0" applyFont="1" applyFill="1" applyBorder="1" applyAlignment="1" applyProtection="1">
      <alignment horizontal="left" vertical="center" wrapText="1"/>
      <protection locked="0"/>
    </xf>
    <xf numFmtId="0" fontId="2" fillId="3" borderId="14" xfId="0" applyFont="1" applyFill="1" applyBorder="1" applyAlignment="1" applyProtection="1">
      <alignment horizontal="left" vertical="center" wrapText="1"/>
      <protection locked="0"/>
    </xf>
    <xf numFmtId="0" fontId="2" fillId="3" borderId="8" xfId="0" applyFont="1" applyFill="1" applyBorder="1" applyAlignment="1" applyProtection="1">
      <alignment horizontal="left" vertical="center" wrapText="1"/>
      <protection locked="0"/>
    </xf>
    <xf numFmtId="0" fontId="2" fillId="3" borderId="13" xfId="0" applyFont="1" applyFill="1" applyBorder="1" applyAlignment="1" applyProtection="1">
      <alignment horizontal="left" vertical="center" wrapText="1"/>
      <protection locked="0"/>
    </xf>
    <xf numFmtId="0" fontId="2" fillId="3" borderId="2" xfId="0" applyFont="1" applyFill="1" applyBorder="1" applyAlignment="1" applyProtection="1">
      <alignment horizontal="left" vertical="center" wrapText="1"/>
      <protection locked="0"/>
    </xf>
    <xf numFmtId="0" fontId="2" fillId="3" borderId="9" xfId="0" applyFont="1" applyFill="1" applyBorder="1" applyAlignment="1" applyProtection="1">
      <alignment horizontal="left" vertical="center" wrapText="1"/>
      <protection locked="0"/>
    </xf>
  </cellXfs>
  <cellStyles count="5">
    <cellStyle name="Hipervínculo" xfId="1" builtinId="8"/>
    <cellStyle name="Millares" xfId="2" builtinId="3"/>
    <cellStyle name="Moneda" xfId="3" builtinId="4"/>
    <cellStyle name="Normal" xfId="0" builtinId="0"/>
    <cellStyle name="Porcentaje" xfId="4" builtinId="5"/>
  </cellStyles>
  <dxfs count="8"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11</xdr:row>
      <xdr:rowOff>57150</xdr:rowOff>
    </xdr:from>
    <xdr:to>
      <xdr:col>10</xdr:col>
      <xdr:colOff>438150</xdr:colOff>
      <xdr:row>25</xdr:row>
      <xdr:rowOff>28575</xdr:rowOff>
    </xdr:to>
    <xdr:pic>
      <xdr:nvPicPr>
        <xdr:cNvPr id="194988" name="Imagen 1">
          <a:extLst>
            <a:ext uri="{FF2B5EF4-FFF2-40B4-BE49-F238E27FC236}">
              <a16:creationId xmlns:a16="http://schemas.microsoft.com/office/drawing/2014/main" id="{94A39AA4-63EE-17BB-A154-60F0F74D2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1838325"/>
          <a:ext cx="630555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2</xdr:row>
      <xdr:rowOff>142875</xdr:rowOff>
    </xdr:from>
    <xdr:to>
      <xdr:col>3</xdr:col>
      <xdr:colOff>314325</xdr:colOff>
      <xdr:row>17</xdr:row>
      <xdr:rowOff>38100</xdr:rowOff>
    </xdr:to>
    <xdr:pic>
      <xdr:nvPicPr>
        <xdr:cNvPr id="194989" name="Imagen 1">
          <a:extLst>
            <a:ext uri="{FF2B5EF4-FFF2-40B4-BE49-F238E27FC236}">
              <a16:creationId xmlns:a16="http://schemas.microsoft.com/office/drawing/2014/main" id="{FBA62F5D-BA8E-1B7E-4EE7-92A770900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66725"/>
          <a:ext cx="4200525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47625</xdr:colOff>
      <xdr:row>47</xdr:row>
      <xdr:rowOff>66675</xdr:rowOff>
    </xdr:from>
    <xdr:to>
      <xdr:col>15</xdr:col>
      <xdr:colOff>257175</xdr:colOff>
      <xdr:row>67</xdr:row>
      <xdr:rowOff>123825</xdr:rowOff>
    </xdr:to>
    <xdr:pic>
      <xdr:nvPicPr>
        <xdr:cNvPr id="194990" name="Imagen 2">
          <a:extLst>
            <a:ext uri="{FF2B5EF4-FFF2-40B4-BE49-F238E27FC236}">
              <a16:creationId xmlns:a16="http://schemas.microsoft.com/office/drawing/2014/main" id="{13C99D27-9F75-F3AD-2323-E62DFE70A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7677150"/>
          <a:ext cx="7143750" cy="329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800100</xdr:colOff>
      <xdr:row>52</xdr:row>
      <xdr:rowOff>0</xdr:rowOff>
    </xdr:from>
    <xdr:to>
      <xdr:col>16</xdr:col>
      <xdr:colOff>400050</xdr:colOff>
      <xdr:row>66</xdr:row>
      <xdr:rowOff>76200</xdr:rowOff>
    </xdr:to>
    <xdr:pic>
      <xdr:nvPicPr>
        <xdr:cNvPr id="194991" name="Imagen 3">
          <a:extLst>
            <a:ext uri="{FF2B5EF4-FFF2-40B4-BE49-F238E27FC236}">
              <a16:creationId xmlns:a16="http://schemas.microsoft.com/office/drawing/2014/main" id="{788D8972-4456-1CCB-B776-6AB6BA78B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8420100"/>
          <a:ext cx="7296150" cy="234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55</xdr:row>
      <xdr:rowOff>28575</xdr:rowOff>
    </xdr:from>
    <xdr:to>
      <xdr:col>15</xdr:col>
      <xdr:colOff>333375</xdr:colOff>
      <xdr:row>81</xdr:row>
      <xdr:rowOff>104775</xdr:rowOff>
    </xdr:to>
    <xdr:pic>
      <xdr:nvPicPr>
        <xdr:cNvPr id="194992" name="Imagen 4">
          <a:extLst>
            <a:ext uri="{FF2B5EF4-FFF2-40B4-BE49-F238E27FC236}">
              <a16:creationId xmlns:a16="http://schemas.microsoft.com/office/drawing/2014/main" id="{E3B366F2-DEAD-110C-8CD2-8F7617565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8934450"/>
          <a:ext cx="7058025" cy="428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619125</xdr:colOff>
      <xdr:row>65</xdr:row>
      <xdr:rowOff>123825</xdr:rowOff>
    </xdr:from>
    <xdr:to>
      <xdr:col>17</xdr:col>
      <xdr:colOff>495300</xdr:colOff>
      <xdr:row>84</xdr:row>
      <xdr:rowOff>9525</xdr:rowOff>
    </xdr:to>
    <xdr:pic>
      <xdr:nvPicPr>
        <xdr:cNvPr id="194993" name="Imagen 3">
          <a:extLst>
            <a:ext uri="{FF2B5EF4-FFF2-40B4-BE49-F238E27FC236}">
              <a16:creationId xmlns:a16="http://schemas.microsoft.com/office/drawing/2014/main" id="{F45A6CC5-7C73-0E92-E5E9-22D218B8B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0648950"/>
          <a:ext cx="8334375" cy="2962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47</xdr:row>
      <xdr:rowOff>123825</xdr:rowOff>
    </xdr:from>
    <xdr:to>
      <xdr:col>6</xdr:col>
      <xdr:colOff>1238250</xdr:colOff>
      <xdr:row>62</xdr:row>
      <xdr:rowOff>47625</xdr:rowOff>
    </xdr:to>
    <xdr:pic>
      <xdr:nvPicPr>
        <xdr:cNvPr id="194994" name="Imagen 6">
          <a:extLst>
            <a:ext uri="{FF2B5EF4-FFF2-40B4-BE49-F238E27FC236}">
              <a16:creationId xmlns:a16="http://schemas.microsoft.com/office/drawing/2014/main" id="{BBFC9171-BF5A-F9F2-EF7D-86A34C9C0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34300"/>
          <a:ext cx="7772400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9</xdr:col>
      <xdr:colOff>752475</xdr:colOff>
      <xdr:row>76</xdr:row>
      <xdr:rowOff>0</xdr:rowOff>
    </xdr:to>
    <xdr:pic>
      <xdr:nvPicPr>
        <xdr:cNvPr id="194995" name="Imagen 7">
          <a:extLst>
            <a:ext uri="{FF2B5EF4-FFF2-40B4-BE49-F238E27FC236}">
              <a16:creationId xmlns:a16="http://schemas.microsoft.com/office/drawing/2014/main" id="{F36F8E14-B389-FC94-A55E-A7D337808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0134600"/>
          <a:ext cx="10629900" cy="2171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152400</xdr:colOff>
      <xdr:row>86</xdr:row>
      <xdr:rowOff>133350</xdr:rowOff>
    </xdr:from>
    <xdr:to>
      <xdr:col>18</xdr:col>
      <xdr:colOff>190500</xdr:colOff>
      <xdr:row>106</xdr:row>
      <xdr:rowOff>66675</xdr:rowOff>
    </xdr:to>
    <xdr:pic>
      <xdr:nvPicPr>
        <xdr:cNvPr id="194996" name="Imagen 1">
          <a:extLst>
            <a:ext uri="{FF2B5EF4-FFF2-40B4-BE49-F238E27FC236}">
              <a16:creationId xmlns:a16="http://schemas.microsoft.com/office/drawing/2014/main" id="{A71C58F9-B5B2-953F-13B3-B8201192E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14058900"/>
          <a:ext cx="10696575" cy="3171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809625</xdr:colOff>
      <xdr:row>64</xdr:row>
      <xdr:rowOff>104775</xdr:rowOff>
    </xdr:from>
    <xdr:to>
      <xdr:col>6</xdr:col>
      <xdr:colOff>314325</xdr:colOff>
      <xdr:row>81</xdr:row>
      <xdr:rowOff>57150</xdr:rowOff>
    </xdr:to>
    <xdr:pic>
      <xdr:nvPicPr>
        <xdr:cNvPr id="194997" name="Imagen 1">
          <a:extLst>
            <a:ext uri="{FF2B5EF4-FFF2-40B4-BE49-F238E27FC236}">
              <a16:creationId xmlns:a16="http://schemas.microsoft.com/office/drawing/2014/main" id="{ABF160C5-1A03-3CE2-0667-92603DC7B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0467975"/>
          <a:ext cx="5867400" cy="270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1</xdr:col>
      <xdr:colOff>276225</xdr:colOff>
      <xdr:row>0</xdr:row>
      <xdr:rowOff>381000</xdr:rowOff>
    </xdr:to>
    <xdr:sp macro="" textlink="">
      <xdr:nvSpPr>
        <xdr:cNvPr id="44058" name="Rectangle 6">
          <a:extLst>
            <a:ext uri="{FF2B5EF4-FFF2-40B4-BE49-F238E27FC236}">
              <a16:creationId xmlns:a16="http://schemas.microsoft.com/office/drawing/2014/main" id="{207AAED7-9C72-F84F-D1A3-17BEF03119CB}"/>
            </a:ext>
          </a:extLst>
        </xdr:cNvPr>
        <xdr:cNvSpPr>
          <a:spLocks noChangeArrowheads="1"/>
        </xdr:cNvSpPr>
      </xdr:nvSpPr>
      <xdr:spPr bwMode="auto">
        <a:xfrm>
          <a:off x="19050" y="19050"/>
          <a:ext cx="2228850" cy="361950"/>
        </a:xfrm>
        <a:prstGeom prst="rect">
          <a:avLst/>
        </a:prstGeom>
        <a:solidFill>
          <a:srgbClr val="C0C0C0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GASTOS DE ESTRUCTURA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685" name="Line 278">
          <a:extLst>
            <a:ext uri="{FF2B5EF4-FFF2-40B4-BE49-F238E27FC236}">
              <a16:creationId xmlns:a16="http://schemas.microsoft.com/office/drawing/2014/main" id="{1487C935-0356-8B0A-05BA-DCE60EBB8D4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686" name="Line 279">
          <a:extLst>
            <a:ext uri="{FF2B5EF4-FFF2-40B4-BE49-F238E27FC236}">
              <a16:creationId xmlns:a16="http://schemas.microsoft.com/office/drawing/2014/main" id="{803996A9-0625-D642-3473-65F6888BAEE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687" name="Line 280">
          <a:extLst>
            <a:ext uri="{FF2B5EF4-FFF2-40B4-BE49-F238E27FC236}">
              <a16:creationId xmlns:a16="http://schemas.microsoft.com/office/drawing/2014/main" id="{3DCD784E-4868-D4C4-9348-E6F9DA4ED74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688" name="Line 281">
          <a:extLst>
            <a:ext uri="{FF2B5EF4-FFF2-40B4-BE49-F238E27FC236}">
              <a16:creationId xmlns:a16="http://schemas.microsoft.com/office/drawing/2014/main" id="{87229791-DBD3-FBD2-0D4D-1C0184FF30F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689" name="Line 282">
          <a:extLst>
            <a:ext uri="{FF2B5EF4-FFF2-40B4-BE49-F238E27FC236}">
              <a16:creationId xmlns:a16="http://schemas.microsoft.com/office/drawing/2014/main" id="{9B302128-95E5-C17A-1E29-03D445D0CB6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690" name="Line 283">
          <a:extLst>
            <a:ext uri="{FF2B5EF4-FFF2-40B4-BE49-F238E27FC236}">
              <a16:creationId xmlns:a16="http://schemas.microsoft.com/office/drawing/2014/main" id="{0DFE12D8-1886-1753-2B71-F20F4C614C5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691" name="Line 284">
          <a:extLst>
            <a:ext uri="{FF2B5EF4-FFF2-40B4-BE49-F238E27FC236}">
              <a16:creationId xmlns:a16="http://schemas.microsoft.com/office/drawing/2014/main" id="{03BD9CDC-23B9-7AAE-1A55-77DF761BDC3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692" name="Line 285">
          <a:extLst>
            <a:ext uri="{FF2B5EF4-FFF2-40B4-BE49-F238E27FC236}">
              <a16:creationId xmlns:a16="http://schemas.microsoft.com/office/drawing/2014/main" id="{7C94E5EC-2366-C912-4AE7-53677B5DFD4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693" name="Line 286">
          <a:extLst>
            <a:ext uri="{FF2B5EF4-FFF2-40B4-BE49-F238E27FC236}">
              <a16:creationId xmlns:a16="http://schemas.microsoft.com/office/drawing/2014/main" id="{70D36C14-99B7-440F-9AB0-CB28A57DB60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694" name="Line 287">
          <a:extLst>
            <a:ext uri="{FF2B5EF4-FFF2-40B4-BE49-F238E27FC236}">
              <a16:creationId xmlns:a16="http://schemas.microsoft.com/office/drawing/2014/main" id="{5F3ACA1B-6CCF-6101-BC42-3277E6032A9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695" name="Line 288">
          <a:extLst>
            <a:ext uri="{FF2B5EF4-FFF2-40B4-BE49-F238E27FC236}">
              <a16:creationId xmlns:a16="http://schemas.microsoft.com/office/drawing/2014/main" id="{4874C8DA-1CDA-FBD5-89D7-2401AFADA6C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696" name="Line 289">
          <a:extLst>
            <a:ext uri="{FF2B5EF4-FFF2-40B4-BE49-F238E27FC236}">
              <a16:creationId xmlns:a16="http://schemas.microsoft.com/office/drawing/2014/main" id="{F4C3BA8A-F5F3-2538-E341-A26993D3CEC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697" name="Line 290">
          <a:extLst>
            <a:ext uri="{FF2B5EF4-FFF2-40B4-BE49-F238E27FC236}">
              <a16:creationId xmlns:a16="http://schemas.microsoft.com/office/drawing/2014/main" id="{93A69D6C-D614-9DC3-44BC-8A25EDE76D2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698" name="Line 291">
          <a:extLst>
            <a:ext uri="{FF2B5EF4-FFF2-40B4-BE49-F238E27FC236}">
              <a16:creationId xmlns:a16="http://schemas.microsoft.com/office/drawing/2014/main" id="{1961FE25-E1B0-4B1E-17B3-26D6E7605A9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699" name="Line 292">
          <a:extLst>
            <a:ext uri="{FF2B5EF4-FFF2-40B4-BE49-F238E27FC236}">
              <a16:creationId xmlns:a16="http://schemas.microsoft.com/office/drawing/2014/main" id="{EC8F2767-738C-1A3B-E4E6-39EF8305714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00" name="Line 293">
          <a:extLst>
            <a:ext uri="{FF2B5EF4-FFF2-40B4-BE49-F238E27FC236}">
              <a16:creationId xmlns:a16="http://schemas.microsoft.com/office/drawing/2014/main" id="{F6687D6D-2DEB-DA24-13B6-D84E8245FCC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01" name="Line 294">
          <a:extLst>
            <a:ext uri="{FF2B5EF4-FFF2-40B4-BE49-F238E27FC236}">
              <a16:creationId xmlns:a16="http://schemas.microsoft.com/office/drawing/2014/main" id="{F7AEB5FF-5751-F739-6C4D-7D1392B1BC5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02" name="Line 295">
          <a:extLst>
            <a:ext uri="{FF2B5EF4-FFF2-40B4-BE49-F238E27FC236}">
              <a16:creationId xmlns:a16="http://schemas.microsoft.com/office/drawing/2014/main" id="{E3CDD695-4B20-4236-6A93-13A6B3E4327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03" name="Line 296">
          <a:extLst>
            <a:ext uri="{FF2B5EF4-FFF2-40B4-BE49-F238E27FC236}">
              <a16:creationId xmlns:a16="http://schemas.microsoft.com/office/drawing/2014/main" id="{82F8FFC1-49B3-F247-945A-FC84990376A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04" name="Line 297">
          <a:extLst>
            <a:ext uri="{FF2B5EF4-FFF2-40B4-BE49-F238E27FC236}">
              <a16:creationId xmlns:a16="http://schemas.microsoft.com/office/drawing/2014/main" id="{43805859-E7B9-AC38-73A1-852CF7B7523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05" name="Line 298">
          <a:extLst>
            <a:ext uri="{FF2B5EF4-FFF2-40B4-BE49-F238E27FC236}">
              <a16:creationId xmlns:a16="http://schemas.microsoft.com/office/drawing/2014/main" id="{90533EB3-8B74-CFAB-0DB7-AB13EACB179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06" name="Line 299">
          <a:extLst>
            <a:ext uri="{FF2B5EF4-FFF2-40B4-BE49-F238E27FC236}">
              <a16:creationId xmlns:a16="http://schemas.microsoft.com/office/drawing/2014/main" id="{919C1DC0-8969-682B-0067-35F48199CAE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07" name="Line 300">
          <a:extLst>
            <a:ext uri="{FF2B5EF4-FFF2-40B4-BE49-F238E27FC236}">
              <a16:creationId xmlns:a16="http://schemas.microsoft.com/office/drawing/2014/main" id="{29E7C79D-A825-59B1-260D-929EFE6D47E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08" name="Line 301">
          <a:extLst>
            <a:ext uri="{FF2B5EF4-FFF2-40B4-BE49-F238E27FC236}">
              <a16:creationId xmlns:a16="http://schemas.microsoft.com/office/drawing/2014/main" id="{4FDD53AC-D734-5938-95A9-3010F482F6D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09" name="Line 302">
          <a:extLst>
            <a:ext uri="{FF2B5EF4-FFF2-40B4-BE49-F238E27FC236}">
              <a16:creationId xmlns:a16="http://schemas.microsoft.com/office/drawing/2014/main" id="{700F1C26-FC04-D4E1-C706-68A41BFCE4F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10" name="Line 303">
          <a:extLst>
            <a:ext uri="{FF2B5EF4-FFF2-40B4-BE49-F238E27FC236}">
              <a16:creationId xmlns:a16="http://schemas.microsoft.com/office/drawing/2014/main" id="{FAEEB6A7-E50C-1B05-920B-FF3E6FF32E9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11" name="Line 304">
          <a:extLst>
            <a:ext uri="{FF2B5EF4-FFF2-40B4-BE49-F238E27FC236}">
              <a16:creationId xmlns:a16="http://schemas.microsoft.com/office/drawing/2014/main" id="{1EF893B8-D0D5-0B24-FE4B-66D08F2A8C9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12" name="Line 305">
          <a:extLst>
            <a:ext uri="{FF2B5EF4-FFF2-40B4-BE49-F238E27FC236}">
              <a16:creationId xmlns:a16="http://schemas.microsoft.com/office/drawing/2014/main" id="{105A2840-7351-A542-CFB1-6A03CBC9850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13" name="Line 306">
          <a:extLst>
            <a:ext uri="{FF2B5EF4-FFF2-40B4-BE49-F238E27FC236}">
              <a16:creationId xmlns:a16="http://schemas.microsoft.com/office/drawing/2014/main" id="{1803C979-44CD-DF06-64DA-2BB76DFF0D7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14" name="Line 307">
          <a:extLst>
            <a:ext uri="{FF2B5EF4-FFF2-40B4-BE49-F238E27FC236}">
              <a16:creationId xmlns:a16="http://schemas.microsoft.com/office/drawing/2014/main" id="{F2AE7412-C8FD-E990-4C5F-D8D15C28285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15" name="Line 308">
          <a:extLst>
            <a:ext uri="{FF2B5EF4-FFF2-40B4-BE49-F238E27FC236}">
              <a16:creationId xmlns:a16="http://schemas.microsoft.com/office/drawing/2014/main" id="{7C3D7860-43E8-0127-0566-BD40014DCE9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16" name="Line 309">
          <a:extLst>
            <a:ext uri="{FF2B5EF4-FFF2-40B4-BE49-F238E27FC236}">
              <a16:creationId xmlns:a16="http://schemas.microsoft.com/office/drawing/2014/main" id="{0EDF19FA-C061-89D0-D888-3E795D33F35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17" name="Line 310">
          <a:extLst>
            <a:ext uri="{FF2B5EF4-FFF2-40B4-BE49-F238E27FC236}">
              <a16:creationId xmlns:a16="http://schemas.microsoft.com/office/drawing/2014/main" id="{BC076AB6-BD2D-9F25-1905-76B1EEFB343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18" name="Line 311">
          <a:extLst>
            <a:ext uri="{FF2B5EF4-FFF2-40B4-BE49-F238E27FC236}">
              <a16:creationId xmlns:a16="http://schemas.microsoft.com/office/drawing/2014/main" id="{A885AA8D-C5A3-E185-A1D8-79E178335FB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19" name="Line 312">
          <a:extLst>
            <a:ext uri="{FF2B5EF4-FFF2-40B4-BE49-F238E27FC236}">
              <a16:creationId xmlns:a16="http://schemas.microsoft.com/office/drawing/2014/main" id="{18EE6862-97BE-0CDC-B25A-DB99F991AD3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20" name="Line 313">
          <a:extLst>
            <a:ext uri="{FF2B5EF4-FFF2-40B4-BE49-F238E27FC236}">
              <a16:creationId xmlns:a16="http://schemas.microsoft.com/office/drawing/2014/main" id="{7B5140DF-EF32-D5E5-6905-AFA35030BE9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21" name="Line 314">
          <a:extLst>
            <a:ext uri="{FF2B5EF4-FFF2-40B4-BE49-F238E27FC236}">
              <a16:creationId xmlns:a16="http://schemas.microsoft.com/office/drawing/2014/main" id="{378B75B2-3391-73BC-D045-FBDDD1EE71F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22" name="Line 315">
          <a:extLst>
            <a:ext uri="{FF2B5EF4-FFF2-40B4-BE49-F238E27FC236}">
              <a16:creationId xmlns:a16="http://schemas.microsoft.com/office/drawing/2014/main" id="{C92F42CD-0DD1-5A69-FBAE-95C03EF79BA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23" name="Line 316">
          <a:extLst>
            <a:ext uri="{FF2B5EF4-FFF2-40B4-BE49-F238E27FC236}">
              <a16:creationId xmlns:a16="http://schemas.microsoft.com/office/drawing/2014/main" id="{98775EF9-6184-A1A7-AE10-FC45A532381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24" name="Line 317">
          <a:extLst>
            <a:ext uri="{FF2B5EF4-FFF2-40B4-BE49-F238E27FC236}">
              <a16:creationId xmlns:a16="http://schemas.microsoft.com/office/drawing/2014/main" id="{C1C63E51-3346-89BD-D190-8EABB17A6A5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25" name="Line 318">
          <a:extLst>
            <a:ext uri="{FF2B5EF4-FFF2-40B4-BE49-F238E27FC236}">
              <a16:creationId xmlns:a16="http://schemas.microsoft.com/office/drawing/2014/main" id="{7A79BA63-5380-CD39-962F-6B5714436D4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26" name="Line 319">
          <a:extLst>
            <a:ext uri="{FF2B5EF4-FFF2-40B4-BE49-F238E27FC236}">
              <a16:creationId xmlns:a16="http://schemas.microsoft.com/office/drawing/2014/main" id="{FCA9B9DD-C155-E60B-0C71-D88E6E70115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27" name="Line 320">
          <a:extLst>
            <a:ext uri="{FF2B5EF4-FFF2-40B4-BE49-F238E27FC236}">
              <a16:creationId xmlns:a16="http://schemas.microsoft.com/office/drawing/2014/main" id="{BB83FB8F-65E7-877D-847E-07AB67CBEC6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28" name="Line 321">
          <a:extLst>
            <a:ext uri="{FF2B5EF4-FFF2-40B4-BE49-F238E27FC236}">
              <a16:creationId xmlns:a16="http://schemas.microsoft.com/office/drawing/2014/main" id="{F596EDDD-AE75-A07B-B396-24574BC5544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29" name="Line 322">
          <a:extLst>
            <a:ext uri="{FF2B5EF4-FFF2-40B4-BE49-F238E27FC236}">
              <a16:creationId xmlns:a16="http://schemas.microsoft.com/office/drawing/2014/main" id="{259FD29A-596F-ABD4-3471-0F16422582A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30" name="Line 323">
          <a:extLst>
            <a:ext uri="{FF2B5EF4-FFF2-40B4-BE49-F238E27FC236}">
              <a16:creationId xmlns:a16="http://schemas.microsoft.com/office/drawing/2014/main" id="{BF1ACA0E-EEE0-D764-B687-5FDD1D4AE83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31" name="Line 324">
          <a:extLst>
            <a:ext uri="{FF2B5EF4-FFF2-40B4-BE49-F238E27FC236}">
              <a16:creationId xmlns:a16="http://schemas.microsoft.com/office/drawing/2014/main" id="{54578BF2-0066-C955-0F05-7642F20ACEA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32" name="Line 325">
          <a:extLst>
            <a:ext uri="{FF2B5EF4-FFF2-40B4-BE49-F238E27FC236}">
              <a16:creationId xmlns:a16="http://schemas.microsoft.com/office/drawing/2014/main" id="{3F893F21-DD74-43B9-76CC-A9FB3FC6C62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33" name="Line 326">
          <a:extLst>
            <a:ext uri="{FF2B5EF4-FFF2-40B4-BE49-F238E27FC236}">
              <a16:creationId xmlns:a16="http://schemas.microsoft.com/office/drawing/2014/main" id="{2363F77D-9AA4-E5A7-5B5F-BB81FB526DE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34" name="Line 327">
          <a:extLst>
            <a:ext uri="{FF2B5EF4-FFF2-40B4-BE49-F238E27FC236}">
              <a16:creationId xmlns:a16="http://schemas.microsoft.com/office/drawing/2014/main" id="{0D580BE4-0D9E-EA7F-E7D3-2025C775242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35" name="Line 328">
          <a:extLst>
            <a:ext uri="{FF2B5EF4-FFF2-40B4-BE49-F238E27FC236}">
              <a16:creationId xmlns:a16="http://schemas.microsoft.com/office/drawing/2014/main" id="{328B7429-76BB-1D4C-4C65-5CE0D0F382F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36" name="Line 329">
          <a:extLst>
            <a:ext uri="{FF2B5EF4-FFF2-40B4-BE49-F238E27FC236}">
              <a16:creationId xmlns:a16="http://schemas.microsoft.com/office/drawing/2014/main" id="{56BDB372-C0E4-D8FC-2190-8A5B118DA7C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37" name="Line 330">
          <a:extLst>
            <a:ext uri="{FF2B5EF4-FFF2-40B4-BE49-F238E27FC236}">
              <a16:creationId xmlns:a16="http://schemas.microsoft.com/office/drawing/2014/main" id="{5168B963-12AF-4C0B-E25B-93D66F2A17B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38" name="Line 331">
          <a:extLst>
            <a:ext uri="{FF2B5EF4-FFF2-40B4-BE49-F238E27FC236}">
              <a16:creationId xmlns:a16="http://schemas.microsoft.com/office/drawing/2014/main" id="{5AEB2E9E-3A27-6BAE-0A41-E922A851C6C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39" name="Line 332">
          <a:extLst>
            <a:ext uri="{FF2B5EF4-FFF2-40B4-BE49-F238E27FC236}">
              <a16:creationId xmlns:a16="http://schemas.microsoft.com/office/drawing/2014/main" id="{AB6E56EE-08EC-7164-7B97-C34EC23E829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40" name="Line 333">
          <a:extLst>
            <a:ext uri="{FF2B5EF4-FFF2-40B4-BE49-F238E27FC236}">
              <a16:creationId xmlns:a16="http://schemas.microsoft.com/office/drawing/2014/main" id="{1FD65773-9194-2503-969E-613A11FE634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41" name="Line 334">
          <a:extLst>
            <a:ext uri="{FF2B5EF4-FFF2-40B4-BE49-F238E27FC236}">
              <a16:creationId xmlns:a16="http://schemas.microsoft.com/office/drawing/2014/main" id="{D121AFA2-1F61-9CBC-0EBD-7C58225ECC0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42" name="Line 335">
          <a:extLst>
            <a:ext uri="{FF2B5EF4-FFF2-40B4-BE49-F238E27FC236}">
              <a16:creationId xmlns:a16="http://schemas.microsoft.com/office/drawing/2014/main" id="{0E41A997-E464-F049-F02D-EFEA7FC3345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43" name="Line 336">
          <a:extLst>
            <a:ext uri="{FF2B5EF4-FFF2-40B4-BE49-F238E27FC236}">
              <a16:creationId xmlns:a16="http://schemas.microsoft.com/office/drawing/2014/main" id="{85E2A311-7061-C831-B02F-323A0619482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44" name="Line 337">
          <a:extLst>
            <a:ext uri="{FF2B5EF4-FFF2-40B4-BE49-F238E27FC236}">
              <a16:creationId xmlns:a16="http://schemas.microsoft.com/office/drawing/2014/main" id="{0B82C0FC-31A2-D057-A268-9A9493BFFE6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45" name="Line 338">
          <a:extLst>
            <a:ext uri="{FF2B5EF4-FFF2-40B4-BE49-F238E27FC236}">
              <a16:creationId xmlns:a16="http://schemas.microsoft.com/office/drawing/2014/main" id="{29BB4FE0-4719-E689-2CC0-BCCDACE4AD6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46" name="Line 339">
          <a:extLst>
            <a:ext uri="{FF2B5EF4-FFF2-40B4-BE49-F238E27FC236}">
              <a16:creationId xmlns:a16="http://schemas.microsoft.com/office/drawing/2014/main" id="{B3B23E2C-248F-CDBF-9B8C-68622899858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47" name="Line 340">
          <a:extLst>
            <a:ext uri="{FF2B5EF4-FFF2-40B4-BE49-F238E27FC236}">
              <a16:creationId xmlns:a16="http://schemas.microsoft.com/office/drawing/2014/main" id="{31BA465E-C76C-6B70-8B2F-5DD0D6400AA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48" name="Line 341">
          <a:extLst>
            <a:ext uri="{FF2B5EF4-FFF2-40B4-BE49-F238E27FC236}">
              <a16:creationId xmlns:a16="http://schemas.microsoft.com/office/drawing/2014/main" id="{4D69BA11-21B1-8170-F81F-3D8528408BA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49" name="Line 342">
          <a:extLst>
            <a:ext uri="{FF2B5EF4-FFF2-40B4-BE49-F238E27FC236}">
              <a16:creationId xmlns:a16="http://schemas.microsoft.com/office/drawing/2014/main" id="{D03C11E6-E532-72CA-CADF-08B0D231E43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50" name="Line 343">
          <a:extLst>
            <a:ext uri="{FF2B5EF4-FFF2-40B4-BE49-F238E27FC236}">
              <a16:creationId xmlns:a16="http://schemas.microsoft.com/office/drawing/2014/main" id="{1F6D08EE-618E-0914-23EB-F3A679BB94D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51" name="Line 344">
          <a:extLst>
            <a:ext uri="{FF2B5EF4-FFF2-40B4-BE49-F238E27FC236}">
              <a16:creationId xmlns:a16="http://schemas.microsoft.com/office/drawing/2014/main" id="{94B1EDBE-FACC-A0FC-57D5-BBAC7093C2E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52" name="Line 345">
          <a:extLst>
            <a:ext uri="{FF2B5EF4-FFF2-40B4-BE49-F238E27FC236}">
              <a16:creationId xmlns:a16="http://schemas.microsoft.com/office/drawing/2014/main" id="{76E435BB-BF60-5B8F-D046-5D86FB0EB7F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53" name="Line 346">
          <a:extLst>
            <a:ext uri="{FF2B5EF4-FFF2-40B4-BE49-F238E27FC236}">
              <a16:creationId xmlns:a16="http://schemas.microsoft.com/office/drawing/2014/main" id="{D8001EDB-C400-37CC-FF61-3B08E48E134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54" name="Line 347">
          <a:extLst>
            <a:ext uri="{FF2B5EF4-FFF2-40B4-BE49-F238E27FC236}">
              <a16:creationId xmlns:a16="http://schemas.microsoft.com/office/drawing/2014/main" id="{C4098977-CD44-0D66-E67F-FC071AB639C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55" name="Line 348">
          <a:extLst>
            <a:ext uri="{FF2B5EF4-FFF2-40B4-BE49-F238E27FC236}">
              <a16:creationId xmlns:a16="http://schemas.microsoft.com/office/drawing/2014/main" id="{A8FFA743-252E-7080-BD47-9ED089D2398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56" name="Line 349">
          <a:extLst>
            <a:ext uri="{FF2B5EF4-FFF2-40B4-BE49-F238E27FC236}">
              <a16:creationId xmlns:a16="http://schemas.microsoft.com/office/drawing/2014/main" id="{70C9E408-2886-7A3D-2CD4-0F68E47D699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57" name="Line 350">
          <a:extLst>
            <a:ext uri="{FF2B5EF4-FFF2-40B4-BE49-F238E27FC236}">
              <a16:creationId xmlns:a16="http://schemas.microsoft.com/office/drawing/2014/main" id="{0BF1707E-FCAB-BA25-9DC5-FB24B83932B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58" name="Line 351">
          <a:extLst>
            <a:ext uri="{FF2B5EF4-FFF2-40B4-BE49-F238E27FC236}">
              <a16:creationId xmlns:a16="http://schemas.microsoft.com/office/drawing/2014/main" id="{8B5C34DF-0AF6-D6B2-9F17-1C57EA2121D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59" name="Line 352">
          <a:extLst>
            <a:ext uri="{FF2B5EF4-FFF2-40B4-BE49-F238E27FC236}">
              <a16:creationId xmlns:a16="http://schemas.microsoft.com/office/drawing/2014/main" id="{F9C5854D-17D4-5FAB-8D13-94AE68C09A5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60" name="Line 353">
          <a:extLst>
            <a:ext uri="{FF2B5EF4-FFF2-40B4-BE49-F238E27FC236}">
              <a16:creationId xmlns:a16="http://schemas.microsoft.com/office/drawing/2014/main" id="{3050742F-5E69-A51E-4CD8-CB986359D14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61" name="Line 354">
          <a:extLst>
            <a:ext uri="{FF2B5EF4-FFF2-40B4-BE49-F238E27FC236}">
              <a16:creationId xmlns:a16="http://schemas.microsoft.com/office/drawing/2014/main" id="{660E50EA-9AD1-D791-FB6D-7B778E9FBA0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62" name="Line 355">
          <a:extLst>
            <a:ext uri="{FF2B5EF4-FFF2-40B4-BE49-F238E27FC236}">
              <a16:creationId xmlns:a16="http://schemas.microsoft.com/office/drawing/2014/main" id="{7E071D74-742D-EF46-FBB4-AA97D1A2E28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63" name="Line 356">
          <a:extLst>
            <a:ext uri="{FF2B5EF4-FFF2-40B4-BE49-F238E27FC236}">
              <a16:creationId xmlns:a16="http://schemas.microsoft.com/office/drawing/2014/main" id="{3B27ECBB-FCEA-E719-7676-EE7652157AB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64" name="Line 357">
          <a:extLst>
            <a:ext uri="{FF2B5EF4-FFF2-40B4-BE49-F238E27FC236}">
              <a16:creationId xmlns:a16="http://schemas.microsoft.com/office/drawing/2014/main" id="{7BEE401B-E4A6-A812-D9F4-5667FCFB172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65" name="Line 358">
          <a:extLst>
            <a:ext uri="{FF2B5EF4-FFF2-40B4-BE49-F238E27FC236}">
              <a16:creationId xmlns:a16="http://schemas.microsoft.com/office/drawing/2014/main" id="{523D855A-404C-579D-53A3-AA8A55E9B03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66" name="Line 359">
          <a:extLst>
            <a:ext uri="{FF2B5EF4-FFF2-40B4-BE49-F238E27FC236}">
              <a16:creationId xmlns:a16="http://schemas.microsoft.com/office/drawing/2014/main" id="{27A24CD5-1CAB-5CB3-BFB8-FD459AA2626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67" name="Line 360">
          <a:extLst>
            <a:ext uri="{FF2B5EF4-FFF2-40B4-BE49-F238E27FC236}">
              <a16:creationId xmlns:a16="http://schemas.microsoft.com/office/drawing/2014/main" id="{0A9E2568-A8CF-BC60-1A0A-A51D3C855BF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68" name="Line 361">
          <a:extLst>
            <a:ext uri="{FF2B5EF4-FFF2-40B4-BE49-F238E27FC236}">
              <a16:creationId xmlns:a16="http://schemas.microsoft.com/office/drawing/2014/main" id="{F294CE0D-3B9E-C566-CD93-6EBB00FDCEA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69" name="Line 362">
          <a:extLst>
            <a:ext uri="{FF2B5EF4-FFF2-40B4-BE49-F238E27FC236}">
              <a16:creationId xmlns:a16="http://schemas.microsoft.com/office/drawing/2014/main" id="{B0575008-485E-3E87-F9C5-D99ABEEFA61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70" name="Line 363">
          <a:extLst>
            <a:ext uri="{FF2B5EF4-FFF2-40B4-BE49-F238E27FC236}">
              <a16:creationId xmlns:a16="http://schemas.microsoft.com/office/drawing/2014/main" id="{F8D12831-FA2E-40AC-7885-B4E3EE85CFD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71" name="Line 364">
          <a:extLst>
            <a:ext uri="{FF2B5EF4-FFF2-40B4-BE49-F238E27FC236}">
              <a16:creationId xmlns:a16="http://schemas.microsoft.com/office/drawing/2014/main" id="{ECD1CEEA-F61E-2B0D-5229-1C5037E3369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72" name="Line 365">
          <a:extLst>
            <a:ext uri="{FF2B5EF4-FFF2-40B4-BE49-F238E27FC236}">
              <a16:creationId xmlns:a16="http://schemas.microsoft.com/office/drawing/2014/main" id="{689E565D-0725-A4AB-3F3B-6B9C2E5243A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73" name="Line 366">
          <a:extLst>
            <a:ext uri="{FF2B5EF4-FFF2-40B4-BE49-F238E27FC236}">
              <a16:creationId xmlns:a16="http://schemas.microsoft.com/office/drawing/2014/main" id="{2D07C280-9CE4-9E38-138E-3C21214BA57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74" name="Line 367">
          <a:extLst>
            <a:ext uri="{FF2B5EF4-FFF2-40B4-BE49-F238E27FC236}">
              <a16:creationId xmlns:a16="http://schemas.microsoft.com/office/drawing/2014/main" id="{78BF4606-123B-85AC-7FE1-FC1E39FEB21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75" name="Line 368">
          <a:extLst>
            <a:ext uri="{FF2B5EF4-FFF2-40B4-BE49-F238E27FC236}">
              <a16:creationId xmlns:a16="http://schemas.microsoft.com/office/drawing/2014/main" id="{A8C96D1F-24B6-59B0-D5EE-60EB0634ACD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76" name="Line 369">
          <a:extLst>
            <a:ext uri="{FF2B5EF4-FFF2-40B4-BE49-F238E27FC236}">
              <a16:creationId xmlns:a16="http://schemas.microsoft.com/office/drawing/2014/main" id="{AE54D2FE-CE6F-6F17-82E9-6653A4DCE8E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77" name="Line 370">
          <a:extLst>
            <a:ext uri="{FF2B5EF4-FFF2-40B4-BE49-F238E27FC236}">
              <a16:creationId xmlns:a16="http://schemas.microsoft.com/office/drawing/2014/main" id="{869F34C3-EC98-E7B3-5812-2F899C0F3E2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78" name="Line 371">
          <a:extLst>
            <a:ext uri="{FF2B5EF4-FFF2-40B4-BE49-F238E27FC236}">
              <a16:creationId xmlns:a16="http://schemas.microsoft.com/office/drawing/2014/main" id="{C54DC738-F366-2531-DA8A-E47C17E07B9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79" name="Line 372">
          <a:extLst>
            <a:ext uri="{FF2B5EF4-FFF2-40B4-BE49-F238E27FC236}">
              <a16:creationId xmlns:a16="http://schemas.microsoft.com/office/drawing/2014/main" id="{9A64C146-5893-EB2D-6673-C0787828302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80" name="Line 373">
          <a:extLst>
            <a:ext uri="{FF2B5EF4-FFF2-40B4-BE49-F238E27FC236}">
              <a16:creationId xmlns:a16="http://schemas.microsoft.com/office/drawing/2014/main" id="{5F2190CF-4400-3BE6-3C4E-296CA286262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81" name="Line 374">
          <a:extLst>
            <a:ext uri="{FF2B5EF4-FFF2-40B4-BE49-F238E27FC236}">
              <a16:creationId xmlns:a16="http://schemas.microsoft.com/office/drawing/2014/main" id="{2F7E71A7-A62F-D66C-6999-39D31A5C0CF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82" name="Line 375">
          <a:extLst>
            <a:ext uri="{FF2B5EF4-FFF2-40B4-BE49-F238E27FC236}">
              <a16:creationId xmlns:a16="http://schemas.microsoft.com/office/drawing/2014/main" id="{A1335719-AA68-D85A-1371-5EEA7C20842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83" name="Line 376">
          <a:extLst>
            <a:ext uri="{FF2B5EF4-FFF2-40B4-BE49-F238E27FC236}">
              <a16:creationId xmlns:a16="http://schemas.microsoft.com/office/drawing/2014/main" id="{7E8C6D6B-9E59-4BBF-4EDC-933A8BF9D76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84" name="Line 377">
          <a:extLst>
            <a:ext uri="{FF2B5EF4-FFF2-40B4-BE49-F238E27FC236}">
              <a16:creationId xmlns:a16="http://schemas.microsoft.com/office/drawing/2014/main" id="{289FD685-3B24-4D1A-22A7-C732EBAAC24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85" name="Line 378">
          <a:extLst>
            <a:ext uri="{FF2B5EF4-FFF2-40B4-BE49-F238E27FC236}">
              <a16:creationId xmlns:a16="http://schemas.microsoft.com/office/drawing/2014/main" id="{17980815-F4D6-64B6-C7D4-A1801406F74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86" name="Line 379">
          <a:extLst>
            <a:ext uri="{FF2B5EF4-FFF2-40B4-BE49-F238E27FC236}">
              <a16:creationId xmlns:a16="http://schemas.microsoft.com/office/drawing/2014/main" id="{B155C78D-3A3A-0797-1C86-8E95B60A630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87" name="Line 380">
          <a:extLst>
            <a:ext uri="{FF2B5EF4-FFF2-40B4-BE49-F238E27FC236}">
              <a16:creationId xmlns:a16="http://schemas.microsoft.com/office/drawing/2014/main" id="{C956E0A8-0451-3742-6C25-538738A2783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88" name="Line 381">
          <a:extLst>
            <a:ext uri="{FF2B5EF4-FFF2-40B4-BE49-F238E27FC236}">
              <a16:creationId xmlns:a16="http://schemas.microsoft.com/office/drawing/2014/main" id="{D260CD8A-2E5D-D663-EB68-84955D58E37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89" name="Line 382">
          <a:extLst>
            <a:ext uri="{FF2B5EF4-FFF2-40B4-BE49-F238E27FC236}">
              <a16:creationId xmlns:a16="http://schemas.microsoft.com/office/drawing/2014/main" id="{B3986179-97FA-2579-A637-2FD51CD1F2D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90" name="Line 383">
          <a:extLst>
            <a:ext uri="{FF2B5EF4-FFF2-40B4-BE49-F238E27FC236}">
              <a16:creationId xmlns:a16="http://schemas.microsoft.com/office/drawing/2014/main" id="{7737FBB2-01BD-8471-3EB1-46E65799037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91" name="Line 384">
          <a:extLst>
            <a:ext uri="{FF2B5EF4-FFF2-40B4-BE49-F238E27FC236}">
              <a16:creationId xmlns:a16="http://schemas.microsoft.com/office/drawing/2014/main" id="{62B52B43-D2D6-BB8A-8560-7934BDB3828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92" name="Line 385">
          <a:extLst>
            <a:ext uri="{FF2B5EF4-FFF2-40B4-BE49-F238E27FC236}">
              <a16:creationId xmlns:a16="http://schemas.microsoft.com/office/drawing/2014/main" id="{78BFDF05-0BA6-4EB5-8D26-A4577F59BF6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93" name="Line 386">
          <a:extLst>
            <a:ext uri="{FF2B5EF4-FFF2-40B4-BE49-F238E27FC236}">
              <a16:creationId xmlns:a16="http://schemas.microsoft.com/office/drawing/2014/main" id="{6D092258-6B6A-221E-5CDE-ACBF911EB4A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94" name="Line 387">
          <a:extLst>
            <a:ext uri="{FF2B5EF4-FFF2-40B4-BE49-F238E27FC236}">
              <a16:creationId xmlns:a16="http://schemas.microsoft.com/office/drawing/2014/main" id="{E9141B37-B051-5E39-B0F7-BF46CB3BEDB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95" name="Line 388">
          <a:extLst>
            <a:ext uri="{FF2B5EF4-FFF2-40B4-BE49-F238E27FC236}">
              <a16:creationId xmlns:a16="http://schemas.microsoft.com/office/drawing/2014/main" id="{9D48D112-A113-F194-72F7-BEF9BDCABE9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96" name="Line 389">
          <a:extLst>
            <a:ext uri="{FF2B5EF4-FFF2-40B4-BE49-F238E27FC236}">
              <a16:creationId xmlns:a16="http://schemas.microsoft.com/office/drawing/2014/main" id="{1DED2BD2-4FA7-9F0A-93E6-51CBDAD3266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97" name="Line 390">
          <a:extLst>
            <a:ext uri="{FF2B5EF4-FFF2-40B4-BE49-F238E27FC236}">
              <a16:creationId xmlns:a16="http://schemas.microsoft.com/office/drawing/2014/main" id="{22542489-12AD-7FAE-A4F4-8E3A9B7600A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98" name="Line 391">
          <a:extLst>
            <a:ext uri="{FF2B5EF4-FFF2-40B4-BE49-F238E27FC236}">
              <a16:creationId xmlns:a16="http://schemas.microsoft.com/office/drawing/2014/main" id="{270F1D4D-390E-E0C3-32DE-126F1687E63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799" name="Line 392">
          <a:extLst>
            <a:ext uri="{FF2B5EF4-FFF2-40B4-BE49-F238E27FC236}">
              <a16:creationId xmlns:a16="http://schemas.microsoft.com/office/drawing/2014/main" id="{0B3E0F41-82A7-1706-6EF2-2DE8979D0C0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00" name="Line 393">
          <a:extLst>
            <a:ext uri="{FF2B5EF4-FFF2-40B4-BE49-F238E27FC236}">
              <a16:creationId xmlns:a16="http://schemas.microsoft.com/office/drawing/2014/main" id="{2628716B-2F12-D2EB-D294-C77BBF21206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01" name="Line 394">
          <a:extLst>
            <a:ext uri="{FF2B5EF4-FFF2-40B4-BE49-F238E27FC236}">
              <a16:creationId xmlns:a16="http://schemas.microsoft.com/office/drawing/2014/main" id="{A08D0EF1-835C-2624-8BA0-2F294AF5B2E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02" name="Line 395">
          <a:extLst>
            <a:ext uri="{FF2B5EF4-FFF2-40B4-BE49-F238E27FC236}">
              <a16:creationId xmlns:a16="http://schemas.microsoft.com/office/drawing/2014/main" id="{765A3991-D73F-B578-5D89-99EC8A9E9B0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03" name="Line 396">
          <a:extLst>
            <a:ext uri="{FF2B5EF4-FFF2-40B4-BE49-F238E27FC236}">
              <a16:creationId xmlns:a16="http://schemas.microsoft.com/office/drawing/2014/main" id="{5B985215-2E84-FFB9-82A2-6ED018DA5C6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04" name="Line 397">
          <a:extLst>
            <a:ext uri="{FF2B5EF4-FFF2-40B4-BE49-F238E27FC236}">
              <a16:creationId xmlns:a16="http://schemas.microsoft.com/office/drawing/2014/main" id="{6BE8CB0E-0908-7BF2-7990-68AC0B4B0B8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05" name="Line 398">
          <a:extLst>
            <a:ext uri="{FF2B5EF4-FFF2-40B4-BE49-F238E27FC236}">
              <a16:creationId xmlns:a16="http://schemas.microsoft.com/office/drawing/2014/main" id="{6405FBF2-0968-EED7-0E46-E0E6EC9E3F0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06" name="Line 399">
          <a:extLst>
            <a:ext uri="{FF2B5EF4-FFF2-40B4-BE49-F238E27FC236}">
              <a16:creationId xmlns:a16="http://schemas.microsoft.com/office/drawing/2014/main" id="{9A4E1A27-4D53-9064-7BDB-608FBBD4396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07" name="Line 400">
          <a:extLst>
            <a:ext uri="{FF2B5EF4-FFF2-40B4-BE49-F238E27FC236}">
              <a16:creationId xmlns:a16="http://schemas.microsoft.com/office/drawing/2014/main" id="{2FFC7215-39AA-4C30-635A-AFF075B84E9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08" name="Line 401">
          <a:extLst>
            <a:ext uri="{FF2B5EF4-FFF2-40B4-BE49-F238E27FC236}">
              <a16:creationId xmlns:a16="http://schemas.microsoft.com/office/drawing/2014/main" id="{AED24056-3EE1-3436-924E-75794B7E167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09" name="Line 402">
          <a:extLst>
            <a:ext uri="{FF2B5EF4-FFF2-40B4-BE49-F238E27FC236}">
              <a16:creationId xmlns:a16="http://schemas.microsoft.com/office/drawing/2014/main" id="{88C12EF0-5AC3-C15B-93BF-4C8010DE392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10" name="Line 403">
          <a:extLst>
            <a:ext uri="{FF2B5EF4-FFF2-40B4-BE49-F238E27FC236}">
              <a16:creationId xmlns:a16="http://schemas.microsoft.com/office/drawing/2014/main" id="{642BAB02-9E68-9C23-03C1-7068241B06D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11" name="Line 404">
          <a:extLst>
            <a:ext uri="{FF2B5EF4-FFF2-40B4-BE49-F238E27FC236}">
              <a16:creationId xmlns:a16="http://schemas.microsoft.com/office/drawing/2014/main" id="{F112825D-7028-FBFE-5243-74895765E1B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12" name="Line 405">
          <a:extLst>
            <a:ext uri="{FF2B5EF4-FFF2-40B4-BE49-F238E27FC236}">
              <a16:creationId xmlns:a16="http://schemas.microsoft.com/office/drawing/2014/main" id="{EE8B4E9D-8503-2357-1C5A-3DEE5DC0153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13" name="Line 406">
          <a:extLst>
            <a:ext uri="{FF2B5EF4-FFF2-40B4-BE49-F238E27FC236}">
              <a16:creationId xmlns:a16="http://schemas.microsoft.com/office/drawing/2014/main" id="{AED1EC41-53B3-E10E-87A2-6525653C19B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14" name="Line 407">
          <a:extLst>
            <a:ext uri="{FF2B5EF4-FFF2-40B4-BE49-F238E27FC236}">
              <a16:creationId xmlns:a16="http://schemas.microsoft.com/office/drawing/2014/main" id="{05FD7BC1-A925-A381-97BB-38F6767FCA4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15" name="Line 408">
          <a:extLst>
            <a:ext uri="{FF2B5EF4-FFF2-40B4-BE49-F238E27FC236}">
              <a16:creationId xmlns:a16="http://schemas.microsoft.com/office/drawing/2014/main" id="{1D0CD91B-2431-1679-A60D-0AC9A680B30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16" name="Line 409">
          <a:extLst>
            <a:ext uri="{FF2B5EF4-FFF2-40B4-BE49-F238E27FC236}">
              <a16:creationId xmlns:a16="http://schemas.microsoft.com/office/drawing/2014/main" id="{B948EA36-CB10-B5E2-1CFD-C10B405EFAF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17" name="Line 410">
          <a:extLst>
            <a:ext uri="{FF2B5EF4-FFF2-40B4-BE49-F238E27FC236}">
              <a16:creationId xmlns:a16="http://schemas.microsoft.com/office/drawing/2014/main" id="{4FF61EE5-6A02-6A6E-2818-028D4D0E9C6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18" name="Line 411">
          <a:extLst>
            <a:ext uri="{FF2B5EF4-FFF2-40B4-BE49-F238E27FC236}">
              <a16:creationId xmlns:a16="http://schemas.microsoft.com/office/drawing/2014/main" id="{10F21D6A-019E-8323-599D-DE95A4F5E7E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19" name="Line 412">
          <a:extLst>
            <a:ext uri="{FF2B5EF4-FFF2-40B4-BE49-F238E27FC236}">
              <a16:creationId xmlns:a16="http://schemas.microsoft.com/office/drawing/2014/main" id="{FBD15CDC-0DD0-E94D-6A64-71437F1E89B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20" name="Line 413">
          <a:extLst>
            <a:ext uri="{FF2B5EF4-FFF2-40B4-BE49-F238E27FC236}">
              <a16:creationId xmlns:a16="http://schemas.microsoft.com/office/drawing/2014/main" id="{428D442A-4A5E-AA18-84C6-21B5E10B999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21" name="Line 414">
          <a:extLst>
            <a:ext uri="{FF2B5EF4-FFF2-40B4-BE49-F238E27FC236}">
              <a16:creationId xmlns:a16="http://schemas.microsoft.com/office/drawing/2014/main" id="{04C361E7-EE43-ECCE-5CBC-A19A3DD0362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22" name="Line 415">
          <a:extLst>
            <a:ext uri="{FF2B5EF4-FFF2-40B4-BE49-F238E27FC236}">
              <a16:creationId xmlns:a16="http://schemas.microsoft.com/office/drawing/2014/main" id="{89E05447-59C9-6FD8-FA7A-BE54773258D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23" name="Line 416">
          <a:extLst>
            <a:ext uri="{FF2B5EF4-FFF2-40B4-BE49-F238E27FC236}">
              <a16:creationId xmlns:a16="http://schemas.microsoft.com/office/drawing/2014/main" id="{57474FEC-290F-C7BA-B1CD-7F3CB8916EE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24" name="Line 417">
          <a:extLst>
            <a:ext uri="{FF2B5EF4-FFF2-40B4-BE49-F238E27FC236}">
              <a16:creationId xmlns:a16="http://schemas.microsoft.com/office/drawing/2014/main" id="{23BFCCAE-9C18-DE8F-9A1C-9A00C9B2526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25" name="Line 418">
          <a:extLst>
            <a:ext uri="{FF2B5EF4-FFF2-40B4-BE49-F238E27FC236}">
              <a16:creationId xmlns:a16="http://schemas.microsoft.com/office/drawing/2014/main" id="{A611C0AF-2008-42D9-DEF7-5017BAFE31C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26" name="Line 419">
          <a:extLst>
            <a:ext uri="{FF2B5EF4-FFF2-40B4-BE49-F238E27FC236}">
              <a16:creationId xmlns:a16="http://schemas.microsoft.com/office/drawing/2014/main" id="{4A5B8660-7439-2800-E291-E319ACBF95C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27" name="Line 420">
          <a:extLst>
            <a:ext uri="{FF2B5EF4-FFF2-40B4-BE49-F238E27FC236}">
              <a16:creationId xmlns:a16="http://schemas.microsoft.com/office/drawing/2014/main" id="{493A9DDF-1911-C742-956A-3181B9F4DE5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28" name="Line 421">
          <a:extLst>
            <a:ext uri="{FF2B5EF4-FFF2-40B4-BE49-F238E27FC236}">
              <a16:creationId xmlns:a16="http://schemas.microsoft.com/office/drawing/2014/main" id="{F39874CC-460C-297F-87FA-73147438CA9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29" name="Line 422">
          <a:extLst>
            <a:ext uri="{FF2B5EF4-FFF2-40B4-BE49-F238E27FC236}">
              <a16:creationId xmlns:a16="http://schemas.microsoft.com/office/drawing/2014/main" id="{AB31599B-0287-6183-5F1C-383CC61E64E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30" name="Line 423">
          <a:extLst>
            <a:ext uri="{FF2B5EF4-FFF2-40B4-BE49-F238E27FC236}">
              <a16:creationId xmlns:a16="http://schemas.microsoft.com/office/drawing/2014/main" id="{435A8772-EFB7-EC62-2DAC-71A75FBDEEC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31" name="Line 424">
          <a:extLst>
            <a:ext uri="{FF2B5EF4-FFF2-40B4-BE49-F238E27FC236}">
              <a16:creationId xmlns:a16="http://schemas.microsoft.com/office/drawing/2014/main" id="{CC05EEBB-D376-A525-8387-E46F32E8BE3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32" name="Line 425">
          <a:extLst>
            <a:ext uri="{FF2B5EF4-FFF2-40B4-BE49-F238E27FC236}">
              <a16:creationId xmlns:a16="http://schemas.microsoft.com/office/drawing/2014/main" id="{7856EA70-1524-21F1-40B9-949F172892B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33" name="Line 426">
          <a:extLst>
            <a:ext uri="{FF2B5EF4-FFF2-40B4-BE49-F238E27FC236}">
              <a16:creationId xmlns:a16="http://schemas.microsoft.com/office/drawing/2014/main" id="{2214E8ED-A843-6A27-6D88-119BB9B3679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34" name="Line 427">
          <a:extLst>
            <a:ext uri="{FF2B5EF4-FFF2-40B4-BE49-F238E27FC236}">
              <a16:creationId xmlns:a16="http://schemas.microsoft.com/office/drawing/2014/main" id="{F96E102B-F079-FD58-81A6-BBCC3F61D62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35" name="Line 428">
          <a:extLst>
            <a:ext uri="{FF2B5EF4-FFF2-40B4-BE49-F238E27FC236}">
              <a16:creationId xmlns:a16="http://schemas.microsoft.com/office/drawing/2014/main" id="{D0867400-0230-5DEC-EEEA-441701D7097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36" name="Line 429">
          <a:extLst>
            <a:ext uri="{FF2B5EF4-FFF2-40B4-BE49-F238E27FC236}">
              <a16:creationId xmlns:a16="http://schemas.microsoft.com/office/drawing/2014/main" id="{A34031D3-E04E-2A48-0419-B664197FA20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37" name="Line 430">
          <a:extLst>
            <a:ext uri="{FF2B5EF4-FFF2-40B4-BE49-F238E27FC236}">
              <a16:creationId xmlns:a16="http://schemas.microsoft.com/office/drawing/2014/main" id="{6CC1F0FD-E192-B1FB-0DD9-916B3C33326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38" name="Line 431">
          <a:extLst>
            <a:ext uri="{FF2B5EF4-FFF2-40B4-BE49-F238E27FC236}">
              <a16:creationId xmlns:a16="http://schemas.microsoft.com/office/drawing/2014/main" id="{7B9BD43C-F4BF-E208-5222-7B55986D7CE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39" name="Line 432">
          <a:extLst>
            <a:ext uri="{FF2B5EF4-FFF2-40B4-BE49-F238E27FC236}">
              <a16:creationId xmlns:a16="http://schemas.microsoft.com/office/drawing/2014/main" id="{2E6386E2-8648-5558-30E8-B913013E79F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40" name="Line 433">
          <a:extLst>
            <a:ext uri="{FF2B5EF4-FFF2-40B4-BE49-F238E27FC236}">
              <a16:creationId xmlns:a16="http://schemas.microsoft.com/office/drawing/2014/main" id="{AEA6A912-CDA0-C70B-B6DD-C3A86C11A3A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41" name="Line 434">
          <a:extLst>
            <a:ext uri="{FF2B5EF4-FFF2-40B4-BE49-F238E27FC236}">
              <a16:creationId xmlns:a16="http://schemas.microsoft.com/office/drawing/2014/main" id="{03B94577-53A0-4DE6-250C-FC35AFF09D7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42" name="Line 435">
          <a:extLst>
            <a:ext uri="{FF2B5EF4-FFF2-40B4-BE49-F238E27FC236}">
              <a16:creationId xmlns:a16="http://schemas.microsoft.com/office/drawing/2014/main" id="{6DFF5ECE-85E5-6C5D-6FFE-9D275437AFD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43" name="Line 436">
          <a:extLst>
            <a:ext uri="{FF2B5EF4-FFF2-40B4-BE49-F238E27FC236}">
              <a16:creationId xmlns:a16="http://schemas.microsoft.com/office/drawing/2014/main" id="{5ED06AE7-EACB-CA81-528D-CBF341F487D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44" name="Line 437">
          <a:extLst>
            <a:ext uri="{FF2B5EF4-FFF2-40B4-BE49-F238E27FC236}">
              <a16:creationId xmlns:a16="http://schemas.microsoft.com/office/drawing/2014/main" id="{2701EDB4-E1AC-E693-0B43-9DE6E0CC341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45" name="Line 438">
          <a:extLst>
            <a:ext uri="{FF2B5EF4-FFF2-40B4-BE49-F238E27FC236}">
              <a16:creationId xmlns:a16="http://schemas.microsoft.com/office/drawing/2014/main" id="{E91674A0-9961-B2E5-BFFA-4A7AE77EFDA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46" name="Line 439">
          <a:extLst>
            <a:ext uri="{FF2B5EF4-FFF2-40B4-BE49-F238E27FC236}">
              <a16:creationId xmlns:a16="http://schemas.microsoft.com/office/drawing/2014/main" id="{A90ED746-4206-9ACC-8CEC-B20B33072C9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47" name="Line 440">
          <a:extLst>
            <a:ext uri="{FF2B5EF4-FFF2-40B4-BE49-F238E27FC236}">
              <a16:creationId xmlns:a16="http://schemas.microsoft.com/office/drawing/2014/main" id="{D745D286-90CC-66E3-095C-A07A17AC406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48" name="Line 441">
          <a:extLst>
            <a:ext uri="{FF2B5EF4-FFF2-40B4-BE49-F238E27FC236}">
              <a16:creationId xmlns:a16="http://schemas.microsoft.com/office/drawing/2014/main" id="{E997C9B0-C0EB-ECF7-B0D7-79777C7E95D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49" name="Line 442">
          <a:extLst>
            <a:ext uri="{FF2B5EF4-FFF2-40B4-BE49-F238E27FC236}">
              <a16:creationId xmlns:a16="http://schemas.microsoft.com/office/drawing/2014/main" id="{5A0E95E5-99BF-AE6C-4450-D7C240C736E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50" name="Line 443">
          <a:extLst>
            <a:ext uri="{FF2B5EF4-FFF2-40B4-BE49-F238E27FC236}">
              <a16:creationId xmlns:a16="http://schemas.microsoft.com/office/drawing/2014/main" id="{9E3D90E9-2918-C401-AAE8-31B3F2975BB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51" name="Line 444">
          <a:extLst>
            <a:ext uri="{FF2B5EF4-FFF2-40B4-BE49-F238E27FC236}">
              <a16:creationId xmlns:a16="http://schemas.microsoft.com/office/drawing/2014/main" id="{E6D82B71-8057-5662-8ED3-7DB78E13021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52" name="Line 445">
          <a:extLst>
            <a:ext uri="{FF2B5EF4-FFF2-40B4-BE49-F238E27FC236}">
              <a16:creationId xmlns:a16="http://schemas.microsoft.com/office/drawing/2014/main" id="{A5125A33-2033-24F1-754D-7351DB411FE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53" name="Line 446">
          <a:extLst>
            <a:ext uri="{FF2B5EF4-FFF2-40B4-BE49-F238E27FC236}">
              <a16:creationId xmlns:a16="http://schemas.microsoft.com/office/drawing/2014/main" id="{C8D5E557-DECB-715A-AC07-ADFBBACB08C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54" name="Line 447">
          <a:extLst>
            <a:ext uri="{FF2B5EF4-FFF2-40B4-BE49-F238E27FC236}">
              <a16:creationId xmlns:a16="http://schemas.microsoft.com/office/drawing/2014/main" id="{C92DBF0A-8DF8-9D3F-C127-A601819E901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55" name="Line 448">
          <a:extLst>
            <a:ext uri="{FF2B5EF4-FFF2-40B4-BE49-F238E27FC236}">
              <a16:creationId xmlns:a16="http://schemas.microsoft.com/office/drawing/2014/main" id="{0E826CF4-C9DF-14CA-99BF-1DE2F4BBC11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56" name="Line 449">
          <a:extLst>
            <a:ext uri="{FF2B5EF4-FFF2-40B4-BE49-F238E27FC236}">
              <a16:creationId xmlns:a16="http://schemas.microsoft.com/office/drawing/2014/main" id="{759326AD-B4B2-22C4-F933-E44CEB23646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57" name="Line 450">
          <a:extLst>
            <a:ext uri="{FF2B5EF4-FFF2-40B4-BE49-F238E27FC236}">
              <a16:creationId xmlns:a16="http://schemas.microsoft.com/office/drawing/2014/main" id="{124824AE-4BD0-337A-74AB-330EE75C439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58" name="Line 451">
          <a:extLst>
            <a:ext uri="{FF2B5EF4-FFF2-40B4-BE49-F238E27FC236}">
              <a16:creationId xmlns:a16="http://schemas.microsoft.com/office/drawing/2014/main" id="{82BF8AAB-F20D-0DF1-0348-34638307812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59" name="Line 452">
          <a:extLst>
            <a:ext uri="{FF2B5EF4-FFF2-40B4-BE49-F238E27FC236}">
              <a16:creationId xmlns:a16="http://schemas.microsoft.com/office/drawing/2014/main" id="{C5C7CAB1-916E-D6FF-58EF-F03B9DAC077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60" name="Line 453">
          <a:extLst>
            <a:ext uri="{FF2B5EF4-FFF2-40B4-BE49-F238E27FC236}">
              <a16:creationId xmlns:a16="http://schemas.microsoft.com/office/drawing/2014/main" id="{9B075970-C845-DF42-EC7B-AAE5365961C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61" name="Line 454">
          <a:extLst>
            <a:ext uri="{FF2B5EF4-FFF2-40B4-BE49-F238E27FC236}">
              <a16:creationId xmlns:a16="http://schemas.microsoft.com/office/drawing/2014/main" id="{B212C9A4-488E-137E-F0C0-0F730AFCBD3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62" name="Line 455">
          <a:extLst>
            <a:ext uri="{FF2B5EF4-FFF2-40B4-BE49-F238E27FC236}">
              <a16:creationId xmlns:a16="http://schemas.microsoft.com/office/drawing/2014/main" id="{A8906F31-B8C1-D3EC-C0E8-E2810B96112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63" name="Line 456">
          <a:extLst>
            <a:ext uri="{FF2B5EF4-FFF2-40B4-BE49-F238E27FC236}">
              <a16:creationId xmlns:a16="http://schemas.microsoft.com/office/drawing/2014/main" id="{636E8BF3-3717-6D4B-CE8E-A0C0BA9ED11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64" name="Line 457">
          <a:extLst>
            <a:ext uri="{FF2B5EF4-FFF2-40B4-BE49-F238E27FC236}">
              <a16:creationId xmlns:a16="http://schemas.microsoft.com/office/drawing/2014/main" id="{A7EE7ECD-9068-C551-5B13-8B2622338B9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65" name="Line 458">
          <a:extLst>
            <a:ext uri="{FF2B5EF4-FFF2-40B4-BE49-F238E27FC236}">
              <a16:creationId xmlns:a16="http://schemas.microsoft.com/office/drawing/2014/main" id="{241791E9-61EA-6824-F728-AF606E717C7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66" name="Line 459">
          <a:extLst>
            <a:ext uri="{FF2B5EF4-FFF2-40B4-BE49-F238E27FC236}">
              <a16:creationId xmlns:a16="http://schemas.microsoft.com/office/drawing/2014/main" id="{E8FB6777-50E1-4ADD-24D9-877E4A2AA3E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67" name="Line 460">
          <a:extLst>
            <a:ext uri="{FF2B5EF4-FFF2-40B4-BE49-F238E27FC236}">
              <a16:creationId xmlns:a16="http://schemas.microsoft.com/office/drawing/2014/main" id="{B2F710AA-E654-EC04-DF3E-FDF7C0ECEF1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68" name="Line 461">
          <a:extLst>
            <a:ext uri="{FF2B5EF4-FFF2-40B4-BE49-F238E27FC236}">
              <a16:creationId xmlns:a16="http://schemas.microsoft.com/office/drawing/2014/main" id="{65CC510C-CD15-BB99-8FE4-D0F1F237D49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69" name="Line 462">
          <a:extLst>
            <a:ext uri="{FF2B5EF4-FFF2-40B4-BE49-F238E27FC236}">
              <a16:creationId xmlns:a16="http://schemas.microsoft.com/office/drawing/2014/main" id="{C9474727-00CE-C378-6059-94FA31CE855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70" name="Line 463">
          <a:extLst>
            <a:ext uri="{FF2B5EF4-FFF2-40B4-BE49-F238E27FC236}">
              <a16:creationId xmlns:a16="http://schemas.microsoft.com/office/drawing/2014/main" id="{8107818E-FA50-80DF-88F5-01787D4A3B7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71" name="Line 464">
          <a:extLst>
            <a:ext uri="{FF2B5EF4-FFF2-40B4-BE49-F238E27FC236}">
              <a16:creationId xmlns:a16="http://schemas.microsoft.com/office/drawing/2014/main" id="{FF097254-71E4-AFF6-BD96-1FADD9DE905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72" name="Line 465">
          <a:extLst>
            <a:ext uri="{FF2B5EF4-FFF2-40B4-BE49-F238E27FC236}">
              <a16:creationId xmlns:a16="http://schemas.microsoft.com/office/drawing/2014/main" id="{51562991-6152-5842-D27A-EED98E44F80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73" name="Line 466">
          <a:extLst>
            <a:ext uri="{FF2B5EF4-FFF2-40B4-BE49-F238E27FC236}">
              <a16:creationId xmlns:a16="http://schemas.microsoft.com/office/drawing/2014/main" id="{B8BA8DE8-545D-EE4E-F375-02E3594A157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74" name="Line 467">
          <a:extLst>
            <a:ext uri="{FF2B5EF4-FFF2-40B4-BE49-F238E27FC236}">
              <a16:creationId xmlns:a16="http://schemas.microsoft.com/office/drawing/2014/main" id="{3C0B979E-CA51-7C90-BF4E-9871BE435FF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75" name="Line 468">
          <a:extLst>
            <a:ext uri="{FF2B5EF4-FFF2-40B4-BE49-F238E27FC236}">
              <a16:creationId xmlns:a16="http://schemas.microsoft.com/office/drawing/2014/main" id="{3C3886A6-1076-FC8F-35C8-E53F3139807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76" name="Line 469">
          <a:extLst>
            <a:ext uri="{FF2B5EF4-FFF2-40B4-BE49-F238E27FC236}">
              <a16:creationId xmlns:a16="http://schemas.microsoft.com/office/drawing/2014/main" id="{9273DAF7-874F-0B1B-0D73-2A8D84BF36E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77" name="Line 470">
          <a:extLst>
            <a:ext uri="{FF2B5EF4-FFF2-40B4-BE49-F238E27FC236}">
              <a16:creationId xmlns:a16="http://schemas.microsoft.com/office/drawing/2014/main" id="{68E1A876-34F2-05B9-B928-ED812EEAA3D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78" name="Line 471">
          <a:extLst>
            <a:ext uri="{FF2B5EF4-FFF2-40B4-BE49-F238E27FC236}">
              <a16:creationId xmlns:a16="http://schemas.microsoft.com/office/drawing/2014/main" id="{260C2267-EA56-AB47-D436-39D44827D0D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79" name="Line 472">
          <a:extLst>
            <a:ext uri="{FF2B5EF4-FFF2-40B4-BE49-F238E27FC236}">
              <a16:creationId xmlns:a16="http://schemas.microsoft.com/office/drawing/2014/main" id="{76F32F7B-2C1D-8953-1F11-EB47EE96DE2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80" name="Line 473">
          <a:extLst>
            <a:ext uri="{FF2B5EF4-FFF2-40B4-BE49-F238E27FC236}">
              <a16:creationId xmlns:a16="http://schemas.microsoft.com/office/drawing/2014/main" id="{C5BA14B9-16DF-E68E-3294-DF660C05F93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81" name="Line 474">
          <a:extLst>
            <a:ext uri="{FF2B5EF4-FFF2-40B4-BE49-F238E27FC236}">
              <a16:creationId xmlns:a16="http://schemas.microsoft.com/office/drawing/2014/main" id="{B2FCF85C-23FB-996E-52F4-652F9DCC9B4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82" name="Line 475">
          <a:extLst>
            <a:ext uri="{FF2B5EF4-FFF2-40B4-BE49-F238E27FC236}">
              <a16:creationId xmlns:a16="http://schemas.microsoft.com/office/drawing/2014/main" id="{BF2CAFDA-82DF-D4DF-A388-8FF1EEDC3EB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83" name="Line 476">
          <a:extLst>
            <a:ext uri="{FF2B5EF4-FFF2-40B4-BE49-F238E27FC236}">
              <a16:creationId xmlns:a16="http://schemas.microsoft.com/office/drawing/2014/main" id="{BA45CAC7-F6C6-FC0F-F821-0777D8267E2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84" name="Line 477">
          <a:extLst>
            <a:ext uri="{FF2B5EF4-FFF2-40B4-BE49-F238E27FC236}">
              <a16:creationId xmlns:a16="http://schemas.microsoft.com/office/drawing/2014/main" id="{DC4E0E4C-F596-A9F7-6DA6-D50C78ADAB2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85" name="Line 478">
          <a:extLst>
            <a:ext uri="{FF2B5EF4-FFF2-40B4-BE49-F238E27FC236}">
              <a16:creationId xmlns:a16="http://schemas.microsoft.com/office/drawing/2014/main" id="{B6320877-B562-0B5E-B014-92842DA13A6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86" name="Line 479">
          <a:extLst>
            <a:ext uri="{FF2B5EF4-FFF2-40B4-BE49-F238E27FC236}">
              <a16:creationId xmlns:a16="http://schemas.microsoft.com/office/drawing/2014/main" id="{2F34829D-AFFF-9A98-EE53-8C9DEE40764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87" name="Line 480">
          <a:extLst>
            <a:ext uri="{FF2B5EF4-FFF2-40B4-BE49-F238E27FC236}">
              <a16:creationId xmlns:a16="http://schemas.microsoft.com/office/drawing/2014/main" id="{167F3D4F-2A6C-E9B0-96A2-913328681AE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88" name="Line 481">
          <a:extLst>
            <a:ext uri="{FF2B5EF4-FFF2-40B4-BE49-F238E27FC236}">
              <a16:creationId xmlns:a16="http://schemas.microsoft.com/office/drawing/2014/main" id="{C0BD31EA-62BE-4929-841E-0FDA285CD9E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89" name="Line 482">
          <a:extLst>
            <a:ext uri="{FF2B5EF4-FFF2-40B4-BE49-F238E27FC236}">
              <a16:creationId xmlns:a16="http://schemas.microsoft.com/office/drawing/2014/main" id="{8046AC15-0ABF-0309-2C3B-EE1D4CD7733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90" name="Line 483">
          <a:extLst>
            <a:ext uri="{FF2B5EF4-FFF2-40B4-BE49-F238E27FC236}">
              <a16:creationId xmlns:a16="http://schemas.microsoft.com/office/drawing/2014/main" id="{33340889-0B1C-5DBF-0488-769856EBF00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91" name="Line 484">
          <a:extLst>
            <a:ext uri="{FF2B5EF4-FFF2-40B4-BE49-F238E27FC236}">
              <a16:creationId xmlns:a16="http://schemas.microsoft.com/office/drawing/2014/main" id="{98AA2E17-E144-6E81-2CFF-0E1A146F5FD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92" name="Line 485">
          <a:extLst>
            <a:ext uri="{FF2B5EF4-FFF2-40B4-BE49-F238E27FC236}">
              <a16:creationId xmlns:a16="http://schemas.microsoft.com/office/drawing/2014/main" id="{2F8A0093-EF16-0A29-0178-773E6A089A8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93" name="Line 486">
          <a:extLst>
            <a:ext uri="{FF2B5EF4-FFF2-40B4-BE49-F238E27FC236}">
              <a16:creationId xmlns:a16="http://schemas.microsoft.com/office/drawing/2014/main" id="{AA866B8A-1E8C-F0B8-C9BF-FFF266E3991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94" name="Line 487">
          <a:extLst>
            <a:ext uri="{FF2B5EF4-FFF2-40B4-BE49-F238E27FC236}">
              <a16:creationId xmlns:a16="http://schemas.microsoft.com/office/drawing/2014/main" id="{12E53ABC-783B-7E8A-4282-7A41CF6D5E6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95" name="Line 488">
          <a:extLst>
            <a:ext uri="{FF2B5EF4-FFF2-40B4-BE49-F238E27FC236}">
              <a16:creationId xmlns:a16="http://schemas.microsoft.com/office/drawing/2014/main" id="{3EB7B16B-E4CE-E938-C281-4CF39C2AC0C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96" name="Line 489">
          <a:extLst>
            <a:ext uri="{FF2B5EF4-FFF2-40B4-BE49-F238E27FC236}">
              <a16:creationId xmlns:a16="http://schemas.microsoft.com/office/drawing/2014/main" id="{C6E98714-1C61-DAAE-7544-B773271E494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97" name="Line 490">
          <a:extLst>
            <a:ext uri="{FF2B5EF4-FFF2-40B4-BE49-F238E27FC236}">
              <a16:creationId xmlns:a16="http://schemas.microsoft.com/office/drawing/2014/main" id="{7BAED429-A14B-76EC-1DFE-A12B8F216E7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98" name="Line 491">
          <a:extLst>
            <a:ext uri="{FF2B5EF4-FFF2-40B4-BE49-F238E27FC236}">
              <a16:creationId xmlns:a16="http://schemas.microsoft.com/office/drawing/2014/main" id="{FF232EDE-0887-9D17-7109-E32C8874E16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899" name="Line 492">
          <a:extLst>
            <a:ext uri="{FF2B5EF4-FFF2-40B4-BE49-F238E27FC236}">
              <a16:creationId xmlns:a16="http://schemas.microsoft.com/office/drawing/2014/main" id="{E7A27EC0-2533-F03B-81C6-D256ADDF9B1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00" name="Line 493">
          <a:extLst>
            <a:ext uri="{FF2B5EF4-FFF2-40B4-BE49-F238E27FC236}">
              <a16:creationId xmlns:a16="http://schemas.microsoft.com/office/drawing/2014/main" id="{EBCF73EE-0E5F-2202-B67B-457A09E2ADA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01" name="Line 494">
          <a:extLst>
            <a:ext uri="{FF2B5EF4-FFF2-40B4-BE49-F238E27FC236}">
              <a16:creationId xmlns:a16="http://schemas.microsoft.com/office/drawing/2014/main" id="{4B45F846-CDF7-B894-D2DE-40FA9FB12C0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02" name="Line 495">
          <a:extLst>
            <a:ext uri="{FF2B5EF4-FFF2-40B4-BE49-F238E27FC236}">
              <a16:creationId xmlns:a16="http://schemas.microsoft.com/office/drawing/2014/main" id="{2F054712-F89E-5B89-2A61-1BD8C63DF72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03" name="Line 496">
          <a:extLst>
            <a:ext uri="{FF2B5EF4-FFF2-40B4-BE49-F238E27FC236}">
              <a16:creationId xmlns:a16="http://schemas.microsoft.com/office/drawing/2014/main" id="{BE2D07F7-14EA-F60A-E61A-1DB037417FF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04" name="Line 497">
          <a:extLst>
            <a:ext uri="{FF2B5EF4-FFF2-40B4-BE49-F238E27FC236}">
              <a16:creationId xmlns:a16="http://schemas.microsoft.com/office/drawing/2014/main" id="{EBF64ACE-006D-6414-2331-086C5C15584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05" name="Line 498">
          <a:extLst>
            <a:ext uri="{FF2B5EF4-FFF2-40B4-BE49-F238E27FC236}">
              <a16:creationId xmlns:a16="http://schemas.microsoft.com/office/drawing/2014/main" id="{7C354B04-D2D3-9DCA-A97E-9B7A7C8D5EB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06" name="Line 499">
          <a:extLst>
            <a:ext uri="{FF2B5EF4-FFF2-40B4-BE49-F238E27FC236}">
              <a16:creationId xmlns:a16="http://schemas.microsoft.com/office/drawing/2014/main" id="{6DE9B7B6-5656-5B2B-CECC-17ABE6C39DB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07" name="Line 500">
          <a:extLst>
            <a:ext uri="{FF2B5EF4-FFF2-40B4-BE49-F238E27FC236}">
              <a16:creationId xmlns:a16="http://schemas.microsoft.com/office/drawing/2014/main" id="{5405D496-0F5D-DE78-59E5-986F8BB250E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08" name="Line 501">
          <a:extLst>
            <a:ext uri="{FF2B5EF4-FFF2-40B4-BE49-F238E27FC236}">
              <a16:creationId xmlns:a16="http://schemas.microsoft.com/office/drawing/2014/main" id="{475417EA-99DD-B402-9AEA-8CC57B9BA70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09" name="Line 502">
          <a:extLst>
            <a:ext uri="{FF2B5EF4-FFF2-40B4-BE49-F238E27FC236}">
              <a16:creationId xmlns:a16="http://schemas.microsoft.com/office/drawing/2014/main" id="{3FF76F1B-C376-E03A-5CEB-682AD5CAE66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10" name="Line 503">
          <a:extLst>
            <a:ext uri="{FF2B5EF4-FFF2-40B4-BE49-F238E27FC236}">
              <a16:creationId xmlns:a16="http://schemas.microsoft.com/office/drawing/2014/main" id="{D3AD1E33-475D-1C44-77FA-831CEC5FE5F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11" name="Line 504">
          <a:extLst>
            <a:ext uri="{FF2B5EF4-FFF2-40B4-BE49-F238E27FC236}">
              <a16:creationId xmlns:a16="http://schemas.microsoft.com/office/drawing/2014/main" id="{9F245EBC-D70F-83AD-235C-5A8BA8EC97C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12" name="Line 505">
          <a:extLst>
            <a:ext uri="{FF2B5EF4-FFF2-40B4-BE49-F238E27FC236}">
              <a16:creationId xmlns:a16="http://schemas.microsoft.com/office/drawing/2014/main" id="{7890762F-C613-6D53-B554-6333428BA0C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13" name="Line 506">
          <a:extLst>
            <a:ext uri="{FF2B5EF4-FFF2-40B4-BE49-F238E27FC236}">
              <a16:creationId xmlns:a16="http://schemas.microsoft.com/office/drawing/2014/main" id="{B8005D1D-1CC6-BD62-FC65-7E6FA26A8B9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14" name="Line 507">
          <a:extLst>
            <a:ext uri="{FF2B5EF4-FFF2-40B4-BE49-F238E27FC236}">
              <a16:creationId xmlns:a16="http://schemas.microsoft.com/office/drawing/2014/main" id="{45938754-42AD-13F5-ECE7-F773501C8B0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15" name="Line 508">
          <a:extLst>
            <a:ext uri="{FF2B5EF4-FFF2-40B4-BE49-F238E27FC236}">
              <a16:creationId xmlns:a16="http://schemas.microsoft.com/office/drawing/2014/main" id="{43AA6B55-CDDD-E2BD-80FE-E950ABA7438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16" name="Line 509">
          <a:extLst>
            <a:ext uri="{FF2B5EF4-FFF2-40B4-BE49-F238E27FC236}">
              <a16:creationId xmlns:a16="http://schemas.microsoft.com/office/drawing/2014/main" id="{461EB0A9-C303-7A5E-45FD-7F974D2C243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17" name="Line 510">
          <a:extLst>
            <a:ext uri="{FF2B5EF4-FFF2-40B4-BE49-F238E27FC236}">
              <a16:creationId xmlns:a16="http://schemas.microsoft.com/office/drawing/2014/main" id="{6449B241-2C56-CCD1-0B19-1B64A5785CE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18" name="Line 511">
          <a:extLst>
            <a:ext uri="{FF2B5EF4-FFF2-40B4-BE49-F238E27FC236}">
              <a16:creationId xmlns:a16="http://schemas.microsoft.com/office/drawing/2014/main" id="{7169BDAC-3E9D-A984-7C04-B3A67ECB1C8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19" name="Line 512">
          <a:extLst>
            <a:ext uri="{FF2B5EF4-FFF2-40B4-BE49-F238E27FC236}">
              <a16:creationId xmlns:a16="http://schemas.microsoft.com/office/drawing/2014/main" id="{8540BF42-8BAE-55EC-CA7B-DC5746753AE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20" name="Line 513">
          <a:extLst>
            <a:ext uri="{FF2B5EF4-FFF2-40B4-BE49-F238E27FC236}">
              <a16:creationId xmlns:a16="http://schemas.microsoft.com/office/drawing/2014/main" id="{04CAF57D-8F73-E5E1-891A-3D6BE6ADBE1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21" name="Line 514">
          <a:extLst>
            <a:ext uri="{FF2B5EF4-FFF2-40B4-BE49-F238E27FC236}">
              <a16:creationId xmlns:a16="http://schemas.microsoft.com/office/drawing/2014/main" id="{AD635FA2-AAB5-80FA-4ACD-7148971DA87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22" name="Line 515">
          <a:extLst>
            <a:ext uri="{FF2B5EF4-FFF2-40B4-BE49-F238E27FC236}">
              <a16:creationId xmlns:a16="http://schemas.microsoft.com/office/drawing/2014/main" id="{EF10557A-2931-9FBF-0573-C2B655D43EB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23" name="Line 516">
          <a:extLst>
            <a:ext uri="{FF2B5EF4-FFF2-40B4-BE49-F238E27FC236}">
              <a16:creationId xmlns:a16="http://schemas.microsoft.com/office/drawing/2014/main" id="{1619BDD4-078B-239F-ABC4-DECE5FE1F8D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24" name="Line 517">
          <a:extLst>
            <a:ext uri="{FF2B5EF4-FFF2-40B4-BE49-F238E27FC236}">
              <a16:creationId xmlns:a16="http://schemas.microsoft.com/office/drawing/2014/main" id="{08D51CA8-41F5-2225-513A-EF8C6B4C31B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25" name="Line 518">
          <a:extLst>
            <a:ext uri="{FF2B5EF4-FFF2-40B4-BE49-F238E27FC236}">
              <a16:creationId xmlns:a16="http://schemas.microsoft.com/office/drawing/2014/main" id="{CB79A6AA-1577-784B-0E90-654A88BFBD8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26" name="Line 519">
          <a:extLst>
            <a:ext uri="{FF2B5EF4-FFF2-40B4-BE49-F238E27FC236}">
              <a16:creationId xmlns:a16="http://schemas.microsoft.com/office/drawing/2014/main" id="{47EF9CC2-088D-5094-4F5C-4FDA2B4C61C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27" name="Line 520">
          <a:extLst>
            <a:ext uri="{FF2B5EF4-FFF2-40B4-BE49-F238E27FC236}">
              <a16:creationId xmlns:a16="http://schemas.microsoft.com/office/drawing/2014/main" id="{E82AECDF-6C1D-8289-8C7A-60301888B8D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28" name="Line 521">
          <a:extLst>
            <a:ext uri="{FF2B5EF4-FFF2-40B4-BE49-F238E27FC236}">
              <a16:creationId xmlns:a16="http://schemas.microsoft.com/office/drawing/2014/main" id="{B06080AA-6115-69B2-C9AF-B61B60877B1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29" name="Line 522">
          <a:extLst>
            <a:ext uri="{FF2B5EF4-FFF2-40B4-BE49-F238E27FC236}">
              <a16:creationId xmlns:a16="http://schemas.microsoft.com/office/drawing/2014/main" id="{2D3FF561-1B6A-A119-94C1-394A82D1F3B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30" name="Line 523">
          <a:extLst>
            <a:ext uri="{FF2B5EF4-FFF2-40B4-BE49-F238E27FC236}">
              <a16:creationId xmlns:a16="http://schemas.microsoft.com/office/drawing/2014/main" id="{61D8F813-9742-5E85-EE06-66D8887FCCF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31" name="Line 524">
          <a:extLst>
            <a:ext uri="{FF2B5EF4-FFF2-40B4-BE49-F238E27FC236}">
              <a16:creationId xmlns:a16="http://schemas.microsoft.com/office/drawing/2014/main" id="{E449F97B-91CF-8784-12A3-C789A764885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32" name="Line 525">
          <a:extLst>
            <a:ext uri="{FF2B5EF4-FFF2-40B4-BE49-F238E27FC236}">
              <a16:creationId xmlns:a16="http://schemas.microsoft.com/office/drawing/2014/main" id="{1C1FED86-C51D-56CF-D571-07932CC9486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33" name="Line 526">
          <a:extLst>
            <a:ext uri="{FF2B5EF4-FFF2-40B4-BE49-F238E27FC236}">
              <a16:creationId xmlns:a16="http://schemas.microsoft.com/office/drawing/2014/main" id="{A0E34DE3-A00B-9D40-1B2E-46B07F9B0CE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34" name="Line 527">
          <a:extLst>
            <a:ext uri="{FF2B5EF4-FFF2-40B4-BE49-F238E27FC236}">
              <a16:creationId xmlns:a16="http://schemas.microsoft.com/office/drawing/2014/main" id="{017AB377-3A2C-597D-6FBE-1103BE28588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35" name="Line 528">
          <a:extLst>
            <a:ext uri="{FF2B5EF4-FFF2-40B4-BE49-F238E27FC236}">
              <a16:creationId xmlns:a16="http://schemas.microsoft.com/office/drawing/2014/main" id="{FAFB45D3-6CA9-6730-6EC6-DE51CB9A4A4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36" name="Line 529">
          <a:extLst>
            <a:ext uri="{FF2B5EF4-FFF2-40B4-BE49-F238E27FC236}">
              <a16:creationId xmlns:a16="http://schemas.microsoft.com/office/drawing/2014/main" id="{056D6482-CB76-5C9E-9ED5-20A5C4FED52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37" name="Line 530">
          <a:extLst>
            <a:ext uri="{FF2B5EF4-FFF2-40B4-BE49-F238E27FC236}">
              <a16:creationId xmlns:a16="http://schemas.microsoft.com/office/drawing/2014/main" id="{48B2BE3D-A483-32BC-8447-88B61FDA386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38" name="Line 531">
          <a:extLst>
            <a:ext uri="{FF2B5EF4-FFF2-40B4-BE49-F238E27FC236}">
              <a16:creationId xmlns:a16="http://schemas.microsoft.com/office/drawing/2014/main" id="{96BAED57-8455-07A3-FADE-DDE10BCAEC0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39" name="Line 532">
          <a:extLst>
            <a:ext uri="{FF2B5EF4-FFF2-40B4-BE49-F238E27FC236}">
              <a16:creationId xmlns:a16="http://schemas.microsoft.com/office/drawing/2014/main" id="{96EF883A-88FA-71F3-C13D-30396B5B738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40" name="Line 533">
          <a:extLst>
            <a:ext uri="{FF2B5EF4-FFF2-40B4-BE49-F238E27FC236}">
              <a16:creationId xmlns:a16="http://schemas.microsoft.com/office/drawing/2014/main" id="{3CD5072C-A979-3C57-97AB-4BF64BD11DD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41" name="Line 534">
          <a:extLst>
            <a:ext uri="{FF2B5EF4-FFF2-40B4-BE49-F238E27FC236}">
              <a16:creationId xmlns:a16="http://schemas.microsoft.com/office/drawing/2014/main" id="{21DBA826-89D7-4F76-399F-60909354A02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42" name="Line 535">
          <a:extLst>
            <a:ext uri="{FF2B5EF4-FFF2-40B4-BE49-F238E27FC236}">
              <a16:creationId xmlns:a16="http://schemas.microsoft.com/office/drawing/2014/main" id="{24A05302-2C88-9519-3D32-8339C32CA7E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43" name="Line 536">
          <a:extLst>
            <a:ext uri="{FF2B5EF4-FFF2-40B4-BE49-F238E27FC236}">
              <a16:creationId xmlns:a16="http://schemas.microsoft.com/office/drawing/2014/main" id="{A89F6859-C085-D3FB-6BE9-32618B32AED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44" name="Line 537">
          <a:extLst>
            <a:ext uri="{FF2B5EF4-FFF2-40B4-BE49-F238E27FC236}">
              <a16:creationId xmlns:a16="http://schemas.microsoft.com/office/drawing/2014/main" id="{652F7DC7-13CB-305D-B9F9-BE97FE858CE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45" name="Line 539">
          <a:extLst>
            <a:ext uri="{FF2B5EF4-FFF2-40B4-BE49-F238E27FC236}">
              <a16:creationId xmlns:a16="http://schemas.microsoft.com/office/drawing/2014/main" id="{58261424-06A1-E387-983C-CFBD398F2CA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46" name="Line 540">
          <a:extLst>
            <a:ext uri="{FF2B5EF4-FFF2-40B4-BE49-F238E27FC236}">
              <a16:creationId xmlns:a16="http://schemas.microsoft.com/office/drawing/2014/main" id="{2E7E80DD-9E7F-0FD4-A48C-EBD8E7A333C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47" name="Line 541">
          <a:extLst>
            <a:ext uri="{FF2B5EF4-FFF2-40B4-BE49-F238E27FC236}">
              <a16:creationId xmlns:a16="http://schemas.microsoft.com/office/drawing/2014/main" id="{B4D7C98C-9D65-AC08-5E4D-EC648140C03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48" name="Line 542">
          <a:extLst>
            <a:ext uri="{FF2B5EF4-FFF2-40B4-BE49-F238E27FC236}">
              <a16:creationId xmlns:a16="http://schemas.microsoft.com/office/drawing/2014/main" id="{5A66650D-88FA-56FF-1133-94CB1E583B4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49" name="Line 543">
          <a:extLst>
            <a:ext uri="{FF2B5EF4-FFF2-40B4-BE49-F238E27FC236}">
              <a16:creationId xmlns:a16="http://schemas.microsoft.com/office/drawing/2014/main" id="{BF6529C2-68B0-94FF-2014-3FBC76EC9C1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50" name="Line 544">
          <a:extLst>
            <a:ext uri="{FF2B5EF4-FFF2-40B4-BE49-F238E27FC236}">
              <a16:creationId xmlns:a16="http://schemas.microsoft.com/office/drawing/2014/main" id="{6A123729-384A-9F7F-9F2D-9E7CC607D3D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51" name="Line 545">
          <a:extLst>
            <a:ext uri="{FF2B5EF4-FFF2-40B4-BE49-F238E27FC236}">
              <a16:creationId xmlns:a16="http://schemas.microsoft.com/office/drawing/2014/main" id="{0F43533B-E79F-A3EA-6CDA-9945D75E4A0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52" name="Line 546">
          <a:extLst>
            <a:ext uri="{FF2B5EF4-FFF2-40B4-BE49-F238E27FC236}">
              <a16:creationId xmlns:a16="http://schemas.microsoft.com/office/drawing/2014/main" id="{84961E14-D7D1-4924-67E9-BB4055D85AE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53" name="Line 547">
          <a:extLst>
            <a:ext uri="{FF2B5EF4-FFF2-40B4-BE49-F238E27FC236}">
              <a16:creationId xmlns:a16="http://schemas.microsoft.com/office/drawing/2014/main" id="{C232C24D-E7A9-B824-62CE-253C32AF3EF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54" name="Line 548">
          <a:extLst>
            <a:ext uri="{FF2B5EF4-FFF2-40B4-BE49-F238E27FC236}">
              <a16:creationId xmlns:a16="http://schemas.microsoft.com/office/drawing/2014/main" id="{352ABD7E-F99F-9435-BB3A-1602C60B085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55" name="Line 549">
          <a:extLst>
            <a:ext uri="{FF2B5EF4-FFF2-40B4-BE49-F238E27FC236}">
              <a16:creationId xmlns:a16="http://schemas.microsoft.com/office/drawing/2014/main" id="{B785ED23-1B29-BACD-FDAC-218D86102DF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56" name="Line 550">
          <a:extLst>
            <a:ext uri="{FF2B5EF4-FFF2-40B4-BE49-F238E27FC236}">
              <a16:creationId xmlns:a16="http://schemas.microsoft.com/office/drawing/2014/main" id="{F2268F7A-B96A-5981-3A1B-F92A1869AAA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57" name="Line 551">
          <a:extLst>
            <a:ext uri="{FF2B5EF4-FFF2-40B4-BE49-F238E27FC236}">
              <a16:creationId xmlns:a16="http://schemas.microsoft.com/office/drawing/2014/main" id="{A76103CB-1B4D-4C2F-8AEC-5189F2820FE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58" name="Line 552">
          <a:extLst>
            <a:ext uri="{FF2B5EF4-FFF2-40B4-BE49-F238E27FC236}">
              <a16:creationId xmlns:a16="http://schemas.microsoft.com/office/drawing/2014/main" id="{C4D76966-AA8C-C6B0-E579-16FFB82A69A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59" name="Line 553">
          <a:extLst>
            <a:ext uri="{FF2B5EF4-FFF2-40B4-BE49-F238E27FC236}">
              <a16:creationId xmlns:a16="http://schemas.microsoft.com/office/drawing/2014/main" id="{D9028F8B-5F00-C030-5244-4E40247F999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60" name="Line 554">
          <a:extLst>
            <a:ext uri="{FF2B5EF4-FFF2-40B4-BE49-F238E27FC236}">
              <a16:creationId xmlns:a16="http://schemas.microsoft.com/office/drawing/2014/main" id="{4703ACA5-4624-B1D1-D680-9B7C8E1E197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61" name="Line 555">
          <a:extLst>
            <a:ext uri="{FF2B5EF4-FFF2-40B4-BE49-F238E27FC236}">
              <a16:creationId xmlns:a16="http://schemas.microsoft.com/office/drawing/2014/main" id="{DF9C72E4-7231-2D0F-04BF-C520E3FAC3D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62" name="Line 556">
          <a:extLst>
            <a:ext uri="{FF2B5EF4-FFF2-40B4-BE49-F238E27FC236}">
              <a16:creationId xmlns:a16="http://schemas.microsoft.com/office/drawing/2014/main" id="{35B2821B-68FB-A0AB-F916-3299F6A9F12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63" name="Line 557">
          <a:extLst>
            <a:ext uri="{FF2B5EF4-FFF2-40B4-BE49-F238E27FC236}">
              <a16:creationId xmlns:a16="http://schemas.microsoft.com/office/drawing/2014/main" id="{DF3227F1-7636-65A7-D151-337D04BDFFA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64" name="Line 558">
          <a:extLst>
            <a:ext uri="{FF2B5EF4-FFF2-40B4-BE49-F238E27FC236}">
              <a16:creationId xmlns:a16="http://schemas.microsoft.com/office/drawing/2014/main" id="{766CF652-83D4-6951-5B0E-BAA2FEA6D5D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65" name="Line 559">
          <a:extLst>
            <a:ext uri="{FF2B5EF4-FFF2-40B4-BE49-F238E27FC236}">
              <a16:creationId xmlns:a16="http://schemas.microsoft.com/office/drawing/2014/main" id="{80919C98-A0E0-78A6-7379-95654FA5CE5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66" name="Line 560">
          <a:extLst>
            <a:ext uri="{FF2B5EF4-FFF2-40B4-BE49-F238E27FC236}">
              <a16:creationId xmlns:a16="http://schemas.microsoft.com/office/drawing/2014/main" id="{317F4559-0230-D360-FC94-615652429BE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67" name="Line 561">
          <a:extLst>
            <a:ext uri="{FF2B5EF4-FFF2-40B4-BE49-F238E27FC236}">
              <a16:creationId xmlns:a16="http://schemas.microsoft.com/office/drawing/2014/main" id="{81ADD8CD-1B3B-4711-C8AA-ED598934E55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68" name="Line 562">
          <a:extLst>
            <a:ext uri="{FF2B5EF4-FFF2-40B4-BE49-F238E27FC236}">
              <a16:creationId xmlns:a16="http://schemas.microsoft.com/office/drawing/2014/main" id="{A0560D23-4D48-B628-8C59-A38CE66B51A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69" name="Line 563">
          <a:extLst>
            <a:ext uri="{FF2B5EF4-FFF2-40B4-BE49-F238E27FC236}">
              <a16:creationId xmlns:a16="http://schemas.microsoft.com/office/drawing/2014/main" id="{3E95055C-110E-1658-DB97-A830FD0EC53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70" name="Line 564">
          <a:extLst>
            <a:ext uri="{FF2B5EF4-FFF2-40B4-BE49-F238E27FC236}">
              <a16:creationId xmlns:a16="http://schemas.microsoft.com/office/drawing/2014/main" id="{3EA26687-8263-D90A-BC7B-6CAAE83D563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71" name="Line 565">
          <a:extLst>
            <a:ext uri="{FF2B5EF4-FFF2-40B4-BE49-F238E27FC236}">
              <a16:creationId xmlns:a16="http://schemas.microsoft.com/office/drawing/2014/main" id="{542ADC24-FF84-6F6A-BC2B-E7B14D01583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72" name="Line 566">
          <a:extLst>
            <a:ext uri="{FF2B5EF4-FFF2-40B4-BE49-F238E27FC236}">
              <a16:creationId xmlns:a16="http://schemas.microsoft.com/office/drawing/2014/main" id="{F3934FF8-B1CA-79ED-8D2A-A7955D287C9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73" name="Line 567">
          <a:extLst>
            <a:ext uri="{FF2B5EF4-FFF2-40B4-BE49-F238E27FC236}">
              <a16:creationId xmlns:a16="http://schemas.microsoft.com/office/drawing/2014/main" id="{8DD784A8-662D-AB59-7C79-EEE03C8F060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74" name="Line 568">
          <a:extLst>
            <a:ext uri="{FF2B5EF4-FFF2-40B4-BE49-F238E27FC236}">
              <a16:creationId xmlns:a16="http://schemas.microsoft.com/office/drawing/2014/main" id="{869AE165-7ED4-BBBD-D3A2-C4A0A8DAFBA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75" name="Line 569">
          <a:extLst>
            <a:ext uri="{FF2B5EF4-FFF2-40B4-BE49-F238E27FC236}">
              <a16:creationId xmlns:a16="http://schemas.microsoft.com/office/drawing/2014/main" id="{FD16C790-4F62-7F45-7735-6C861044E7D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76" name="Line 570">
          <a:extLst>
            <a:ext uri="{FF2B5EF4-FFF2-40B4-BE49-F238E27FC236}">
              <a16:creationId xmlns:a16="http://schemas.microsoft.com/office/drawing/2014/main" id="{8A358125-D60F-47CA-D57D-50F8CA5A4F3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77" name="Line 571">
          <a:extLst>
            <a:ext uri="{FF2B5EF4-FFF2-40B4-BE49-F238E27FC236}">
              <a16:creationId xmlns:a16="http://schemas.microsoft.com/office/drawing/2014/main" id="{3E9458F6-1258-A1FE-9BBE-AFE1CC5AD11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78" name="Line 572">
          <a:extLst>
            <a:ext uri="{FF2B5EF4-FFF2-40B4-BE49-F238E27FC236}">
              <a16:creationId xmlns:a16="http://schemas.microsoft.com/office/drawing/2014/main" id="{270AC22C-DC8C-B6BB-6297-1D66762B10F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79" name="Line 573">
          <a:extLst>
            <a:ext uri="{FF2B5EF4-FFF2-40B4-BE49-F238E27FC236}">
              <a16:creationId xmlns:a16="http://schemas.microsoft.com/office/drawing/2014/main" id="{D688796A-BC36-17B4-30D5-6F87FF714DD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80" name="Line 574">
          <a:extLst>
            <a:ext uri="{FF2B5EF4-FFF2-40B4-BE49-F238E27FC236}">
              <a16:creationId xmlns:a16="http://schemas.microsoft.com/office/drawing/2014/main" id="{ABE26495-6DF5-3EB0-A762-A8D9026EB9D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81" name="Line 575">
          <a:extLst>
            <a:ext uri="{FF2B5EF4-FFF2-40B4-BE49-F238E27FC236}">
              <a16:creationId xmlns:a16="http://schemas.microsoft.com/office/drawing/2014/main" id="{AA12157C-FE3D-3DAB-5241-FE7BD61FABE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82" name="Line 576">
          <a:extLst>
            <a:ext uri="{FF2B5EF4-FFF2-40B4-BE49-F238E27FC236}">
              <a16:creationId xmlns:a16="http://schemas.microsoft.com/office/drawing/2014/main" id="{4EE79133-D266-603C-3DA8-A6CEC1ED85A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83" name="Line 577">
          <a:extLst>
            <a:ext uri="{FF2B5EF4-FFF2-40B4-BE49-F238E27FC236}">
              <a16:creationId xmlns:a16="http://schemas.microsoft.com/office/drawing/2014/main" id="{07485CCF-AA15-485D-AEB8-520DE86BFF4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84" name="Line 578">
          <a:extLst>
            <a:ext uri="{FF2B5EF4-FFF2-40B4-BE49-F238E27FC236}">
              <a16:creationId xmlns:a16="http://schemas.microsoft.com/office/drawing/2014/main" id="{3B6BBC67-B487-F025-C1A4-817106ADC2E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85" name="Line 579">
          <a:extLst>
            <a:ext uri="{FF2B5EF4-FFF2-40B4-BE49-F238E27FC236}">
              <a16:creationId xmlns:a16="http://schemas.microsoft.com/office/drawing/2014/main" id="{867DB5C0-A562-CF6B-42D7-1B3276CFA7C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86" name="Line 580">
          <a:extLst>
            <a:ext uri="{FF2B5EF4-FFF2-40B4-BE49-F238E27FC236}">
              <a16:creationId xmlns:a16="http://schemas.microsoft.com/office/drawing/2014/main" id="{FD47E627-DF18-1506-5611-A2946DF0E82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87" name="Line 581">
          <a:extLst>
            <a:ext uri="{FF2B5EF4-FFF2-40B4-BE49-F238E27FC236}">
              <a16:creationId xmlns:a16="http://schemas.microsoft.com/office/drawing/2014/main" id="{C6D24A34-F769-C835-0C80-B28CF1D1658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88" name="Line 582">
          <a:extLst>
            <a:ext uri="{FF2B5EF4-FFF2-40B4-BE49-F238E27FC236}">
              <a16:creationId xmlns:a16="http://schemas.microsoft.com/office/drawing/2014/main" id="{F93691D0-7F22-10DD-C8C7-70B042D3E4B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89" name="Line 583">
          <a:extLst>
            <a:ext uri="{FF2B5EF4-FFF2-40B4-BE49-F238E27FC236}">
              <a16:creationId xmlns:a16="http://schemas.microsoft.com/office/drawing/2014/main" id="{7EF0E0C2-55A2-FADE-F4D9-B1EF54A5E51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90" name="Line 584">
          <a:extLst>
            <a:ext uri="{FF2B5EF4-FFF2-40B4-BE49-F238E27FC236}">
              <a16:creationId xmlns:a16="http://schemas.microsoft.com/office/drawing/2014/main" id="{8FFD75C6-D5C7-1B5D-A903-60EF2E89B86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91" name="Line 585">
          <a:extLst>
            <a:ext uri="{FF2B5EF4-FFF2-40B4-BE49-F238E27FC236}">
              <a16:creationId xmlns:a16="http://schemas.microsoft.com/office/drawing/2014/main" id="{BEEE4A82-3D95-30B0-5864-082ADA3A8E2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92" name="Line 586">
          <a:extLst>
            <a:ext uri="{FF2B5EF4-FFF2-40B4-BE49-F238E27FC236}">
              <a16:creationId xmlns:a16="http://schemas.microsoft.com/office/drawing/2014/main" id="{B5AB6EE6-F10C-7E2A-689D-561157D592E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93" name="Line 587">
          <a:extLst>
            <a:ext uri="{FF2B5EF4-FFF2-40B4-BE49-F238E27FC236}">
              <a16:creationId xmlns:a16="http://schemas.microsoft.com/office/drawing/2014/main" id="{D166A47B-61F2-5B9E-7934-F18922D9282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94" name="Line 588">
          <a:extLst>
            <a:ext uri="{FF2B5EF4-FFF2-40B4-BE49-F238E27FC236}">
              <a16:creationId xmlns:a16="http://schemas.microsoft.com/office/drawing/2014/main" id="{5C9EC534-F132-2E36-12AA-9CD7DBF06A4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95" name="Line 589">
          <a:extLst>
            <a:ext uri="{FF2B5EF4-FFF2-40B4-BE49-F238E27FC236}">
              <a16:creationId xmlns:a16="http://schemas.microsoft.com/office/drawing/2014/main" id="{8095B352-FE4D-BDB2-7FE4-F5101055FC3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96" name="Line 590">
          <a:extLst>
            <a:ext uri="{FF2B5EF4-FFF2-40B4-BE49-F238E27FC236}">
              <a16:creationId xmlns:a16="http://schemas.microsoft.com/office/drawing/2014/main" id="{BD9562BB-64B9-0C86-31C3-78D09F63B96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97" name="Line 591">
          <a:extLst>
            <a:ext uri="{FF2B5EF4-FFF2-40B4-BE49-F238E27FC236}">
              <a16:creationId xmlns:a16="http://schemas.microsoft.com/office/drawing/2014/main" id="{4B9DF459-7501-C6E1-5F4E-4E98BEE525D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98" name="Line 592">
          <a:extLst>
            <a:ext uri="{FF2B5EF4-FFF2-40B4-BE49-F238E27FC236}">
              <a16:creationId xmlns:a16="http://schemas.microsoft.com/office/drawing/2014/main" id="{E1D8A005-B008-DAD7-561A-0EAB2B3B86C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7999" name="Line 593">
          <a:extLst>
            <a:ext uri="{FF2B5EF4-FFF2-40B4-BE49-F238E27FC236}">
              <a16:creationId xmlns:a16="http://schemas.microsoft.com/office/drawing/2014/main" id="{48300188-B1CA-8CEC-647A-E725286E6DB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00" name="Line 594">
          <a:extLst>
            <a:ext uri="{FF2B5EF4-FFF2-40B4-BE49-F238E27FC236}">
              <a16:creationId xmlns:a16="http://schemas.microsoft.com/office/drawing/2014/main" id="{45D0EF02-D04C-4E10-AF13-D82BBF5913F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01" name="Line 595">
          <a:extLst>
            <a:ext uri="{FF2B5EF4-FFF2-40B4-BE49-F238E27FC236}">
              <a16:creationId xmlns:a16="http://schemas.microsoft.com/office/drawing/2014/main" id="{9E379F48-EF7E-9719-21C6-6205D5B3AFF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02" name="Line 596">
          <a:extLst>
            <a:ext uri="{FF2B5EF4-FFF2-40B4-BE49-F238E27FC236}">
              <a16:creationId xmlns:a16="http://schemas.microsoft.com/office/drawing/2014/main" id="{9AB37517-FAD2-4B8B-1D43-5FEBB5B9DDB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03" name="Line 597">
          <a:extLst>
            <a:ext uri="{FF2B5EF4-FFF2-40B4-BE49-F238E27FC236}">
              <a16:creationId xmlns:a16="http://schemas.microsoft.com/office/drawing/2014/main" id="{879DBB6B-56E1-3291-3F4D-0B925A9A629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04" name="Line 598">
          <a:extLst>
            <a:ext uri="{FF2B5EF4-FFF2-40B4-BE49-F238E27FC236}">
              <a16:creationId xmlns:a16="http://schemas.microsoft.com/office/drawing/2014/main" id="{AB57FE5D-4AB4-FE93-AD36-FA3B26A0D68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05" name="Line 599">
          <a:extLst>
            <a:ext uri="{FF2B5EF4-FFF2-40B4-BE49-F238E27FC236}">
              <a16:creationId xmlns:a16="http://schemas.microsoft.com/office/drawing/2014/main" id="{7719796E-EC97-7211-6345-9C698758C09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06" name="Line 600">
          <a:extLst>
            <a:ext uri="{FF2B5EF4-FFF2-40B4-BE49-F238E27FC236}">
              <a16:creationId xmlns:a16="http://schemas.microsoft.com/office/drawing/2014/main" id="{5E26F082-0520-DEBF-3496-8916D3CA779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07" name="Line 601">
          <a:extLst>
            <a:ext uri="{FF2B5EF4-FFF2-40B4-BE49-F238E27FC236}">
              <a16:creationId xmlns:a16="http://schemas.microsoft.com/office/drawing/2014/main" id="{ED2EA43C-91F9-D37B-6D10-59BDC90A310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08" name="Line 602">
          <a:extLst>
            <a:ext uri="{FF2B5EF4-FFF2-40B4-BE49-F238E27FC236}">
              <a16:creationId xmlns:a16="http://schemas.microsoft.com/office/drawing/2014/main" id="{523F0F8C-70E5-5A5D-828B-0F86E285A9F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09" name="Line 603">
          <a:extLst>
            <a:ext uri="{FF2B5EF4-FFF2-40B4-BE49-F238E27FC236}">
              <a16:creationId xmlns:a16="http://schemas.microsoft.com/office/drawing/2014/main" id="{5F26E145-0549-C808-6EAB-3DA78B6C33C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10" name="Line 604">
          <a:extLst>
            <a:ext uri="{FF2B5EF4-FFF2-40B4-BE49-F238E27FC236}">
              <a16:creationId xmlns:a16="http://schemas.microsoft.com/office/drawing/2014/main" id="{B400BDD9-7532-43D5-F9DF-0AE95162785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11" name="Line 605">
          <a:extLst>
            <a:ext uri="{FF2B5EF4-FFF2-40B4-BE49-F238E27FC236}">
              <a16:creationId xmlns:a16="http://schemas.microsoft.com/office/drawing/2014/main" id="{F5B15569-E30B-DA05-4D29-FBA0149B1A6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12" name="Line 606">
          <a:extLst>
            <a:ext uri="{FF2B5EF4-FFF2-40B4-BE49-F238E27FC236}">
              <a16:creationId xmlns:a16="http://schemas.microsoft.com/office/drawing/2014/main" id="{6E5190E1-602E-E248-EC33-37F306D434B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13" name="Line 607">
          <a:extLst>
            <a:ext uri="{FF2B5EF4-FFF2-40B4-BE49-F238E27FC236}">
              <a16:creationId xmlns:a16="http://schemas.microsoft.com/office/drawing/2014/main" id="{74374E68-CAA5-D137-095F-9B6EACCC8A7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14" name="Line 608">
          <a:extLst>
            <a:ext uri="{FF2B5EF4-FFF2-40B4-BE49-F238E27FC236}">
              <a16:creationId xmlns:a16="http://schemas.microsoft.com/office/drawing/2014/main" id="{99807EDD-F166-A6EA-5CB2-6D651F58BB4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15" name="Line 609">
          <a:extLst>
            <a:ext uri="{FF2B5EF4-FFF2-40B4-BE49-F238E27FC236}">
              <a16:creationId xmlns:a16="http://schemas.microsoft.com/office/drawing/2014/main" id="{6D10760F-B54B-6BCF-FECE-3C9E17A86F3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16" name="Line 610">
          <a:extLst>
            <a:ext uri="{FF2B5EF4-FFF2-40B4-BE49-F238E27FC236}">
              <a16:creationId xmlns:a16="http://schemas.microsoft.com/office/drawing/2014/main" id="{FACBC797-40E1-8E97-6984-C4184B87EBA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17" name="Line 611">
          <a:extLst>
            <a:ext uri="{FF2B5EF4-FFF2-40B4-BE49-F238E27FC236}">
              <a16:creationId xmlns:a16="http://schemas.microsoft.com/office/drawing/2014/main" id="{0E9B18EB-AF84-6CD7-7FDF-52B6F984F71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18" name="Line 612">
          <a:extLst>
            <a:ext uri="{FF2B5EF4-FFF2-40B4-BE49-F238E27FC236}">
              <a16:creationId xmlns:a16="http://schemas.microsoft.com/office/drawing/2014/main" id="{F7971FE7-ACE6-0557-F44E-E8341426AE7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19" name="Line 613">
          <a:extLst>
            <a:ext uri="{FF2B5EF4-FFF2-40B4-BE49-F238E27FC236}">
              <a16:creationId xmlns:a16="http://schemas.microsoft.com/office/drawing/2014/main" id="{A064A464-7A9C-EC10-3B7C-0CC16AE3D88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20" name="Line 614">
          <a:extLst>
            <a:ext uri="{FF2B5EF4-FFF2-40B4-BE49-F238E27FC236}">
              <a16:creationId xmlns:a16="http://schemas.microsoft.com/office/drawing/2014/main" id="{C3BBAE5D-9A51-8C29-6C23-724AFE07C44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21" name="Line 615">
          <a:extLst>
            <a:ext uri="{FF2B5EF4-FFF2-40B4-BE49-F238E27FC236}">
              <a16:creationId xmlns:a16="http://schemas.microsoft.com/office/drawing/2014/main" id="{99E3B0D6-5055-FBE6-F9B4-A278BC4BF11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22" name="Line 616">
          <a:extLst>
            <a:ext uri="{FF2B5EF4-FFF2-40B4-BE49-F238E27FC236}">
              <a16:creationId xmlns:a16="http://schemas.microsoft.com/office/drawing/2014/main" id="{C6B1F3D0-36E6-A63B-A368-EAA68DBC047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23" name="Line 617">
          <a:extLst>
            <a:ext uri="{FF2B5EF4-FFF2-40B4-BE49-F238E27FC236}">
              <a16:creationId xmlns:a16="http://schemas.microsoft.com/office/drawing/2014/main" id="{AF0F67D6-0B85-C372-219C-EA4B7E5E00A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24" name="Line 618">
          <a:extLst>
            <a:ext uri="{FF2B5EF4-FFF2-40B4-BE49-F238E27FC236}">
              <a16:creationId xmlns:a16="http://schemas.microsoft.com/office/drawing/2014/main" id="{1DC7511E-45FD-FF8E-8A7E-FE0D64C048A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25" name="Line 619">
          <a:extLst>
            <a:ext uri="{FF2B5EF4-FFF2-40B4-BE49-F238E27FC236}">
              <a16:creationId xmlns:a16="http://schemas.microsoft.com/office/drawing/2014/main" id="{573B0719-4421-25E0-49A6-DB1F473620C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26" name="Line 620">
          <a:extLst>
            <a:ext uri="{FF2B5EF4-FFF2-40B4-BE49-F238E27FC236}">
              <a16:creationId xmlns:a16="http://schemas.microsoft.com/office/drawing/2014/main" id="{4F4530CA-CDB2-D072-4667-A8BB44752E8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27" name="Line 621">
          <a:extLst>
            <a:ext uri="{FF2B5EF4-FFF2-40B4-BE49-F238E27FC236}">
              <a16:creationId xmlns:a16="http://schemas.microsoft.com/office/drawing/2014/main" id="{E6F752AB-2F1C-871F-5C35-0A6C2E1E73E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28" name="Line 622">
          <a:extLst>
            <a:ext uri="{FF2B5EF4-FFF2-40B4-BE49-F238E27FC236}">
              <a16:creationId xmlns:a16="http://schemas.microsoft.com/office/drawing/2014/main" id="{805AC90F-8F24-ADC6-3D26-846FCC8CC9C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29" name="Line 623">
          <a:extLst>
            <a:ext uri="{FF2B5EF4-FFF2-40B4-BE49-F238E27FC236}">
              <a16:creationId xmlns:a16="http://schemas.microsoft.com/office/drawing/2014/main" id="{617B594F-2F1D-8094-630B-57D84B41B1A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30" name="Line 624">
          <a:extLst>
            <a:ext uri="{FF2B5EF4-FFF2-40B4-BE49-F238E27FC236}">
              <a16:creationId xmlns:a16="http://schemas.microsoft.com/office/drawing/2014/main" id="{65F8DF74-734A-D576-0639-26673A91821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31" name="Line 625">
          <a:extLst>
            <a:ext uri="{FF2B5EF4-FFF2-40B4-BE49-F238E27FC236}">
              <a16:creationId xmlns:a16="http://schemas.microsoft.com/office/drawing/2014/main" id="{203A2F2B-78CF-D6B1-84E0-091EB0A1EFB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32" name="Line 626">
          <a:extLst>
            <a:ext uri="{FF2B5EF4-FFF2-40B4-BE49-F238E27FC236}">
              <a16:creationId xmlns:a16="http://schemas.microsoft.com/office/drawing/2014/main" id="{D6C6223D-C646-C61E-75EE-B6D621D73F0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33" name="Line 627">
          <a:extLst>
            <a:ext uri="{FF2B5EF4-FFF2-40B4-BE49-F238E27FC236}">
              <a16:creationId xmlns:a16="http://schemas.microsoft.com/office/drawing/2014/main" id="{988276CE-CFD0-1974-47E8-30FCE02A764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34" name="Line 628">
          <a:extLst>
            <a:ext uri="{FF2B5EF4-FFF2-40B4-BE49-F238E27FC236}">
              <a16:creationId xmlns:a16="http://schemas.microsoft.com/office/drawing/2014/main" id="{74782B67-E749-AFF8-705A-C3C848A2DBC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35" name="Line 629">
          <a:extLst>
            <a:ext uri="{FF2B5EF4-FFF2-40B4-BE49-F238E27FC236}">
              <a16:creationId xmlns:a16="http://schemas.microsoft.com/office/drawing/2014/main" id="{6D4B047B-4CB2-AE51-100D-B4F43311F28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36" name="Line 630">
          <a:extLst>
            <a:ext uri="{FF2B5EF4-FFF2-40B4-BE49-F238E27FC236}">
              <a16:creationId xmlns:a16="http://schemas.microsoft.com/office/drawing/2014/main" id="{0E149762-D90D-5EB0-6167-C569AF46F40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37" name="Line 631">
          <a:extLst>
            <a:ext uri="{FF2B5EF4-FFF2-40B4-BE49-F238E27FC236}">
              <a16:creationId xmlns:a16="http://schemas.microsoft.com/office/drawing/2014/main" id="{64B5D4B7-A79E-6C20-ECDA-137BB063814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38" name="Line 632">
          <a:extLst>
            <a:ext uri="{FF2B5EF4-FFF2-40B4-BE49-F238E27FC236}">
              <a16:creationId xmlns:a16="http://schemas.microsoft.com/office/drawing/2014/main" id="{5A262025-ECB0-171A-9FB2-1E21414E418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39" name="Line 633">
          <a:extLst>
            <a:ext uri="{FF2B5EF4-FFF2-40B4-BE49-F238E27FC236}">
              <a16:creationId xmlns:a16="http://schemas.microsoft.com/office/drawing/2014/main" id="{5F6649A8-D333-5052-CE91-C6D3282B3B1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40" name="Line 634">
          <a:extLst>
            <a:ext uri="{FF2B5EF4-FFF2-40B4-BE49-F238E27FC236}">
              <a16:creationId xmlns:a16="http://schemas.microsoft.com/office/drawing/2014/main" id="{B91C08C6-4EB1-85D3-DA99-2AE6AE2C931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41" name="Line 635">
          <a:extLst>
            <a:ext uri="{FF2B5EF4-FFF2-40B4-BE49-F238E27FC236}">
              <a16:creationId xmlns:a16="http://schemas.microsoft.com/office/drawing/2014/main" id="{255C20E6-7667-4DC6-D9AA-FE09EB6D8BF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42" name="Line 636">
          <a:extLst>
            <a:ext uri="{FF2B5EF4-FFF2-40B4-BE49-F238E27FC236}">
              <a16:creationId xmlns:a16="http://schemas.microsoft.com/office/drawing/2014/main" id="{FFDD9780-CBEC-76CC-AE7B-67D49411D51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43" name="Line 637">
          <a:extLst>
            <a:ext uri="{FF2B5EF4-FFF2-40B4-BE49-F238E27FC236}">
              <a16:creationId xmlns:a16="http://schemas.microsoft.com/office/drawing/2014/main" id="{57BD8758-D876-131D-7F0E-C995D1CF4DC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44" name="Line 638">
          <a:extLst>
            <a:ext uri="{FF2B5EF4-FFF2-40B4-BE49-F238E27FC236}">
              <a16:creationId xmlns:a16="http://schemas.microsoft.com/office/drawing/2014/main" id="{D1847842-8796-C428-CC17-5F1AC10AD49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45" name="Line 639">
          <a:extLst>
            <a:ext uri="{FF2B5EF4-FFF2-40B4-BE49-F238E27FC236}">
              <a16:creationId xmlns:a16="http://schemas.microsoft.com/office/drawing/2014/main" id="{FC29061C-3566-7339-9885-779002869B7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46" name="Line 640">
          <a:extLst>
            <a:ext uri="{FF2B5EF4-FFF2-40B4-BE49-F238E27FC236}">
              <a16:creationId xmlns:a16="http://schemas.microsoft.com/office/drawing/2014/main" id="{46D8D30E-E4C8-3A78-CE0D-7478307C0D5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47" name="Line 641">
          <a:extLst>
            <a:ext uri="{FF2B5EF4-FFF2-40B4-BE49-F238E27FC236}">
              <a16:creationId xmlns:a16="http://schemas.microsoft.com/office/drawing/2014/main" id="{55CFA625-A62B-A680-4412-78322BAA244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48" name="Line 642">
          <a:extLst>
            <a:ext uri="{FF2B5EF4-FFF2-40B4-BE49-F238E27FC236}">
              <a16:creationId xmlns:a16="http://schemas.microsoft.com/office/drawing/2014/main" id="{F906BF17-7DDB-70A9-DE01-7788EA7EC47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49" name="Line 643">
          <a:extLst>
            <a:ext uri="{FF2B5EF4-FFF2-40B4-BE49-F238E27FC236}">
              <a16:creationId xmlns:a16="http://schemas.microsoft.com/office/drawing/2014/main" id="{2F254304-33E4-AF96-839A-F96F1E51FC8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50" name="Line 644">
          <a:extLst>
            <a:ext uri="{FF2B5EF4-FFF2-40B4-BE49-F238E27FC236}">
              <a16:creationId xmlns:a16="http://schemas.microsoft.com/office/drawing/2014/main" id="{36600758-CD51-F020-CC41-4303D42EF57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51" name="Line 645">
          <a:extLst>
            <a:ext uri="{FF2B5EF4-FFF2-40B4-BE49-F238E27FC236}">
              <a16:creationId xmlns:a16="http://schemas.microsoft.com/office/drawing/2014/main" id="{B894258E-4B99-BB0F-019C-E9F60F86106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52" name="Line 646">
          <a:extLst>
            <a:ext uri="{FF2B5EF4-FFF2-40B4-BE49-F238E27FC236}">
              <a16:creationId xmlns:a16="http://schemas.microsoft.com/office/drawing/2014/main" id="{730806A0-D772-BFA8-BED3-8234EBA1309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53" name="Line 647">
          <a:extLst>
            <a:ext uri="{FF2B5EF4-FFF2-40B4-BE49-F238E27FC236}">
              <a16:creationId xmlns:a16="http://schemas.microsoft.com/office/drawing/2014/main" id="{BB4336C6-CB0C-6EBF-CF7F-AAF2500F41D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54" name="Line 648">
          <a:extLst>
            <a:ext uri="{FF2B5EF4-FFF2-40B4-BE49-F238E27FC236}">
              <a16:creationId xmlns:a16="http://schemas.microsoft.com/office/drawing/2014/main" id="{B232E51F-511B-D15F-EBFF-CA26DF8E89D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55" name="Line 649">
          <a:extLst>
            <a:ext uri="{FF2B5EF4-FFF2-40B4-BE49-F238E27FC236}">
              <a16:creationId xmlns:a16="http://schemas.microsoft.com/office/drawing/2014/main" id="{17BFD4A0-A86B-4603-EC6D-6EE2566E896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56" name="Line 650">
          <a:extLst>
            <a:ext uri="{FF2B5EF4-FFF2-40B4-BE49-F238E27FC236}">
              <a16:creationId xmlns:a16="http://schemas.microsoft.com/office/drawing/2014/main" id="{0FCBCA4E-6CA4-438D-13B9-F7E4815218E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57" name="Line 651">
          <a:extLst>
            <a:ext uri="{FF2B5EF4-FFF2-40B4-BE49-F238E27FC236}">
              <a16:creationId xmlns:a16="http://schemas.microsoft.com/office/drawing/2014/main" id="{F9F29E0D-9C51-79C5-3418-216E0B1A4B4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58" name="Line 652">
          <a:extLst>
            <a:ext uri="{FF2B5EF4-FFF2-40B4-BE49-F238E27FC236}">
              <a16:creationId xmlns:a16="http://schemas.microsoft.com/office/drawing/2014/main" id="{53FAA6CE-FF26-4BF1-B925-2520EA99EC1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59" name="Line 653">
          <a:extLst>
            <a:ext uri="{FF2B5EF4-FFF2-40B4-BE49-F238E27FC236}">
              <a16:creationId xmlns:a16="http://schemas.microsoft.com/office/drawing/2014/main" id="{8A8004DC-4B0C-7C13-C2AE-A5D462E07B2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60" name="Line 654">
          <a:extLst>
            <a:ext uri="{FF2B5EF4-FFF2-40B4-BE49-F238E27FC236}">
              <a16:creationId xmlns:a16="http://schemas.microsoft.com/office/drawing/2014/main" id="{DC59019E-C308-8B35-8C3B-E945F530D5B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61" name="Line 655">
          <a:extLst>
            <a:ext uri="{FF2B5EF4-FFF2-40B4-BE49-F238E27FC236}">
              <a16:creationId xmlns:a16="http://schemas.microsoft.com/office/drawing/2014/main" id="{1FD41A57-36E6-4A09-77BD-0207F71D258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62" name="Line 656">
          <a:extLst>
            <a:ext uri="{FF2B5EF4-FFF2-40B4-BE49-F238E27FC236}">
              <a16:creationId xmlns:a16="http://schemas.microsoft.com/office/drawing/2014/main" id="{D78790AE-B29E-CFBF-47EB-5203854BBC7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63" name="Line 657">
          <a:extLst>
            <a:ext uri="{FF2B5EF4-FFF2-40B4-BE49-F238E27FC236}">
              <a16:creationId xmlns:a16="http://schemas.microsoft.com/office/drawing/2014/main" id="{CB85A362-A20B-0C51-9AFA-408BCDD8D31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64" name="Line 658">
          <a:extLst>
            <a:ext uri="{FF2B5EF4-FFF2-40B4-BE49-F238E27FC236}">
              <a16:creationId xmlns:a16="http://schemas.microsoft.com/office/drawing/2014/main" id="{1565E22C-3050-FFA5-F446-8D630428A64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65" name="Line 659">
          <a:extLst>
            <a:ext uri="{FF2B5EF4-FFF2-40B4-BE49-F238E27FC236}">
              <a16:creationId xmlns:a16="http://schemas.microsoft.com/office/drawing/2014/main" id="{6745D768-7A63-5409-AA8C-C3EE44A7BE4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66" name="Line 660">
          <a:extLst>
            <a:ext uri="{FF2B5EF4-FFF2-40B4-BE49-F238E27FC236}">
              <a16:creationId xmlns:a16="http://schemas.microsoft.com/office/drawing/2014/main" id="{9E2C3DCC-32D2-F4C0-0F33-4F9E52CF93E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67" name="Line 661">
          <a:extLst>
            <a:ext uri="{FF2B5EF4-FFF2-40B4-BE49-F238E27FC236}">
              <a16:creationId xmlns:a16="http://schemas.microsoft.com/office/drawing/2014/main" id="{CC32F160-65A1-04F8-1528-BFEC735F2BA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68" name="Line 662">
          <a:extLst>
            <a:ext uri="{FF2B5EF4-FFF2-40B4-BE49-F238E27FC236}">
              <a16:creationId xmlns:a16="http://schemas.microsoft.com/office/drawing/2014/main" id="{509819CC-39E2-3A10-CB94-82ECA8DCF47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69" name="Line 663">
          <a:extLst>
            <a:ext uri="{FF2B5EF4-FFF2-40B4-BE49-F238E27FC236}">
              <a16:creationId xmlns:a16="http://schemas.microsoft.com/office/drawing/2014/main" id="{3B0913D9-B729-0F04-4D17-A4990020374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70" name="Line 664">
          <a:extLst>
            <a:ext uri="{FF2B5EF4-FFF2-40B4-BE49-F238E27FC236}">
              <a16:creationId xmlns:a16="http://schemas.microsoft.com/office/drawing/2014/main" id="{0C77979C-8B76-549B-1CA0-55A857D4BF1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71" name="Line 665">
          <a:extLst>
            <a:ext uri="{FF2B5EF4-FFF2-40B4-BE49-F238E27FC236}">
              <a16:creationId xmlns:a16="http://schemas.microsoft.com/office/drawing/2014/main" id="{B6293E2C-FA9F-7FBD-7DC8-6A74F1AD657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72" name="Line 666">
          <a:extLst>
            <a:ext uri="{FF2B5EF4-FFF2-40B4-BE49-F238E27FC236}">
              <a16:creationId xmlns:a16="http://schemas.microsoft.com/office/drawing/2014/main" id="{4D7C7943-B19B-D386-DF55-1DFE0074B9D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73" name="Line 667">
          <a:extLst>
            <a:ext uri="{FF2B5EF4-FFF2-40B4-BE49-F238E27FC236}">
              <a16:creationId xmlns:a16="http://schemas.microsoft.com/office/drawing/2014/main" id="{282D4130-CA27-6C42-FB7D-CA36C714FC5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74" name="Line 668">
          <a:extLst>
            <a:ext uri="{FF2B5EF4-FFF2-40B4-BE49-F238E27FC236}">
              <a16:creationId xmlns:a16="http://schemas.microsoft.com/office/drawing/2014/main" id="{0C6F97E2-E6FF-E23E-7DBF-F90318BA51D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75" name="Line 670">
          <a:extLst>
            <a:ext uri="{FF2B5EF4-FFF2-40B4-BE49-F238E27FC236}">
              <a16:creationId xmlns:a16="http://schemas.microsoft.com/office/drawing/2014/main" id="{5317C32E-01AE-6844-A890-7CC4E7ACD73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76" name="Line 671">
          <a:extLst>
            <a:ext uri="{FF2B5EF4-FFF2-40B4-BE49-F238E27FC236}">
              <a16:creationId xmlns:a16="http://schemas.microsoft.com/office/drawing/2014/main" id="{DC73F121-AA54-F47F-BC1B-9293454D5BE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77" name="Line 672">
          <a:extLst>
            <a:ext uri="{FF2B5EF4-FFF2-40B4-BE49-F238E27FC236}">
              <a16:creationId xmlns:a16="http://schemas.microsoft.com/office/drawing/2014/main" id="{0981E9D1-F2B4-51FA-2F69-F3D1942D585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78" name="Line 673">
          <a:extLst>
            <a:ext uri="{FF2B5EF4-FFF2-40B4-BE49-F238E27FC236}">
              <a16:creationId xmlns:a16="http://schemas.microsoft.com/office/drawing/2014/main" id="{DD31C9A2-F230-385E-C505-75BFAE01511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79" name="Line 674">
          <a:extLst>
            <a:ext uri="{FF2B5EF4-FFF2-40B4-BE49-F238E27FC236}">
              <a16:creationId xmlns:a16="http://schemas.microsoft.com/office/drawing/2014/main" id="{CDE7B58A-B436-B477-E36B-DBFF2B878DB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80" name="Line 675">
          <a:extLst>
            <a:ext uri="{FF2B5EF4-FFF2-40B4-BE49-F238E27FC236}">
              <a16:creationId xmlns:a16="http://schemas.microsoft.com/office/drawing/2014/main" id="{E9CC52FE-BCAE-0407-21F5-CEADB3ACE17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81" name="Line 676">
          <a:extLst>
            <a:ext uri="{FF2B5EF4-FFF2-40B4-BE49-F238E27FC236}">
              <a16:creationId xmlns:a16="http://schemas.microsoft.com/office/drawing/2014/main" id="{1033BF6B-46EC-63DD-14ED-07F41D9E022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82" name="Line 677">
          <a:extLst>
            <a:ext uri="{FF2B5EF4-FFF2-40B4-BE49-F238E27FC236}">
              <a16:creationId xmlns:a16="http://schemas.microsoft.com/office/drawing/2014/main" id="{8BA61109-C2C0-72A8-7F7E-83A9876D1A8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83" name="Line 678">
          <a:extLst>
            <a:ext uri="{FF2B5EF4-FFF2-40B4-BE49-F238E27FC236}">
              <a16:creationId xmlns:a16="http://schemas.microsoft.com/office/drawing/2014/main" id="{7D3423C3-8D67-29DF-9E43-F008F8F6E8A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84" name="Line 679">
          <a:extLst>
            <a:ext uri="{FF2B5EF4-FFF2-40B4-BE49-F238E27FC236}">
              <a16:creationId xmlns:a16="http://schemas.microsoft.com/office/drawing/2014/main" id="{096F1D27-33D3-31E6-FF5C-7C3D9A1B6F2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85" name="Line 680">
          <a:extLst>
            <a:ext uri="{FF2B5EF4-FFF2-40B4-BE49-F238E27FC236}">
              <a16:creationId xmlns:a16="http://schemas.microsoft.com/office/drawing/2014/main" id="{ACB4C944-458E-7378-062E-81120A47EE5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86" name="Line 681">
          <a:extLst>
            <a:ext uri="{FF2B5EF4-FFF2-40B4-BE49-F238E27FC236}">
              <a16:creationId xmlns:a16="http://schemas.microsoft.com/office/drawing/2014/main" id="{3B358444-C4F9-4B76-6BB3-0534B1B08F5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87" name="Line 682">
          <a:extLst>
            <a:ext uri="{FF2B5EF4-FFF2-40B4-BE49-F238E27FC236}">
              <a16:creationId xmlns:a16="http://schemas.microsoft.com/office/drawing/2014/main" id="{ED9807F3-9C66-D17B-C0B1-5A0D2455795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88" name="Line 683">
          <a:extLst>
            <a:ext uri="{FF2B5EF4-FFF2-40B4-BE49-F238E27FC236}">
              <a16:creationId xmlns:a16="http://schemas.microsoft.com/office/drawing/2014/main" id="{D492DED2-1FA2-FA75-3E54-093F4FC0683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89" name="Line 684">
          <a:extLst>
            <a:ext uri="{FF2B5EF4-FFF2-40B4-BE49-F238E27FC236}">
              <a16:creationId xmlns:a16="http://schemas.microsoft.com/office/drawing/2014/main" id="{47E9D36A-35F7-FA9F-1FAB-6091261A50D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90" name="Line 685">
          <a:extLst>
            <a:ext uri="{FF2B5EF4-FFF2-40B4-BE49-F238E27FC236}">
              <a16:creationId xmlns:a16="http://schemas.microsoft.com/office/drawing/2014/main" id="{4E6BB5BA-CE39-8BD4-5F39-D85CE13089E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91" name="Line 686">
          <a:extLst>
            <a:ext uri="{FF2B5EF4-FFF2-40B4-BE49-F238E27FC236}">
              <a16:creationId xmlns:a16="http://schemas.microsoft.com/office/drawing/2014/main" id="{DCC97CBD-3B1D-878C-A56C-5476DFBB806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92" name="Line 687">
          <a:extLst>
            <a:ext uri="{FF2B5EF4-FFF2-40B4-BE49-F238E27FC236}">
              <a16:creationId xmlns:a16="http://schemas.microsoft.com/office/drawing/2014/main" id="{6BD654EF-B63A-C644-2B9C-C53740F11A1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93" name="Line 688">
          <a:extLst>
            <a:ext uri="{FF2B5EF4-FFF2-40B4-BE49-F238E27FC236}">
              <a16:creationId xmlns:a16="http://schemas.microsoft.com/office/drawing/2014/main" id="{1362D66D-8E00-6CB4-D3BC-AD73D99EE34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94" name="Line 689">
          <a:extLst>
            <a:ext uri="{FF2B5EF4-FFF2-40B4-BE49-F238E27FC236}">
              <a16:creationId xmlns:a16="http://schemas.microsoft.com/office/drawing/2014/main" id="{AB03F62A-52C9-14A5-F506-4B2469F4168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95" name="Line 690">
          <a:extLst>
            <a:ext uri="{FF2B5EF4-FFF2-40B4-BE49-F238E27FC236}">
              <a16:creationId xmlns:a16="http://schemas.microsoft.com/office/drawing/2014/main" id="{5A6A1949-970B-E28E-2428-5D1C5236093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96" name="Line 691">
          <a:extLst>
            <a:ext uri="{FF2B5EF4-FFF2-40B4-BE49-F238E27FC236}">
              <a16:creationId xmlns:a16="http://schemas.microsoft.com/office/drawing/2014/main" id="{CB1CC9F4-5DDE-8FCB-CA3C-F88E77EA030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97" name="Line 692">
          <a:extLst>
            <a:ext uri="{FF2B5EF4-FFF2-40B4-BE49-F238E27FC236}">
              <a16:creationId xmlns:a16="http://schemas.microsoft.com/office/drawing/2014/main" id="{A234582E-299E-3C94-1272-1A6B49C3B05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98" name="Line 693">
          <a:extLst>
            <a:ext uri="{FF2B5EF4-FFF2-40B4-BE49-F238E27FC236}">
              <a16:creationId xmlns:a16="http://schemas.microsoft.com/office/drawing/2014/main" id="{0F6120AC-CF0A-CA90-A47D-754E05499F8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099" name="Line 694">
          <a:extLst>
            <a:ext uri="{FF2B5EF4-FFF2-40B4-BE49-F238E27FC236}">
              <a16:creationId xmlns:a16="http://schemas.microsoft.com/office/drawing/2014/main" id="{40721E81-B470-8CB0-499B-B2C4D30737F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00" name="Line 695">
          <a:extLst>
            <a:ext uri="{FF2B5EF4-FFF2-40B4-BE49-F238E27FC236}">
              <a16:creationId xmlns:a16="http://schemas.microsoft.com/office/drawing/2014/main" id="{67F04870-7572-7A1D-BB3D-29A33BFDA6E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01" name="Line 696">
          <a:extLst>
            <a:ext uri="{FF2B5EF4-FFF2-40B4-BE49-F238E27FC236}">
              <a16:creationId xmlns:a16="http://schemas.microsoft.com/office/drawing/2014/main" id="{F3A1058A-4D25-54EE-3A9C-519693691B6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02" name="Line 697">
          <a:extLst>
            <a:ext uri="{FF2B5EF4-FFF2-40B4-BE49-F238E27FC236}">
              <a16:creationId xmlns:a16="http://schemas.microsoft.com/office/drawing/2014/main" id="{DBE3C3A4-080C-4045-7F16-926FA117D59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03" name="Line 698">
          <a:extLst>
            <a:ext uri="{FF2B5EF4-FFF2-40B4-BE49-F238E27FC236}">
              <a16:creationId xmlns:a16="http://schemas.microsoft.com/office/drawing/2014/main" id="{3F22C86D-F907-CFE2-02D8-D96ABFC2AB9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04" name="Line 699">
          <a:extLst>
            <a:ext uri="{FF2B5EF4-FFF2-40B4-BE49-F238E27FC236}">
              <a16:creationId xmlns:a16="http://schemas.microsoft.com/office/drawing/2014/main" id="{FC24AF7A-D679-6A5D-16C8-0654B443FEA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05" name="Line 700">
          <a:extLst>
            <a:ext uri="{FF2B5EF4-FFF2-40B4-BE49-F238E27FC236}">
              <a16:creationId xmlns:a16="http://schemas.microsoft.com/office/drawing/2014/main" id="{1B5B9FDF-EAB0-942B-1107-93BC5FB750F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06" name="Line 701">
          <a:extLst>
            <a:ext uri="{FF2B5EF4-FFF2-40B4-BE49-F238E27FC236}">
              <a16:creationId xmlns:a16="http://schemas.microsoft.com/office/drawing/2014/main" id="{27F8C919-1547-F19F-A116-B3EF1429C6B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07" name="Line 702">
          <a:extLst>
            <a:ext uri="{FF2B5EF4-FFF2-40B4-BE49-F238E27FC236}">
              <a16:creationId xmlns:a16="http://schemas.microsoft.com/office/drawing/2014/main" id="{CF256490-6595-D03D-2C04-3C4A15FA0D9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08" name="Line 703">
          <a:extLst>
            <a:ext uri="{FF2B5EF4-FFF2-40B4-BE49-F238E27FC236}">
              <a16:creationId xmlns:a16="http://schemas.microsoft.com/office/drawing/2014/main" id="{DE2DBA63-46D7-1092-E3CE-0EE7D967C33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09" name="Line 704">
          <a:extLst>
            <a:ext uri="{FF2B5EF4-FFF2-40B4-BE49-F238E27FC236}">
              <a16:creationId xmlns:a16="http://schemas.microsoft.com/office/drawing/2014/main" id="{635A84C9-AFDB-CB50-A09D-AB7AE0B26F0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10" name="Line 705">
          <a:extLst>
            <a:ext uri="{FF2B5EF4-FFF2-40B4-BE49-F238E27FC236}">
              <a16:creationId xmlns:a16="http://schemas.microsoft.com/office/drawing/2014/main" id="{B73F1781-72E4-A4C7-9CC0-76C945BCB13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11" name="Line 706">
          <a:extLst>
            <a:ext uri="{FF2B5EF4-FFF2-40B4-BE49-F238E27FC236}">
              <a16:creationId xmlns:a16="http://schemas.microsoft.com/office/drawing/2014/main" id="{CDAFCCE7-5F80-0F44-E6C9-0D64B4E2028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12" name="Line 707">
          <a:extLst>
            <a:ext uri="{FF2B5EF4-FFF2-40B4-BE49-F238E27FC236}">
              <a16:creationId xmlns:a16="http://schemas.microsoft.com/office/drawing/2014/main" id="{FC34AE30-A289-FC77-F840-115F1BB1F1D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13" name="Line 708">
          <a:extLst>
            <a:ext uri="{FF2B5EF4-FFF2-40B4-BE49-F238E27FC236}">
              <a16:creationId xmlns:a16="http://schemas.microsoft.com/office/drawing/2014/main" id="{5D7A3488-2286-E0BB-B97F-C9FD4EDC36E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14" name="Line 709">
          <a:extLst>
            <a:ext uri="{FF2B5EF4-FFF2-40B4-BE49-F238E27FC236}">
              <a16:creationId xmlns:a16="http://schemas.microsoft.com/office/drawing/2014/main" id="{C2D23C9E-5CEE-0FE9-AE4B-C2B1369B915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15" name="Line 710">
          <a:extLst>
            <a:ext uri="{FF2B5EF4-FFF2-40B4-BE49-F238E27FC236}">
              <a16:creationId xmlns:a16="http://schemas.microsoft.com/office/drawing/2014/main" id="{F160E112-CDBB-AB6B-6956-273B6D3E805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16" name="Line 711">
          <a:extLst>
            <a:ext uri="{FF2B5EF4-FFF2-40B4-BE49-F238E27FC236}">
              <a16:creationId xmlns:a16="http://schemas.microsoft.com/office/drawing/2014/main" id="{36347983-0198-C7D8-7548-51882CF4EB6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17" name="Line 712">
          <a:extLst>
            <a:ext uri="{FF2B5EF4-FFF2-40B4-BE49-F238E27FC236}">
              <a16:creationId xmlns:a16="http://schemas.microsoft.com/office/drawing/2014/main" id="{30237D26-3B48-4DCA-AD34-2F9FEBCA106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18" name="Line 713">
          <a:extLst>
            <a:ext uri="{FF2B5EF4-FFF2-40B4-BE49-F238E27FC236}">
              <a16:creationId xmlns:a16="http://schemas.microsoft.com/office/drawing/2014/main" id="{DF24B1C3-8BF5-9C42-1C45-1644D1D861AD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19" name="Line 714">
          <a:extLst>
            <a:ext uri="{FF2B5EF4-FFF2-40B4-BE49-F238E27FC236}">
              <a16:creationId xmlns:a16="http://schemas.microsoft.com/office/drawing/2014/main" id="{40813B0C-99AE-EE7D-8098-BBF4301607F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20" name="Line 715">
          <a:extLst>
            <a:ext uri="{FF2B5EF4-FFF2-40B4-BE49-F238E27FC236}">
              <a16:creationId xmlns:a16="http://schemas.microsoft.com/office/drawing/2014/main" id="{742FA4C5-E49A-8FA6-81D3-B0081BC6860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21" name="Line 716">
          <a:extLst>
            <a:ext uri="{FF2B5EF4-FFF2-40B4-BE49-F238E27FC236}">
              <a16:creationId xmlns:a16="http://schemas.microsoft.com/office/drawing/2014/main" id="{19CA9CE2-CC95-5981-0A6A-66490DAC7F8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22" name="Line 717">
          <a:extLst>
            <a:ext uri="{FF2B5EF4-FFF2-40B4-BE49-F238E27FC236}">
              <a16:creationId xmlns:a16="http://schemas.microsoft.com/office/drawing/2014/main" id="{937E8FC3-FD7F-2227-528E-69AED6F0EED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23" name="Line 718">
          <a:extLst>
            <a:ext uri="{FF2B5EF4-FFF2-40B4-BE49-F238E27FC236}">
              <a16:creationId xmlns:a16="http://schemas.microsoft.com/office/drawing/2014/main" id="{C6FA4C56-F6E2-9D2F-F4A5-6991BCD3996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24" name="Line 719">
          <a:extLst>
            <a:ext uri="{FF2B5EF4-FFF2-40B4-BE49-F238E27FC236}">
              <a16:creationId xmlns:a16="http://schemas.microsoft.com/office/drawing/2014/main" id="{18DFA7DD-9A06-669D-F227-F7C68A1F068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25" name="Line 720">
          <a:extLst>
            <a:ext uri="{FF2B5EF4-FFF2-40B4-BE49-F238E27FC236}">
              <a16:creationId xmlns:a16="http://schemas.microsoft.com/office/drawing/2014/main" id="{C10F52BB-A4E2-BB36-2867-E05A5AFE5C5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26" name="Line 721">
          <a:extLst>
            <a:ext uri="{FF2B5EF4-FFF2-40B4-BE49-F238E27FC236}">
              <a16:creationId xmlns:a16="http://schemas.microsoft.com/office/drawing/2014/main" id="{E99962C1-46ED-AD36-0FE9-C7361FE8C0F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27" name="Line 722">
          <a:extLst>
            <a:ext uri="{FF2B5EF4-FFF2-40B4-BE49-F238E27FC236}">
              <a16:creationId xmlns:a16="http://schemas.microsoft.com/office/drawing/2014/main" id="{AE6674FF-499C-292D-4B63-F0D0B94F91F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28" name="Line 723">
          <a:extLst>
            <a:ext uri="{FF2B5EF4-FFF2-40B4-BE49-F238E27FC236}">
              <a16:creationId xmlns:a16="http://schemas.microsoft.com/office/drawing/2014/main" id="{62A87027-19B8-49F4-4118-4A4F7DB1384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29" name="Line 724">
          <a:extLst>
            <a:ext uri="{FF2B5EF4-FFF2-40B4-BE49-F238E27FC236}">
              <a16:creationId xmlns:a16="http://schemas.microsoft.com/office/drawing/2014/main" id="{951B3A17-0931-0834-A18F-9215122851E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30" name="Line 725">
          <a:extLst>
            <a:ext uri="{FF2B5EF4-FFF2-40B4-BE49-F238E27FC236}">
              <a16:creationId xmlns:a16="http://schemas.microsoft.com/office/drawing/2014/main" id="{386822C6-B196-AF4F-9949-A3226B94D76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31" name="Line 726">
          <a:extLst>
            <a:ext uri="{FF2B5EF4-FFF2-40B4-BE49-F238E27FC236}">
              <a16:creationId xmlns:a16="http://schemas.microsoft.com/office/drawing/2014/main" id="{131603D6-E9D8-8888-C408-08FC6F556DB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32" name="Line 727">
          <a:extLst>
            <a:ext uri="{FF2B5EF4-FFF2-40B4-BE49-F238E27FC236}">
              <a16:creationId xmlns:a16="http://schemas.microsoft.com/office/drawing/2014/main" id="{5101EE0F-5A8F-3120-624C-1F1383272AE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33" name="Line 728">
          <a:extLst>
            <a:ext uri="{FF2B5EF4-FFF2-40B4-BE49-F238E27FC236}">
              <a16:creationId xmlns:a16="http://schemas.microsoft.com/office/drawing/2014/main" id="{12C915E1-89D6-6C71-32B2-778E555C72B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34" name="Line 729">
          <a:extLst>
            <a:ext uri="{FF2B5EF4-FFF2-40B4-BE49-F238E27FC236}">
              <a16:creationId xmlns:a16="http://schemas.microsoft.com/office/drawing/2014/main" id="{EF2C5A70-5A20-2F2B-0F44-5AD566FCE40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35" name="Line 730">
          <a:extLst>
            <a:ext uri="{FF2B5EF4-FFF2-40B4-BE49-F238E27FC236}">
              <a16:creationId xmlns:a16="http://schemas.microsoft.com/office/drawing/2014/main" id="{492C62A2-514F-8378-9B23-EB6B47A8021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36" name="Line 731">
          <a:extLst>
            <a:ext uri="{FF2B5EF4-FFF2-40B4-BE49-F238E27FC236}">
              <a16:creationId xmlns:a16="http://schemas.microsoft.com/office/drawing/2014/main" id="{B978803A-CC3D-CC99-51A1-FD5CC4C5C34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37" name="Line 732">
          <a:extLst>
            <a:ext uri="{FF2B5EF4-FFF2-40B4-BE49-F238E27FC236}">
              <a16:creationId xmlns:a16="http://schemas.microsoft.com/office/drawing/2014/main" id="{19A3BB8E-A4AC-B496-05D8-49285371948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38" name="Line 733">
          <a:extLst>
            <a:ext uri="{FF2B5EF4-FFF2-40B4-BE49-F238E27FC236}">
              <a16:creationId xmlns:a16="http://schemas.microsoft.com/office/drawing/2014/main" id="{2542CC4C-B343-7497-435B-A73E936CDFF4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39" name="Line 734">
          <a:extLst>
            <a:ext uri="{FF2B5EF4-FFF2-40B4-BE49-F238E27FC236}">
              <a16:creationId xmlns:a16="http://schemas.microsoft.com/office/drawing/2014/main" id="{682E966E-4F5C-7071-312A-8DB77B24197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40" name="Line 736">
          <a:extLst>
            <a:ext uri="{FF2B5EF4-FFF2-40B4-BE49-F238E27FC236}">
              <a16:creationId xmlns:a16="http://schemas.microsoft.com/office/drawing/2014/main" id="{8D18D469-CF9B-15A0-BE21-2A78A36FA80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41" name="Line 737">
          <a:extLst>
            <a:ext uri="{FF2B5EF4-FFF2-40B4-BE49-F238E27FC236}">
              <a16:creationId xmlns:a16="http://schemas.microsoft.com/office/drawing/2014/main" id="{F2CA9129-E7CB-03DF-FD7E-C81BB19FAB7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42" name="Line 739">
          <a:extLst>
            <a:ext uri="{FF2B5EF4-FFF2-40B4-BE49-F238E27FC236}">
              <a16:creationId xmlns:a16="http://schemas.microsoft.com/office/drawing/2014/main" id="{0E50D999-999F-828B-6E34-4016F4A589D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43" name="Line 740">
          <a:extLst>
            <a:ext uri="{FF2B5EF4-FFF2-40B4-BE49-F238E27FC236}">
              <a16:creationId xmlns:a16="http://schemas.microsoft.com/office/drawing/2014/main" id="{D8E4C6E9-6C4A-CB23-B5F7-3E956A67E78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44" name="Line 741">
          <a:extLst>
            <a:ext uri="{FF2B5EF4-FFF2-40B4-BE49-F238E27FC236}">
              <a16:creationId xmlns:a16="http://schemas.microsoft.com/office/drawing/2014/main" id="{FC6E49C0-419F-7FB4-FECD-06A79C2F3FB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45" name="Line 742">
          <a:extLst>
            <a:ext uri="{FF2B5EF4-FFF2-40B4-BE49-F238E27FC236}">
              <a16:creationId xmlns:a16="http://schemas.microsoft.com/office/drawing/2014/main" id="{FCDB798D-3D37-89CA-DD8F-0315E40235F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46" name="Line 744">
          <a:extLst>
            <a:ext uri="{FF2B5EF4-FFF2-40B4-BE49-F238E27FC236}">
              <a16:creationId xmlns:a16="http://schemas.microsoft.com/office/drawing/2014/main" id="{93501D06-F269-F5E9-49FF-D2284A315A3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47" name="Line 745">
          <a:extLst>
            <a:ext uri="{FF2B5EF4-FFF2-40B4-BE49-F238E27FC236}">
              <a16:creationId xmlns:a16="http://schemas.microsoft.com/office/drawing/2014/main" id="{3506DAF4-32E1-5933-C4FB-15937E4787B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48" name="Line 746">
          <a:extLst>
            <a:ext uri="{FF2B5EF4-FFF2-40B4-BE49-F238E27FC236}">
              <a16:creationId xmlns:a16="http://schemas.microsoft.com/office/drawing/2014/main" id="{743A2AA1-E545-DCE9-BAB2-68EE2D55AFA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49" name="Line 747">
          <a:extLst>
            <a:ext uri="{FF2B5EF4-FFF2-40B4-BE49-F238E27FC236}">
              <a16:creationId xmlns:a16="http://schemas.microsoft.com/office/drawing/2014/main" id="{95F25590-2048-F96F-9CB3-428C4AF1EE0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50" name="Line 748">
          <a:extLst>
            <a:ext uri="{FF2B5EF4-FFF2-40B4-BE49-F238E27FC236}">
              <a16:creationId xmlns:a16="http://schemas.microsoft.com/office/drawing/2014/main" id="{B49498AB-AC49-A7D6-CB21-0D33E4B87E9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51" name="Line 749">
          <a:extLst>
            <a:ext uri="{FF2B5EF4-FFF2-40B4-BE49-F238E27FC236}">
              <a16:creationId xmlns:a16="http://schemas.microsoft.com/office/drawing/2014/main" id="{0072CDCE-0406-2F78-69DE-C607C969528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52" name="Line 750">
          <a:extLst>
            <a:ext uri="{FF2B5EF4-FFF2-40B4-BE49-F238E27FC236}">
              <a16:creationId xmlns:a16="http://schemas.microsoft.com/office/drawing/2014/main" id="{C38F5FB0-925D-944C-6221-E71E05BDF82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53" name="Line 751">
          <a:extLst>
            <a:ext uri="{FF2B5EF4-FFF2-40B4-BE49-F238E27FC236}">
              <a16:creationId xmlns:a16="http://schemas.microsoft.com/office/drawing/2014/main" id="{26450D2C-53B9-8593-3A13-C602CC4F42E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54" name="Line 753">
          <a:extLst>
            <a:ext uri="{FF2B5EF4-FFF2-40B4-BE49-F238E27FC236}">
              <a16:creationId xmlns:a16="http://schemas.microsoft.com/office/drawing/2014/main" id="{9E71B20A-3AE7-7786-3E38-0B30D220C18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55" name="Line 754">
          <a:extLst>
            <a:ext uri="{FF2B5EF4-FFF2-40B4-BE49-F238E27FC236}">
              <a16:creationId xmlns:a16="http://schemas.microsoft.com/office/drawing/2014/main" id="{D92DFB65-467F-DEA5-7FA6-324D2C960EF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56" name="Line 755">
          <a:extLst>
            <a:ext uri="{FF2B5EF4-FFF2-40B4-BE49-F238E27FC236}">
              <a16:creationId xmlns:a16="http://schemas.microsoft.com/office/drawing/2014/main" id="{96EEE406-E474-C32A-009A-0EB2030EF35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57" name="Line 756">
          <a:extLst>
            <a:ext uri="{FF2B5EF4-FFF2-40B4-BE49-F238E27FC236}">
              <a16:creationId xmlns:a16="http://schemas.microsoft.com/office/drawing/2014/main" id="{63E087DF-403C-C09A-3C6C-5F67421E1AE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58" name="Line 757">
          <a:extLst>
            <a:ext uri="{FF2B5EF4-FFF2-40B4-BE49-F238E27FC236}">
              <a16:creationId xmlns:a16="http://schemas.microsoft.com/office/drawing/2014/main" id="{54999606-4059-2E85-E53E-59A2667D7F4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59" name="Line 758">
          <a:extLst>
            <a:ext uri="{FF2B5EF4-FFF2-40B4-BE49-F238E27FC236}">
              <a16:creationId xmlns:a16="http://schemas.microsoft.com/office/drawing/2014/main" id="{FFDE1D79-BF43-BB47-A86D-D147EFFD069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60" name="Line 759">
          <a:extLst>
            <a:ext uri="{FF2B5EF4-FFF2-40B4-BE49-F238E27FC236}">
              <a16:creationId xmlns:a16="http://schemas.microsoft.com/office/drawing/2014/main" id="{0C5C65D0-A5D2-56C7-FA29-1DC5A6F095C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61" name="Line 760">
          <a:extLst>
            <a:ext uri="{FF2B5EF4-FFF2-40B4-BE49-F238E27FC236}">
              <a16:creationId xmlns:a16="http://schemas.microsoft.com/office/drawing/2014/main" id="{98FCAB00-49DB-7EE0-3C5C-42EA5FA06E9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62" name="Line 761">
          <a:extLst>
            <a:ext uri="{FF2B5EF4-FFF2-40B4-BE49-F238E27FC236}">
              <a16:creationId xmlns:a16="http://schemas.microsoft.com/office/drawing/2014/main" id="{E1A072BF-DFAF-14F5-09A2-B1AEFD84DDA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63" name="Line 762">
          <a:extLst>
            <a:ext uri="{FF2B5EF4-FFF2-40B4-BE49-F238E27FC236}">
              <a16:creationId xmlns:a16="http://schemas.microsoft.com/office/drawing/2014/main" id="{CFC69800-95A0-D166-A7FE-A76BA259462B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64" name="Line 763">
          <a:extLst>
            <a:ext uri="{FF2B5EF4-FFF2-40B4-BE49-F238E27FC236}">
              <a16:creationId xmlns:a16="http://schemas.microsoft.com/office/drawing/2014/main" id="{8AB06E9B-9864-937A-BD49-78AFB101E6F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65" name="Line 764">
          <a:extLst>
            <a:ext uri="{FF2B5EF4-FFF2-40B4-BE49-F238E27FC236}">
              <a16:creationId xmlns:a16="http://schemas.microsoft.com/office/drawing/2014/main" id="{4009C807-B48B-59F3-C6DD-F0423743B2C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66" name="Line 765">
          <a:extLst>
            <a:ext uri="{FF2B5EF4-FFF2-40B4-BE49-F238E27FC236}">
              <a16:creationId xmlns:a16="http://schemas.microsoft.com/office/drawing/2014/main" id="{69D003A6-B1E9-6BF6-3D8E-9BD8F6263C3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67" name="Line 766">
          <a:extLst>
            <a:ext uri="{FF2B5EF4-FFF2-40B4-BE49-F238E27FC236}">
              <a16:creationId xmlns:a16="http://schemas.microsoft.com/office/drawing/2014/main" id="{765ABDD3-A296-2B14-474D-682DFAC93D1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68" name="Line 767">
          <a:extLst>
            <a:ext uri="{FF2B5EF4-FFF2-40B4-BE49-F238E27FC236}">
              <a16:creationId xmlns:a16="http://schemas.microsoft.com/office/drawing/2014/main" id="{D413F1D1-B569-FCC5-7A00-B175A5FBF98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69" name="Line 768">
          <a:extLst>
            <a:ext uri="{FF2B5EF4-FFF2-40B4-BE49-F238E27FC236}">
              <a16:creationId xmlns:a16="http://schemas.microsoft.com/office/drawing/2014/main" id="{85CE6882-4A34-DF70-C750-4C4DBB97D0F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70" name="Line 770">
          <a:extLst>
            <a:ext uri="{FF2B5EF4-FFF2-40B4-BE49-F238E27FC236}">
              <a16:creationId xmlns:a16="http://schemas.microsoft.com/office/drawing/2014/main" id="{CE9DFFA6-7A3C-CCCA-995E-0831151AFD0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71" name="Line 771">
          <a:extLst>
            <a:ext uri="{FF2B5EF4-FFF2-40B4-BE49-F238E27FC236}">
              <a16:creationId xmlns:a16="http://schemas.microsoft.com/office/drawing/2014/main" id="{C8E533F0-AB67-56A3-5C67-EDB64D13466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72" name="Line 772">
          <a:extLst>
            <a:ext uri="{FF2B5EF4-FFF2-40B4-BE49-F238E27FC236}">
              <a16:creationId xmlns:a16="http://schemas.microsoft.com/office/drawing/2014/main" id="{12F536B4-A5BB-75BC-D6F7-FE47F74D414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73" name="Line 773">
          <a:extLst>
            <a:ext uri="{FF2B5EF4-FFF2-40B4-BE49-F238E27FC236}">
              <a16:creationId xmlns:a16="http://schemas.microsoft.com/office/drawing/2014/main" id="{D1A258A5-F51C-F0ED-E5B8-EB8A9B8B563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74" name="Line 774">
          <a:extLst>
            <a:ext uri="{FF2B5EF4-FFF2-40B4-BE49-F238E27FC236}">
              <a16:creationId xmlns:a16="http://schemas.microsoft.com/office/drawing/2014/main" id="{BEF306B6-4C1F-607C-5900-378A5C8AD90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75" name="Line 775">
          <a:extLst>
            <a:ext uri="{FF2B5EF4-FFF2-40B4-BE49-F238E27FC236}">
              <a16:creationId xmlns:a16="http://schemas.microsoft.com/office/drawing/2014/main" id="{CF654161-B501-3AA9-496A-ACAB8A4E218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76" name="Line 776">
          <a:extLst>
            <a:ext uri="{FF2B5EF4-FFF2-40B4-BE49-F238E27FC236}">
              <a16:creationId xmlns:a16="http://schemas.microsoft.com/office/drawing/2014/main" id="{0C4F4D42-37A3-08C3-4D04-C8DEC95AE71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77" name="Line 777">
          <a:extLst>
            <a:ext uri="{FF2B5EF4-FFF2-40B4-BE49-F238E27FC236}">
              <a16:creationId xmlns:a16="http://schemas.microsoft.com/office/drawing/2014/main" id="{5193C30A-72C9-5D7B-8EF6-1B5C673CF4A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78" name="Line 778">
          <a:extLst>
            <a:ext uri="{FF2B5EF4-FFF2-40B4-BE49-F238E27FC236}">
              <a16:creationId xmlns:a16="http://schemas.microsoft.com/office/drawing/2014/main" id="{7CCF31D3-9C76-2A38-140A-CD5A7C971AB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79" name="Line 779">
          <a:extLst>
            <a:ext uri="{FF2B5EF4-FFF2-40B4-BE49-F238E27FC236}">
              <a16:creationId xmlns:a16="http://schemas.microsoft.com/office/drawing/2014/main" id="{954ADD71-E252-2FF6-9C72-EB76C66B1D0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80" name="Line 780">
          <a:extLst>
            <a:ext uri="{FF2B5EF4-FFF2-40B4-BE49-F238E27FC236}">
              <a16:creationId xmlns:a16="http://schemas.microsoft.com/office/drawing/2014/main" id="{4B1CFDB1-1967-CDEF-708C-535E2B191AD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81" name="Line 781">
          <a:extLst>
            <a:ext uri="{FF2B5EF4-FFF2-40B4-BE49-F238E27FC236}">
              <a16:creationId xmlns:a16="http://schemas.microsoft.com/office/drawing/2014/main" id="{85C4DE8E-9CCA-5D3F-08A8-E4461318068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82" name="Line 782">
          <a:extLst>
            <a:ext uri="{FF2B5EF4-FFF2-40B4-BE49-F238E27FC236}">
              <a16:creationId xmlns:a16="http://schemas.microsoft.com/office/drawing/2014/main" id="{BFB9D45C-8D51-57C9-98EB-3A9D641DCA87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83" name="Line 783">
          <a:extLst>
            <a:ext uri="{FF2B5EF4-FFF2-40B4-BE49-F238E27FC236}">
              <a16:creationId xmlns:a16="http://schemas.microsoft.com/office/drawing/2014/main" id="{C17336E3-37C3-EA87-2517-105B49D1F2F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84" name="Line 784">
          <a:extLst>
            <a:ext uri="{FF2B5EF4-FFF2-40B4-BE49-F238E27FC236}">
              <a16:creationId xmlns:a16="http://schemas.microsoft.com/office/drawing/2014/main" id="{52261484-5A47-CF08-9A0F-4623282B6A58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85" name="Line 785">
          <a:extLst>
            <a:ext uri="{FF2B5EF4-FFF2-40B4-BE49-F238E27FC236}">
              <a16:creationId xmlns:a16="http://schemas.microsoft.com/office/drawing/2014/main" id="{FC1B828E-1E42-90EA-E892-5087A29C375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86" name="Line 786">
          <a:extLst>
            <a:ext uri="{FF2B5EF4-FFF2-40B4-BE49-F238E27FC236}">
              <a16:creationId xmlns:a16="http://schemas.microsoft.com/office/drawing/2014/main" id="{2742A4BD-78DB-F7A5-5770-7378C21E93F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87" name="Line 787">
          <a:extLst>
            <a:ext uri="{FF2B5EF4-FFF2-40B4-BE49-F238E27FC236}">
              <a16:creationId xmlns:a16="http://schemas.microsoft.com/office/drawing/2014/main" id="{A6FDBE65-F1BA-2EC5-D5A3-F272A5D8BE4A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88" name="Line 788">
          <a:extLst>
            <a:ext uri="{FF2B5EF4-FFF2-40B4-BE49-F238E27FC236}">
              <a16:creationId xmlns:a16="http://schemas.microsoft.com/office/drawing/2014/main" id="{80B03CF4-25E8-C0BB-08A8-16DC0AB427D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89" name="Line 789">
          <a:extLst>
            <a:ext uri="{FF2B5EF4-FFF2-40B4-BE49-F238E27FC236}">
              <a16:creationId xmlns:a16="http://schemas.microsoft.com/office/drawing/2014/main" id="{B301BDF7-F07F-215E-7853-56F7879C0DB5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90" name="Line 790">
          <a:extLst>
            <a:ext uri="{FF2B5EF4-FFF2-40B4-BE49-F238E27FC236}">
              <a16:creationId xmlns:a16="http://schemas.microsoft.com/office/drawing/2014/main" id="{4B72FC8E-380A-1836-05DD-7E8485E967D3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91" name="Line 791">
          <a:extLst>
            <a:ext uri="{FF2B5EF4-FFF2-40B4-BE49-F238E27FC236}">
              <a16:creationId xmlns:a16="http://schemas.microsoft.com/office/drawing/2014/main" id="{AF7C044D-2E57-737A-8DE0-BCD20F81283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92" name="Line 792">
          <a:extLst>
            <a:ext uri="{FF2B5EF4-FFF2-40B4-BE49-F238E27FC236}">
              <a16:creationId xmlns:a16="http://schemas.microsoft.com/office/drawing/2014/main" id="{0BBB6707-D49E-96AB-1F67-686D274C012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93" name="Line 793">
          <a:extLst>
            <a:ext uri="{FF2B5EF4-FFF2-40B4-BE49-F238E27FC236}">
              <a16:creationId xmlns:a16="http://schemas.microsoft.com/office/drawing/2014/main" id="{333B4E33-C8E3-805B-F1F3-983010405A9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94" name="Line 794">
          <a:extLst>
            <a:ext uri="{FF2B5EF4-FFF2-40B4-BE49-F238E27FC236}">
              <a16:creationId xmlns:a16="http://schemas.microsoft.com/office/drawing/2014/main" id="{A52C227D-42F3-91AA-028D-8C4CAE64AC3C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95" name="Line 795">
          <a:extLst>
            <a:ext uri="{FF2B5EF4-FFF2-40B4-BE49-F238E27FC236}">
              <a16:creationId xmlns:a16="http://schemas.microsoft.com/office/drawing/2014/main" id="{FC2E8053-7433-4AE2-5DF5-707D564E5012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96" name="Line 796">
          <a:extLst>
            <a:ext uri="{FF2B5EF4-FFF2-40B4-BE49-F238E27FC236}">
              <a16:creationId xmlns:a16="http://schemas.microsoft.com/office/drawing/2014/main" id="{96E4FA53-B091-2F42-CE37-51D7D06CF490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97" name="Line 797">
          <a:extLst>
            <a:ext uri="{FF2B5EF4-FFF2-40B4-BE49-F238E27FC236}">
              <a16:creationId xmlns:a16="http://schemas.microsoft.com/office/drawing/2014/main" id="{3B12829C-1C6D-AE69-5067-8C625B28F74E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98" name="Line 798">
          <a:extLst>
            <a:ext uri="{FF2B5EF4-FFF2-40B4-BE49-F238E27FC236}">
              <a16:creationId xmlns:a16="http://schemas.microsoft.com/office/drawing/2014/main" id="{D2BDCC64-70F5-F416-79F7-A66EAC63C66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199" name="Line 799">
          <a:extLst>
            <a:ext uri="{FF2B5EF4-FFF2-40B4-BE49-F238E27FC236}">
              <a16:creationId xmlns:a16="http://schemas.microsoft.com/office/drawing/2014/main" id="{D6B437F0-61A7-736F-BF73-9FD18AB75F9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200" name="Line 800">
          <a:extLst>
            <a:ext uri="{FF2B5EF4-FFF2-40B4-BE49-F238E27FC236}">
              <a16:creationId xmlns:a16="http://schemas.microsoft.com/office/drawing/2014/main" id="{65CCE853-2104-1DD4-96B2-8A0453A6E75F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116</xdr:row>
      <xdr:rowOff>104775</xdr:rowOff>
    </xdr:to>
    <xdr:sp macro="" textlink="">
      <xdr:nvSpPr>
        <xdr:cNvPr id="238201" name="Line 801">
          <a:extLst>
            <a:ext uri="{FF2B5EF4-FFF2-40B4-BE49-F238E27FC236}">
              <a16:creationId xmlns:a16="http://schemas.microsoft.com/office/drawing/2014/main" id="{8D02A512-E978-325A-BF26-778B6F287C11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02" name="Line 803">
          <a:extLst>
            <a:ext uri="{FF2B5EF4-FFF2-40B4-BE49-F238E27FC236}">
              <a16:creationId xmlns:a16="http://schemas.microsoft.com/office/drawing/2014/main" id="{85B09CE4-C01C-C7D3-CC11-70EE8B2AD112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03" name="Line 804">
          <a:extLst>
            <a:ext uri="{FF2B5EF4-FFF2-40B4-BE49-F238E27FC236}">
              <a16:creationId xmlns:a16="http://schemas.microsoft.com/office/drawing/2014/main" id="{D242E07C-4A5D-26B0-0C9A-474EABE17572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04" name="Line 805">
          <a:extLst>
            <a:ext uri="{FF2B5EF4-FFF2-40B4-BE49-F238E27FC236}">
              <a16:creationId xmlns:a16="http://schemas.microsoft.com/office/drawing/2014/main" id="{C14BDB08-D1D9-E2E6-EB4A-8775DF3D4614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05" name="Line 806">
          <a:extLst>
            <a:ext uri="{FF2B5EF4-FFF2-40B4-BE49-F238E27FC236}">
              <a16:creationId xmlns:a16="http://schemas.microsoft.com/office/drawing/2014/main" id="{558284DC-7291-ACD1-20BF-0E8B4E0978BD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06" name="Line 807">
          <a:extLst>
            <a:ext uri="{FF2B5EF4-FFF2-40B4-BE49-F238E27FC236}">
              <a16:creationId xmlns:a16="http://schemas.microsoft.com/office/drawing/2014/main" id="{5A147A47-8448-F190-2FBF-C5445111F539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07" name="Line 808">
          <a:extLst>
            <a:ext uri="{FF2B5EF4-FFF2-40B4-BE49-F238E27FC236}">
              <a16:creationId xmlns:a16="http://schemas.microsoft.com/office/drawing/2014/main" id="{AC7BC660-1453-9468-5503-D7C17172EA19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08" name="Line 809">
          <a:extLst>
            <a:ext uri="{FF2B5EF4-FFF2-40B4-BE49-F238E27FC236}">
              <a16:creationId xmlns:a16="http://schemas.microsoft.com/office/drawing/2014/main" id="{5D86B7AF-50CE-03CC-C057-E1517EB5ED99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09" name="Line 810">
          <a:extLst>
            <a:ext uri="{FF2B5EF4-FFF2-40B4-BE49-F238E27FC236}">
              <a16:creationId xmlns:a16="http://schemas.microsoft.com/office/drawing/2014/main" id="{8C33AC6A-7C1A-6919-D5AE-001404114828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10" name="Line 811">
          <a:extLst>
            <a:ext uri="{FF2B5EF4-FFF2-40B4-BE49-F238E27FC236}">
              <a16:creationId xmlns:a16="http://schemas.microsoft.com/office/drawing/2014/main" id="{BFF85FEE-0D9F-335B-AF5A-6F2F5E366C2D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11" name="Line 812">
          <a:extLst>
            <a:ext uri="{FF2B5EF4-FFF2-40B4-BE49-F238E27FC236}">
              <a16:creationId xmlns:a16="http://schemas.microsoft.com/office/drawing/2014/main" id="{D5AA73B5-1B6D-EEC2-7F29-38008742BFFB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12" name="Line 813">
          <a:extLst>
            <a:ext uri="{FF2B5EF4-FFF2-40B4-BE49-F238E27FC236}">
              <a16:creationId xmlns:a16="http://schemas.microsoft.com/office/drawing/2014/main" id="{D1079705-4D94-8768-1499-8085F3441312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13" name="Line 814">
          <a:extLst>
            <a:ext uri="{FF2B5EF4-FFF2-40B4-BE49-F238E27FC236}">
              <a16:creationId xmlns:a16="http://schemas.microsoft.com/office/drawing/2014/main" id="{A8871755-3DB0-9A37-19D1-28A06F77C75A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14" name="Line 815">
          <a:extLst>
            <a:ext uri="{FF2B5EF4-FFF2-40B4-BE49-F238E27FC236}">
              <a16:creationId xmlns:a16="http://schemas.microsoft.com/office/drawing/2014/main" id="{16E80C77-56A6-983C-B6A0-CE1204EAC1F3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15" name="Line 816">
          <a:extLst>
            <a:ext uri="{FF2B5EF4-FFF2-40B4-BE49-F238E27FC236}">
              <a16:creationId xmlns:a16="http://schemas.microsoft.com/office/drawing/2014/main" id="{52F58708-FFDC-7584-38C3-AF9AFE730F3C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16" name="Line 817">
          <a:extLst>
            <a:ext uri="{FF2B5EF4-FFF2-40B4-BE49-F238E27FC236}">
              <a16:creationId xmlns:a16="http://schemas.microsoft.com/office/drawing/2014/main" id="{A8F49443-71A8-A206-7901-4A38D965F0EA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17" name="Line 818">
          <a:extLst>
            <a:ext uri="{FF2B5EF4-FFF2-40B4-BE49-F238E27FC236}">
              <a16:creationId xmlns:a16="http://schemas.microsoft.com/office/drawing/2014/main" id="{7FBDFB73-216F-5B13-8F2C-FF4B22B3683D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18" name="Line 819">
          <a:extLst>
            <a:ext uri="{FF2B5EF4-FFF2-40B4-BE49-F238E27FC236}">
              <a16:creationId xmlns:a16="http://schemas.microsoft.com/office/drawing/2014/main" id="{8F83E55E-6E41-5A14-CEDA-1B920D84077C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19" name="Line 820">
          <a:extLst>
            <a:ext uri="{FF2B5EF4-FFF2-40B4-BE49-F238E27FC236}">
              <a16:creationId xmlns:a16="http://schemas.microsoft.com/office/drawing/2014/main" id="{72BD2B51-C348-366B-D209-EA29AFA8971F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20" name="Line 821">
          <a:extLst>
            <a:ext uri="{FF2B5EF4-FFF2-40B4-BE49-F238E27FC236}">
              <a16:creationId xmlns:a16="http://schemas.microsoft.com/office/drawing/2014/main" id="{38FC448D-9571-2F24-3CA6-AB72CD7B79FC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21" name="Line 822">
          <a:extLst>
            <a:ext uri="{FF2B5EF4-FFF2-40B4-BE49-F238E27FC236}">
              <a16:creationId xmlns:a16="http://schemas.microsoft.com/office/drawing/2014/main" id="{8D35B835-34B2-93F8-4513-D611DEDD2A57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22" name="Line 823">
          <a:extLst>
            <a:ext uri="{FF2B5EF4-FFF2-40B4-BE49-F238E27FC236}">
              <a16:creationId xmlns:a16="http://schemas.microsoft.com/office/drawing/2014/main" id="{2917509A-1BD9-B1D6-D58F-43DC4DE7D459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23" name="Line 824">
          <a:extLst>
            <a:ext uri="{FF2B5EF4-FFF2-40B4-BE49-F238E27FC236}">
              <a16:creationId xmlns:a16="http://schemas.microsoft.com/office/drawing/2014/main" id="{C170C57D-4803-F3C0-188B-89914C7DFBBB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24" name="Line 825">
          <a:extLst>
            <a:ext uri="{FF2B5EF4-FFF2-40B4-BE49-F238E27FC236}">
              <a16:creationId xmlns:a16="http://schemas.microsoft.com/office/drawing/2014/main" id="{590DFAB2-E60D-9834-AB59-844BA10E34F0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25" name="Line 826">
          <a:extLst>
            <a:ext uri="{FF2B5EF4-FFF2-40B4-BE49-F238E27FC236}">
              <a16:creationId xmlns:a16="http://schemas.microsoft.com/office/drawing/2014/main" id="{B4284565-BE7F-F26C-CA74-0D7D8827840D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26" name="Line 827">
          <a:extLst>
            <a:ext uri="{FF2B5EF4-FFF2-40B4-BE49-F238E27FC236}">
              <a16:creationId xmlns:a16="http://schemas.microsoft.com/office/drawing/2014/main" id="{85C0383D-E2EF-CE31-901E-7A9E3A760861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27" name="Line 828">
          <a:extLst>
            <a:ext uri="{FF2B5EF4-FFF2-40B4-BE49-F238E27FC236}">
              <a16:creationId xmlns:a16="http://schemas.microsoft.com/office/drawing/2014/main" id="{2B52A198-14DD-F206-8033-315EFC0B271A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28" name="Line 829">
          <a:extLst>
            <a:ext uri="{FF2B5EF4-FFF2-40B4-BE49-F238E27FC236}">
              <a16:creationId xmlns:a16="http://schemas.microsoft.com/office/drawing/2014/main" id="{754EEE1B-9B50-0BEE-E016-3E6A1D447B4C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29" name="Line 830">
          <a:extLst>
            <a:ext uri="{FF2B5EF4-FFF2-40B4-BE49-F238E27FC236}">
              <a16:creationId xmlns:a16="http://schemas.microsoft.com/office/drawing/2014/main" id="{41C2CE19-6B5B-C624-D0F1-00AB75A928A4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30" name="Line 831">
          <a:extLst>
            <a:ext uri="{FF2B5EF4-FFF2-40B4-BE49-F238E27FC236}">
              <a16:creationId xmlns:a16="http://schemas.microsoft.com/office/drawing/2014/main" id="{09AB5D06-578E-2FFF-3422-2D06FD881B27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31" name="Line 832">
          <a:extLst>
            <a:ext uri="{FF2B5EF4-FFF2-40B4-BE49-F238E27FC236}">
              <a16:creationId xmlns:a16="http://schemas.microsoft.com/office/drawing/2014/main" id="{18DCA58C-34E0-14DB-0C84-C5019A3751AD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32" name="Line 833">
          <a:extLst>
            <a:ext uri="{FF2B5EF4-FFF2-40B4-BE49-F238E27FC236}">
              <a16:creationId xmlns:a16="http://schemas.microsoft.com/office/drawing/2014/main" id="{1B33AB56-F725-22F6-6EEB-6903A730DE8F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33" name="Line 834">
          <a:extLst>
            <a:ext uri="{FF2B5EF4-FFF2-40B4-BE49-F238E27FC236}">
              <a16:creationId xmlns:a16="http://schemas.microsoft.com/office/drawing/2014/main" id="{C00225D6-16E3-7E86-4E2F-AA0323FE9099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34" name="Line 835">
          <a:extLst>
            <a:ext uri="{FF2B5EF4-FFF2-40B4-BE49-F238E27FC236}">
              <a16:creationId xmlns:a16="http://schemas.microsoft.com/office/drawing/2014/main" id="{6AB31631-78C1-BA08-2561-DDD00265B403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35" name="Line 836">
          <a:extLst>
            <a:ext uri="{FF2B5EF4-FFF2-40B4-BE49-F238E27FC236}">
              <a16:creationId xmlns:a16="http://schemas.microsoft.com/office/drawing/2014/main" id="{C24581BF-6510-703A-004A-4BED7980782B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36" name="Line 837">
          <a:extLst>
            <a:ext uri="{FF2B5EF4-FFF2-40B4-BE49-F238E27FC236}">
              <a16:creationId xmlns:a16="http://schemas.microsoft.com/office/drawing/2014/main" id="{074ECC6E-6436-1018-0654-A04560DB3519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37" name="Line 838">
          <a:extLst>
            <a:ext uri="{FF2B5EF4-FFF2-40B4-BE49-F238E27FC236}">
              <a16:creationId xmlns:a16="http://schemas.microsoft.com/office/drawing/2014/main" id="{8C48081E-FE40-254F-2D54-9188610C4490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38" name="Line 839">
          <a:extLst>
            <a:ext uri="{FF2B5EF4-FFF2-40B4-BE49-F238E27FC236}">
              <a16:creationId xmlns:a16="http://schemas.microsoft.com/office/drawing/2014/main" id="{DF2E66E0-83F5-8C22-DC6A-FBF0A662F556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39" name="Line 840">
          <a:extLst>
            <a:ext uri="{FF2B5EF4-FFF2-40B4-BE49-F238E27FC236}">
              <a16:creationId xmlns:a16="http://schemas.microsoft.com/office/drawing/2014/main" id="{FBBC16BC-B99D-FE3C-ACD0-6521C68090E4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40" name="Line 841">
          <a:extLst>
            <a:ext uri="{FF2B5EF4-FFF2-40B4-BE49-F238E27FC236}">
              <a16:creationId xmlns:a16="http://schemas.microsoft.com/office/drawing/2014/main" id="{8C21B4D0-B41F-AAA9-B522-3D8C58319F2E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41" name="Line 842">
          <a:extLst>
            <a:ext uri="{FF2B5EF4-FFF2-40B4-BE49-F238E27FC236}">
              <a16:creationId xmlns:a16="http://schemas.microsoft.com/office/drawing/2014/main" id="{8BE050B7-2DB5-2AFB-94C3-3E05BFE78140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42" name="Line 843">
          <a:extLst>
            <a:ext uri="{FF2B5EF4-FFF2-40B4-BE49-F238E27FC236}">
              <a16:creationId xmlns:a16="http://schemas.microsoft.com/office/drawing/2014/main" id="{FB395894-A6E5-C93A-51CE-4E50BE7FD6FB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43" name="Line 844">
          <a:extLst>
            <a:ext uri="{FF2B5EF4-FFF2-40B4-BE49-F238E27FC236}">
              <a16:creationId xmlns:a16="http://schemas.microsoft.com/office/drawing/2014/main" id="{04D1D973-20B0-A713-D581-BE1A63219139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44" name="Line 845">
          <a:extLst>
            <a:ext uri="{FF2B5EF4-FFF2-40B4-BE49-F238E27FC236}">
              <a16:creationId xmlns:a16="http://schemas.microsoft.com/office/drawing/2014/main" id="{1418BA23-545D-C230-6D21-9B50E15D4BDF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45" name="Line 846">
          <a:extLst>
            <a:ext uri="{FF2B5EF4-FFF2-40B4-BE49-F238E27FC236}">
              <a16:creationId xmlns:a16="http://schemas.microsoft.com/office/drawing/2014/main" id="{87ED2B03-EA4F-48ED-9544-431C85B9F070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38100</xdr:rowOff>
    </xdr:from>
    <xdr:to>
      <xdr:col>24</xdr:col>
      <xdr:colOff>352425</xdr:colOff>
      <xdr:row>117</xdr:row>
      <xdr:rowOff>0</xdr:rowOff>
    </xdr:to>
    <xdr:sp macro="" textlink="">
      <xdr:nvSpPr>
        <xdr:cNvPr id="238246" name="Line 847">
          <a:extLst>
            <a:ext uri="{FF2B5EF4-FFF2-40B4-BE49-F238E27FC236}">
              <a16:creationId xmlns:a16="http://schemas.microsoft.com/office/drawing/2014/main" id="{DCF25D78-22C6-5102-C761-D81939F322D4}"/>
            </a:ext>
          </a:extLst>
        </xdr:cNvPr>
        <xdr:cNvSpPr>
          <a:spLocks noChangeShapeType="1"/>
        </xdr:cNvSpPr>
      </xdr:nvSpPr>
      <xdr:spPr bwMode="auto">
        <a:xfrm>
          <a:off x="10839450" y="195453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116</xdr:row>
      <xdr:rowOff>0</xdr:rowOff>
    </xdr:from>
    <xdr:to>
      <xdr:col>24</xdr:col>
      <xdr:colOff>352425</xdr:colOff>
      <xdr:row>117</xdr:row>
      <xdr:rowOff>0</xdr:rowOff>
    </xdr:to>
    <xdr:sp macro="" textlink="">
      <xdr:nvSpPr>
        <xdr:cNvPr id="238247" name="Line 848">
          <a:extLst>
            <a:ext uri="{FF2B5EF4-FFF2-40B4-BE49-F238E27FC236}">
              <a16:creationId xmlns:a16="http://schemas.microsoft.com/office/drawing/2014/main" id="{BDDC9C55-5F44-3A04-B827-6BAEB62ACA46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400050</xdr:colOff>
      <xdr:row>116</xdr:row>
      <xdr:rowOff>0</xdr:rowOff>
    </xdr:from>
    <xdr:to>
      <xdr:col>23</xdr:col>
      <xdr:colOff>400050</xdr:colOff>
      <xdr:row>116</xdr:row>
      <xdr:rowOff>123825</xdr:rowOff>
    </xdr:to>
    <xdr:sp macro="" textlink="">
      <xdr:nvSpPr>
        <xdr:cNvPr id="238248" name="Line 851">
          <a:extLst>
            <a:ext uri="{FF2B5EF4-FFF2-40B4-BE49-F238E27FC236}">
              <a16:creationId xmlns:a16="http://schemas.microsoft.com/office/drawing/2014/main" id="{2BD33839-2858-2CBA-403D-4386D031DB19}"/>
            </a:ext>
          </a:extLst>
        </xdr:cNvPr>
        <xdr:cNvSpPr>
          <a:spLocks noChangeShapeType="1"/>
        </xdr:cNvSpPr>
      </xdr:nvSpPr>
      <xdr:spPr bwMode="auto">
        <a:xfrm>
          <a:off x="10839450" y="195072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9525</xdr:rowOff>
    </xdr:from>
    <xdr:to>
      <xdr:col>0</xdr:col>
      <xdr:colOff>1836505</xdr:colOff>
      <xdr:row>1</xdr:row>
      <xdr:rowOff>0</xdr:rowOff>
    </xdr:to>
    <xdr:sp macro="" textlink="">
      <xdr:nvSpPr>
        <xdr:cNvPr id="38947" name="Rectangle 35">
          <a:extLst>
            <a:ext uri="{FF2B5EF4-FFF2-40B4-BE49-F238E27FC236}">
              <a16:creationId xmlns:a16="http://schemas.microsoft.com/office/drawing/2014/main" id="{84DB95F0-2059-EC76-C94D-85C12B06A61C}"/>
            </a:ext>
          </a:extLst>
        </xdr:cNvPr>
        <xdr:cNvSpPr>
          <a:spLocks noChangeArrowheads="1"/>
        </xdr:cNvSpPr>
      </xdr:nvSpPr>
      <xdr:spPr bwMode="auto">
        <a:xfrm>
          <a:off x="28575" y="9525"/>
          <a:ext cx="1809750" cy="361950"/>
        </a:xfrm>
        <a:prstGeom prst="rect">
          <a:avLst/>
        </a:prstGeom>
        <a:solidFill>
          <a:srgbClr val="C0C0C0"/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MANO DE OBRA</a:t>
          </a:r>
        </a:p>
      </xdr:txBody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287" name="Rectangle 165">
          <a:extLst>
            <a:ext uri="{FF2B5EF4-FFF2-40B4-BE49-F238E27FC236}">
              <a16:creationId xmlns:a16="http://schemas.microsoft.com/office/drawing/2014/main" id="{A0D4BFE0-CDA5-48B9-8CB8-E509EE316017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288" name="Rectangle 166">
          <a:extLst>
            <a:ext uri="{FF2B5EF4-FFF2-40B4-BE49-F238E27FC236}">
              <a16:creationId xmlns:a16="http://schemas.microsoft.com/office/drawing/2014/main" id="{2BD8C625-7AE1-BE12-0693-326C08F5C289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289" name="Rectangle 167">
          <a:extLst>
            <a:ext uri="{FF2B5EF4-FFF2-40B4-BE49-F238E27FC236}">
              <a16:creationId xmlns:a16="http://schemas.microsoft.com/office/drawing/2014/main" id="{218F27DE-9C03-7518-826B-2947FED3183A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155</xdr:row>
      <xdr:rowOff>0</xdr:rowOff>
    </xdr:from>
    <xdr:to>
      <xdr:col>2</xdr:col>
      <xdr:colOff>0</xdr:colOff>
      <xdr:row>160</xdr:row>
      <xdr:rowOff>0</xdr:rowOff>
    </xdr:to>
    <xdr:sp macro="" textlink="">
      <xdr:nvSpPr>
        <xdr:cNvPr id="230290" name="Rectangle 168">
          <a:extLst>
            <a:ext uri="{FF2B5EF4-FFF2-40B4-BE49-F238E27FC236}">
              <a16:creationId xmlns:a16="http://schemas.microsoft.com/office/drawing/2014/main" id="{55368947-C20D-D39E-5A39-EEE0E0E6D059}"/>
            </a:ext>
          </a:extLst>
        </xdr:cNvPr>
        <xdr:cNvSpPr>
          <a:spLocks noChangeArrowheads="1"/>
        </xdr:cNvSpPr>
      </xdr:nvSpPr>
      <xdr:spPr bwMode="auto">
        <a:xfrm>
          <a:off x="0" y="27355800"/>
          <a:ext cx="3638550" cy="809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291" name="Rectangle 169">
          <a:extLst>
            <a:ext uri="{FF2B5EF4-FFF2-40B4-BE49-F238E27FC236}">
              <a16:creationId xmlns:a16="http://schemas.microsoft.com/office/drawing/2014/main" id="{C8714868-76BA-B973-B18E-05AE7403E274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292" name="Rectangle 170">
          <a:extLst>
            <a:ext uri="{FF2B5EF4-FFF2-40B4-BE49-F238E27FC236}">
              <a16:creationId xmlns:a16="http://schemas.microsoft.com/office/drawing/2014/main" id="{C8870BEF-481B-C13A-7E5A-7925ECEC29E0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155</xdr:row>
      <xdr:rowOff>0</xdr:rowOff>
    </xdr:from>
    <xdr:to>
      <xdr:col>2</xdr:col>
      <xdr:colOff>0</xdr:colOff>
      <xdr:row>160</xdr:row>
      <xdr:rowOff>0</xdr:rowOff>
    </xdr:to>
    <xdr:sp macro="" textlink="">
      <xdr:nvSpPr>
        <xdr:cNvPr id="230293" name="Rectangle 171">
          <a:extLst>
            <a:ext uri="{FF2B5EF4-FFF2-40B4-BE49-F238E27FC236}">
              <a16:creationId xmlns:a16="http://schemas.microsoft.com/office/drawing/2014/main" id="{C9A96BD4-CADB-5530-CD07-95A687A8CA9E}"/>
            </a:ext>
          </a:extLst>
        </xdr:cNvPr>
        <xdr:cNvSpPr>
          <a:spLocks noChangeArrowheads="1"/>
        </xdr:cNvSpPr>
      </xdr:nvSpPr>
      <xdr:spPr bwMode="auto">
        <a:xfrm>
          <a:off x="0" y="27355800"/>
          <a:ext cx="3638550" cy="809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129</xdr:row>
      <xdr:rowOff>0</xdr:rowOff>
    </xdr:from>
    <xdr:to>
      <xdr:col>5</xdr:col>
      <xdr:colOff>0</xdr:colOff>
      <xdr:row>154</xdr:row>
      <xdr:rowOff>0</xdr:rowOff>
    </xdr:to>
    <xdr:sp macro="" textlink="">
      <xdr:nvSpPr>
        <xdr:cNvPr id="230294" name="Rectangle 172">
          <a:extLst>
            <a:ext uri="{FF2B5EF4-FFF2-40B4-BE49-F238E27FC236}">
              <a16:creationId xmlns:a16="http://schemas.microsoft.com/office/drawing/2014/main" id="{653D81EA-CCE3-B366-5D76-4E435077CA64}"/>
            </a:ext>
          </a:extLst>
        </xdr:cNvPr>
        <xdr:cNvSpPr>
          <a:spLocks noChangeArrowheads="1"/>
        </xdr:cNvSpPr>
      </xdr:nvSpPr>
      <xdr:spPr bwMode="auto">
        <a:xfrm>
          <a:off x="3638550" y="22936200"/>
          <a:ext cx="3305175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161</xdr:row>
      <xdr:rowOff>0</xdr:rowOff>
    </xdr:from>
    <xdr:to>
      <xdr:col>2</xdr:col>
      <xdr:colOff>0</xdr:colOff>
      <xdr:row>162</xdr:row>
      <xdr:rowOff>0</xdr:rowOff>
    </xdr:to>
    <xdr:sp macro="" textlink="">
      <xdr:nvSpPr>
        <xdr:cNvPr id="230295" name="Rectangle 173">
          <a:extLst>
            <a:ext uri="{FF2B5EF4-FFF2-40B4-BE49-F238E27FC236}">
              <a16:creationId xmlns:a16="http://schemas.microsoft.com/office/drawing/2014/main" id="{9D52BCC7-C156-A9A3-F492-4C9368D2350A}"/>
            </a:ext>
          </a:extLst>
        </xdr:cNvPr>
        <xdr:cNvSpPr>
          <a:spLocks noChangeArrowheads="1"/>
        </xdr:cNvSpPr>
      </xdr:nvSpPr>
      <xdr:spPr bwMode="auto">
        <a:xfrm>
          <a:off x="0" y="28327350"/>
          <a:ext cx="363855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342900</xdr:colOff>
      <xdr:row>49</xdr:row>
      <xdr:rowOff>95250</xdr:rowOff>
    </xdr:from>
    <xdr:to>
      <xdr:col>13</xdr:col>
      <xdr:colOff>342900</xdr:colOff>
      <xdr:row>52</xdr:row>
      <xdr:rowOff>95250</xdr:rowOff>
    </xdr:to>
    <xdr:sp macro="" textlink="">
      <xdr:nvSpPr>
        <xdr:cNvPr id="230296" name="Line 175">
          <a:extLst>
            <a:ext uri="{FF2B5EF4-FFF2-40B4-BE49-F238E27FC236}">
              <a16:creationId xmlns:a16="http://schemas.microsoft.com/office/drawing/2014/main" id="{CA71CA31-B7F4-AC52-29CE-FA71D9334332}"/>
            </a:ext>
          </a:extLst>
        </xdr:cNvPr>
        <xdr:cNvSpPr>
          <a:spLocks noChangeShapeType="1"/>
        </xdr:cNvSpPr>
      </xdr:nvSpPr>
      <xdr:spPr bwMode="auto">
        <a:xfrm>
          <a:off x="15440025" y="9486900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161</xdr:row>
      <xdr:rowOff>0</xdr:rowOff>
    </xdr:from>
    <xdr:to>
      <xdr:col>2</xdr:col>
      <xdr:colOff>0</xdr:colOff>
      <xdr:row>162</xdr:row>
      <xdr:rowOff>0</xdr:rowOff>
    </xdr:to>
    <xdr:sp macro="" textlink="">
      <xdr:nvSpPr>
        <xdr:cNvPr id="230297" name="Rectangle 176">
          <a:extLst>
            <a:ext uri="{FF2B5EF4-FFF2-40B4-BE49-F238E27FC236}">
              <a16:creationId xmlns:a16="http://schemas.microsoft.com/office/drawing/2014/main" id="{6A32FE85-6CE1-A3B4-F264-1BC2C715B052}"/>
            </a:ext>
          </a:extLst>
        </xdr:cNvPr>
        <xdr:cNvSpPr>
          <a:spLocks noChangeArrowheads="1"/>
        </xdr:cNvSpPr>
      </xdr:nvSpPr>
      <xdr:spPr bwMode="auto">
        <a:xfrm>
          <a:off x="0" y="28327350"/>
          <a:ext cx="363855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298" name="Rectangle 177">
          <a:extLst>
            <a:ext uri="{FF2B5EF4-FFF2-40B4-BE49-F238E27FC236}">
              <a16:creationId xmlns:a16="http://schemas.microsoft.com/office/drawing/2014/main" id="{0DF98E01-24B9-9283-1367-5B1A06FD99E4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299" name="Rectangle 178">
          <a:extLst>
            <a:ext uri="{FF2B5EF4-FFF2-40B4-BE49-F238E27FC236}">
              <a16:creationId xmlns:a16="http://schemas.microsoft.com/office/drawing/2014/main" id="{D265D63F-F4D8-3D91-BC8F-135DACA8C652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00" name="Rectangle 179">
          <a:extLst>
            <a:ext uri="{FF2B5EF4-FFF2-40B4-BE49-F238E27FC236}">
              <a16:creationId xmlns:a16="http://schemas.microsoft.com/office/drawing/2014/main" id="{259012A6-453C-041F-E45F-1B041EFE9482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155</xdr:row>
      <xdr:rowOff>0</xdr:rowOff>
    </xdr:from>
    <xdr:to>
      <xdr:col>2</xdr:col>
      <xdr:colOff>0</xdr:colOff>
      <xdr:row>160</xdr:row>
      <xdr:rowOff>0</xdr:rowOff>
    </xdr:to>
    <xdr:sp macro="" textlink="">
      <xdr:nvSpPr>
        <xdr:cNvPr id="230301" name="Rectangle 180">
          <a:extLst>
            <a:ext uri="{FF2B5EF4-FFF2-40B4-BE49-F238E27FC236}">
              <a16:creationId xmlns:a16="http://schemas.microsoft.com/office/drawing/2014/main" id="{5BCA9FC5-CCDA-6B1A-0C16-EC04E0A1C2A0}"/>
            </a:ext>
          </a:extLst>
        </xdr:cNvPr>
        <xdr:cNvSpPr>
          <a:spLocks noChangeArrowheads="1"/>
        </xdr:cNvSpPr>
      </xdr:nvSpPr>
      <xdr:spPr bwMode="auto">
        <a:xfrm>
          <a:off x="0" y="27355800"/>
          <a:ext cx="3638550" cy="809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02" name="Rectangle 181">
          <a:extLst>
            <a:ext uri="{FF2B5EF4-FFF2-40B4-BE49-F238E27FC236}">
              <a16:creationId xmlns:a16="http://schemas.microsoft.com/office/drawing/2014/main" id="{3BEC718A-9F46-0203-8252-ACB78A97274F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03" name="Rectangle 182">
          <a:extLst>
            <a:ext uri="{FF2B5EF4-FFF2-40B4-BE49-F238E27FC236}">
              <a16:creationId xmlns:a16="http://schemas.microsoft.com/office/drawing/2014/main" id="{ABD08E36-2087-D64B-3D2E-F9579B57B542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155</xdr:row>
      <xdr:rowOff>0</xdr:rowOff>
    </xdr:from>
    <xdr:to>
      <xdr:col>2</xdr:col>
      <xdr:colOff>0</xdr:colOff>
      <xdr:row>160</xdr:row>
      <xdr:rowOff>0</xdr:rowOff>
    </xdr:to>
    <xdr:sp macro="" textlink="">
      <xdr:nvSpPr>
        <xdr:cNvPr id="230304" name="Rectangle 183">
          <a:extLst>
            <a:ext uri="{FF2B5EF4-FFF2-40B4-BE49-F238E27FC236}">
              <a16:creationId xmlns:a16="http://schemas.microsoft.com/office/drawing/2014/main" id="{5226395F-56CE-6F95-6FA8-1631F1D58D24}"/>
            </a:ext>
          </a:extLst>
        </xdr:cNvPr>
        <xdr:cNvSpPr>
          <a:spLocks noChangeArrowheads="1"/>
        </xdr:cNvSpPr>
      </xdr:nvSpPr>
      <xdr:spPr bwMode="auto">
        <a:xfrm>
          <a:off x="0" y="27355800"/>
          <a:ext cx="3638550" cy="809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129</xdr:row>
      <xdr:rowOff>0</xdr:rowOff>
    </xdr:from>
    <xdr:to>
      <xdr:col>5</xdr:col>
      <xdr:colOff>0</xdr:colOff>
      <xdr:row>154</xdr:row>
      <xdr:rowOff>0</xdr:rowOff>
    </xdr:to>
    <xdr:sp macro="" textlink="">
      <xdr:nvSpPr>
        <xdr:cNvPr id="230305" name="Rectangle 184">
          <a:extLst>
            <a:ext uri="{FF2B5EF4-FFF2-40B4-BE49-F238E27FC236}">
              <a16:creationId xmlns:a16="http://schemas.microsoft.com/office/drawing/2014/main" id="{7523A887-C6A0-AB35-5283-17662E17D11E}"/>
            </a:ext>
          </a:extLst>
        </xdr:cNvPr>
        <xdr:cNvSpPr>
          <a:spLocks noChangeArrowheads="1"/>
        </xdr:cNvSpPr>
      </xdr:nvSpPr>
      <xdr:spPr bwMode="auto">
        <a:xfrm>
          <a:off x="3638550" y="22936200"/>
          <a:ext cx="3305175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161</xdr:row>
      <xdr:rowOff>0</xdr:rowOff>
    </xdr:from>
    <xdr:to>
      <xdr:col>2</xdr:col>
      <xdr:colOff>0</xdr:colOff>
      <xdr:row>162</xdr:row>
      <xdr:rowOff>0</xdr:rowOff>
    </xdr:to>
    <xdr:sp macro="" textlink="">
      <xdr:nvSpPr>
        <xdr:cNvPr id="230306" name="Rectangle 185">
          <a:extLst>
            <a:ext uri="{FF2B5EF4-FFF2-40B4-BE49-F238E27FC236}">
              <a16:creationId xmlns:a16="http://schemas.microsoft.com/office/drawing/2014/main" id="{209FA737-DE69-838F-F461-2AC2361E03E4}"/>
            </a:ext>
          </a:extLst>
        </xdr:cNvPr>
        <xdr:cNvSpPr>
          <a:spLocks noChangeArrowheads="1"/>
        </xdr:cNvSpPr>
      </xdr:nvSpPr>
      <xdr:spPr bwMode="auto">
        <a:xfrm>
          <a:off x="0" y="28327350"/>
          <a:ext cx="363855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342900</xdr:colOff>
      <xdr:row>49</xdr:row>
      <xdr:rowOff>95250</xdr:rowOff>
    </xdr:from>
    <xdr:to>
      <xdr:col>13</xdr:col>
      <xdr:colOff>342900</xdr:colOff>
      <xdr:row>52</xdr:row>
      <xdr:rowOff>95250</xdr:rowOff>
    </xdr:to>
    <xdr:sp macro="" textlink="">
      <xdr:nvSpPr>
        <xdr:cNvPr id="230307" name="Line 186">
          <a:extLst>
            <a:ext uri="{FF2B5EF4-FFF2-40B4-BE49-F238E27FC236}">
              <a16:creationId xmlns:a16="http://schemas.microsoft.com/office/drawing/2014/main" id="{1FEAEF88-FA73-A78E-F6F8-4680086B7BA0}"/>
            </a:ext>
          </a:extLst>
        </xdr:cNvPr>
        <xdr:cNvSpPr>
          <a:spLocks noChangeShapeType="1"/>
        </xdr:cNvSpPr>
      </xdr:nvSpPr>
      <xdr:spPr bwMode="auto">
        <a:xfrm>
          <a:off x="15440025" y="9486900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08" name="Rectangle 187">
          <a:extLst>
            <a:ext uri="{FF2B5EF4-FFF2-40B4-BE49-F238E27FC236}">
              <a16:creationId xmlns:a16="http://schemas.microsoft.com/office/drawing/2014/main" id="{3A0FCEDD-2996-7BA4-7C8C-672CA255C3B3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09" name="Rectangle 188">
          <a:extLst>
            <a:ext uri="{FF2B5EF4-FFF2-40B4-BE49-F238E27FC236}">
              <a16:creationId xmlns:a16="http://schemas.microsoft.com/office/drawing/2014/main" id="{BE772B7B-8556-5799-3B5F-19F712CD567E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10" name="Rectangle 189">
          <a:extLst>
            <a:ext uri="{FF2B5EF4-FFF2-40B4-BE49-F238E27FC236}">
              <a16:creationId xmlns:a16="http://schemas.microsoft.com/office/drawing/2014/main" id="{8ECB22DA-7A49-72DA-3570-ED87BA04936E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155</xdr:row>
      <xdr:rowOff>0</xdr:rowOff>
    </xdr:from>
    <xdr:to>
      <xdr:col>2</xdr:col>
      <xdr:colOff>0</xdr:colOff>
      <xdr:row>160</xdr:row>
      <xdr:rowOff>0</xdr:rowOff>
    </xdr:to>
    <xdr:sp macro="" textlink="">
      <xdr:nvSpPr>
        <xdr:cNvPr id="230311" name="Rectangle 190">
          <a:extLst>
            <a:ext uri="{FF2B5EF4-FFF2-40B4-BE49-F238E27FC236}">
              <a16:creationId xmlns:a16="http://schemas.microsoft.com/office/drawing/2014/main" id="{FE16A30A-64AA-8753-618D-032FD55912A3}"/>
            </a:ext>
          </a:extLst>
        </xdr:cNvPr>
        <xdr:cNvSpPr>
          <a:spLocks noChangeArrowheads="1"/>
        </xdr:cNvSpPr>
      </xdr:nvSpPr>
      <xdr:spPr bwMode="auto">
        <a:xfrm>
          <a:off x="0" y="27355800"/>
          <a:ext cx="3638550" cy="809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12" name="Rectangle 191">
          <a:extLst>
            <a:ext uri="{FF2B5EF4-FFF2-40B4-BE49-F238E27FC236}">
              <a16:creationId xmlns:a16="http://schemas.microsoft.com/office/drawing/2014/main" id="{09B9DA0C-10AF-9854-6F66-E462D6A2ACB5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13" name="Rectangle 192">
          <a:extLst>
            <a:ext uri="{FF2B5EF4-FFF2-40B4-BE49-F238E27FC236}">
              <a16:creationId xmlns:a16="http://schemas.microsoft.com/office/drawing/2014/main" id="{BB618EE1-38E6-BE0B-ED17-0DBDB0B29420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155</xdr:row>
      <xdr:rowOff>0</xdr:rowOff>
    </xdr:from>
    <xdr:to>
      <xdr:col>2</xdr:col>
      <xdr:colOff>0</xdr:colOff>
      <xdr:row>160</xdr:row>
      <xdr:rowOff>0</xdr:rowOff>
    </xdr:to>
    <xdr:sp macro="" textlink="">
      <xdr:nvSpPr>
        <xdr:cNvPr id="230314" name="Rectangle 193">
          <a:extLst>
            <a:ext uri="{FF2B5EF4-FFF2-40B4-BE49-F238E27FC236}">
              <a16:creationId xmlns:a16="http://schemas.microsoft.com/office/drawing/2014/main" id="{029B2EA7-38FE-2C6C-AC71-68D5E97D0526}"/>
            </a:ext>
          </a:extLst>
        </xdr:cNvPr>
        <xdr:cNvSpPr>
          <a:spLocks noChangeArrowheads="1"/>
        </xdr:cNvSpPr>
      </xdr:nvSpPr>
      <xdr:spPr bwMode="auto">
        <a:xfrm>
          <a:off x="0" y="27355800"/>
          <a:ext cx="3638550" cy="809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161</xdr:row>
      <xdr:rowOff>0</xdr:rowOff>
    </xdr:from>
    <xdr:to>
      <xdr:col>2</xdr:col>
      <xdr:colOff>0</xdr:colOff>
      <xdr:row>162</xdr:row>
      <xdr:rowOff>0</xdr:rowOff>
    </xdr:to>
    <xdr:sp macro="" textlink="">
      <xdr:nvSpPr>
        <xdr:cNvPr id="230315" name="Rectangle 194">
          <a:extLst>
            <a:ext uri="{FF2B5EF4-FFF2-40B4-BE49-F238E27FC236}">
              <a16:creationId xmlns:a16="http://schemas.microsoft.com/office/drawing/2014/main" id="{A0D503BA-B570-D769-6453-10F70D54B147}"/>
            </a:ext>
          </a:extLst>
        </xdr:cNvPr>
        <xdr:cNvSpPr>
          <a:spLocks noChangeArrowheads="1"/>
        </xdr:cNvSpPr>
      </xdr:nvSpPr>
      <xdr:spPr bwMode="auto">
        <a:xfrm>
          <a:off x="0" y="28327350"/>
          <a:ext cx="363855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161</xdr:row>
      <xdr:rowOff>0</xdr:rowOff>
    </xdr:from>
    <xdr:to>
      <xdr:col>2</xdr:col>
      <xdr:colOff>0</xdr:colOff>
      <xdr:row>162</xdr:row>
      <xdr:rowOff>0</xdr:rowOff>
    </xdr:to>
    <xdr:sp macro="" textlink="">
      <xdr:nvSpPr>
        <xdr:cNvPr id="230316" name="Rectangle 195">
          <a:extLst>
            <a:ext uri="{FF2B5EF4-FFF2-40B4-BE49-F238E27FC236}">
              <a16:creationId xmlns:a16="http://schemas.microsoft.com/office/drawing/2014/main" id="{20689390-947D-3034-43EF-F207CC7FF4EA}"/>
            </a:ext>
          </a:extLst>
        </xdr:cNvPr>
        <xdr:cNvSpPr>
          <a:spLocks noChangeArrowheads="1"/>
        </xdr:cNvSpPr>
      </xdr:nvSpPr>
      <xdr:spPr bwMode="auto">
        <a:xfrm>
          <a:off x="0" y="28327350"/>
          <a:ext cx="363855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17" name="Rectangle 196">
          <a:extLst>
            <a:ext uri="{FF2B5EF4-FFF2-40B4-BE49-F238E27FC236}">
              <a16:creationId xmlns:a16="http://schemas.microsoft.com/office/drawing/2014/main" id="{E8EE78F7-E2E5-9D97-C635-8A6B514F11B2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18" name="Rectangle 197">
          <a:extLst>
            <a:ext uri="{FF2B5EF4-FFF2-40B4-BE49-F238E27FC236}">
              <a16:creationId xmlns:a16="http://schemas.microsoft.com/office/drawing/2014/main" id="{BA7D6487-1101-0FC2-1D59-570121A9F369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19" name="Rectangle 198">
          <a:extLst>
            <a:ext uri="{FF2B5EF4-FFF2-40B4-BE49-F238E27FC236}">
              <a16:creationId xmlns:a16="http://schemas.microsoft.com/office/drawing/2014/main" id="{F71A6EC7-2937-3ADC-67DB-1B3BDB4A58A8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155</xdr:row>
      <xdr:rowOff>0</xdr:rowOff>
    </xdr:from>
    <xdr:to>
      <xdr:col>2</xdr:col>
      <xdr:colOff>0</xdr:colOff>
      <xdr:row>160</xdr:row>
      <xdr:rowOff>0</xdr:rowOff>
    </xdr:to>
    <xdr:sp macro="" textlink="">
      <xdr:nvSpPr>
        <xdr:cNvPr id="230320" name="Rectangle 199">
          <a:extLst>
            <a:ext uri="{FF2B5EF4-FFF2-40B4-BE49-F238E27FC236}">
              <a16:creationId xmlns:a16="http://schemas.microsoft.com/office/drawing/2014/main" id="{DFF2437A-096A-587D-14E9-73AB1687A245}"/>
            </a:ext>
          </a:extLst>
        </xdr:cNvPr>
        <xdr:cNvSpPr>
          <a:spLocks noChangeArrowheads="1"/>
        </xdr:cNvSpPr>
      </xdr:nvSpPr>
      <xdr:spPr bwMode="auto">
        <a:xfrm>
          <a:off x="0" y="27355800"/>
          <a:ext cx="3638550" cy="809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21" name="Rectangle 200">
          <a:extLst>
            <a:ext uri="{FF2B5EF4-FFF2-40B4-BE49-F238E27FC236}">
              <a16:creationId xmlns:a16="http://schemas.microsoft.com/office/drawing/2014/main" id="{EACC543F-94DF-4358-0BBD-7338328A7925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22" name="Rectangle 201">
          <a:extLst>
            <a:ext uri="{FF2B5EF4-FFF2-40B4-BE49-F238E27FC236}">
              <a16:creationId xmlns:a16="http://schemas.microsoft.com/office/drawing/2014/main" id="{C603A908-EC50-72E1-9C39-D7B6A09682A3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155</xdr:row>
      <xdr:rowOff>0</xdr:rowOff>
    </xdr:from>
    <xdr:to>
      <xdr:col>2</xdr:col>
      <xdr:colOff>0</xdr:colOff>
      <xdr:row>160</xdr:row>
      <xdr:rowOff>0</xdr:rowOff>
    </xdr:to>
    <xdr:sp macro="" textlink="">
      <xdr:nvSpPr>
        <xdr:cNvPr id="230323" name="Rectangle 202">
          <a:extLst>
            <a:ext uri="{FF2B5EF4-FFF2-40B4-BE49-F238E27FC236}">
              <a16:creationId xmlns:a16="http://schemas.microsoft.com/office/drawing/2014/main" id="{C4DC3CF2-40F8-172E-2B03-6E6044CDA76C}"/>
            </a:ext>
          </a:extLst>
        </xdr:cNvPr>
        <xdr:cNvSpPr>
          <a:spLocks noChangeArrowheads="1"/>
        </xdr:cNvSpPr>
      </xdr:nvSpPr>
      <xdr:spPr bwMode="auto">
        <a:xfrm>
          <a:off x="0" y="27355800"/>
          <a:ext cx="3638550" cy="809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161</xdr:row>
      <xdr:rowOff>0</xdr:rowOff>
    </xdr:from>
    <xdr:to>
      <xdr:col>2</xdr:col>
      <xdr:colOff>0</xdr:colOff>
      <xdr:row>162</xdr:row>
      <xdr:rowOff>0</xdr:rowOff>
    </xdr:to>
    <xdr:sp macro="" textlink="">
      <xdr:nvSpPr>
        <xdr:cNvPr id="230324" name="Rectangle 203">
          <a:extLst>
            <a:ext uri="{FF2B5EF4-FFF2-40B4-BE49-F238E27FC236}">
              <a16:creationId xmlns:a16="http://schemas.microsoft.com/office/drawing/2014/main" id="{85ADFB6D-E8D9-7564-7808-6FE57147AD3F}"/>
            </a:ext>
          </a:extLst>
        </xdr:cNvPr>
        <xdr:cNvSpPr>
          <a:spLocks noChangeArrowheads="1"/>
        </xdr:cNvSpPr>
      </xdr:nvSpPr>
      <xdr:spPr bwMode="auto">
        <a:xfrm>
          <a:off x="0" y="28327350"/>
          <a:ext cx="363855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25" name="Rectangle 204">
          <a:extLst>
            <a:ext uri="{FF2B5EF4-FFF2-40B4-BE49-F238E27FC236}">
              <a16:creationId xmlns:a16="http://schemas.microsoft.com/office/drawing/2014/main" id="{4E408CF5-6363-9D71-2BF5-FFA70D267052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26" name="Rectangle 205">
          <a:extLst>
            <a:ext uri="{FF2B5EF4-FFF2-40B4-BE49-F238E27FC236}">
              <a16:creationId xmlns:a16="http://schemas.microsoft.com/office/drawing/2014/main" id="{188FB2B9-6722-FA22-FCAF-5557D31BD470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27" name="Rectangle 206">
          <a:extLst>
            <a:ext uri="{FF2B5EF4-FFF2-40B4-BE49-F238E27FC236}">
              <a16:creationId xmlns:a16="http://schemas.microsoft.com/office/drawing/2014/main" id="{471BF258-3D94-BA50-C29D-1A5E8782ABD7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155</xdr:row>
      <xdr:rowOff>0</xdr:rowOff>
    </xdr:from>
    <xdr:to>
      <xdr:col>2</xdr:col>
      <xdr:colOff>0</xdr:colOff>
      <xdr:row>160</xdr:row>
      <xdr:rowOff>0</xdr:rowOff>
    </xdr:to>
    <xdr:sp macro="" textlink="">
      <xdr:nvSpPr>
        <xdr:cNvPr id="230328" name="Rectangle 207">
          <a:extLst>
            <a:ext uri="{FF2B5EF4-FFF2-40B4-BE49-F238E27FC236}">
              <a16:creationId xmlns:a16="http://schemas.microsoft.com/office/drawing/2014/main" id="{F2630A33-5664-61F8-2EED-895814B716D5}"/>
            </a:ext>
          </a:extLst>
        </xdr:cNvPr>
        <xdr:cNvSpPr>
          <a:spLocks noChangeArrowheads="1"/>
        </xdr:cNvSpPr>
      </xdr:nvSpPr>
      <xdr:spPr bwMode="auto">
        <a:xfrm>
          <a:off x="0" y="27355800"/>
          <a:ext cx="3638550" cy="809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29" name="Rectangle 208">
          <a:extLst>
            <a:ext uri="{FF2B5EF4-FFF2-40B4-BE49-F238E27FC236}">
              <a16:creationId xmlns:a16="http://schemas.microsoft.com/office/drawing/2014/main" id="{4A7F22FB-9CF0-5787-C292-BF09968A23EF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30" name="Rectangle 209">
          <a:extLst>
            <a:ext uri="{FF2B5EF4-FFF2-40B4-BE49-F238E27FC236}">
              <a16:creationId xmlns:a16="http://schemas.microsoft.com/office/drawing/2014/main" id="{EDF79E47-4343-C20C-4559-5DAAB49BA057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155</xdr:row>
      <xdr:rowOff>0</xdr:rowOff>
    </xdr:from>
    <xdr:to>
      <xdr:col>2</xdr:col>
      <xdr:colOff>0</xdr:colOff>
      <xdr:row>160</xdr:row>
      <xdr:rowOff>0</xdr:rowOff>
    </xdr:to>
    <xdr:sp macro="" textlink="">
      <xdr:nvSpPr>
        <xdr:cNvPr id="230331" name="Rectangle 210">
          <a:extLst>
            <a:ext uri="{FF2B5EF4-FFF2-40B4-BE49-F238E27FC236}">
              <a16:creationId xmlns:a16="http://schemas.microsoft.com/office/drawing/2014/main" id="{6C8E43D1-6A4C-0728-00E8-2B35A8397AFD}"/>
            </a:ext>
          </a:extLst>
        </xdr:cNvPr>
        <xdr:cNvSpPr>
          <a:spLocks noChangeArrowheads="1"/>
        </xdr:cNvSpPr>
      </xdr:nvSpPr>
      <xdr:spPr bwMode="auto">
        <a:xfrm>
          <a:off x="0" y="27355800"/>
          <a:ext cx="3638550" cy="809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32" name="Rectangle 211">
          <a:extLst>
            <a:ext uri="{FF2B5EF4-FFF2-40B4-BE49-F238E27FC236}">
              <a16:creationId xmlns:a16="http://schemas.microsoft.com/office/drawing/2014/main" id="{C983C81E-12B6-4592-0F8D-B29B06FCC6EB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33" name="Rectangle 212">
          <a:extLst>
            <a:ext uri="{FF2B5EF4-FFF2-40B4-BE49-F238E27FC236}">
              <a16:creationId xmlns:a16="http://schemas.microsoft.com/office/drawing/2014/main" id="{94445BC1-0062-7913-5951-91F37BC2B7CB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34" name="Rectangle 213">
          <a:extLst>
            <a:ext uri="{FF2B5EF4-FFF2-40B4-BE49-F238E27FC236}">
              <a16:creationId xmlns:a16="http://schemas.microsoft.com/office/drawing/2014/main" id="{C6302FAD-D432-9F76-9759-48F52BCB0F96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155</xdr:row>
      <xdr:rowOff>0</xdr:rowOff>
    </xdr:from>
    <xdr:to>
      <xdr:col>2</xdr:col>
      <xdr:colOff>0</xdr:colOff>
      <xdr:row>160</xdr:row>
      <xdr:rowOff>0</xdr:rowOff>
    </xdr:to>
    <xdr:sp macro="" textlink="">
      <xdr:nvSpPr>
        <xdr:cNvPr id="230335" name="Rectangle 214">
          <a:extLst>
            <a:ext uri="{FF2B5EF4-FFF2-40B4-BE49-F238E27FC236}">
              <a16:creationId xmlns:a16="http://schemas.microsoft.com/office/drawing/2014/main" id="{DE798A91-0C92-D3E0-6A8D-B3E4F34BC6A6}"/>
            </a:ext>
          </a:extLst>
        </xdr:cNvPr>
        <xdr:cNvSpPr>
          <a:spLocks noChangeArrowheads="1"/>
        </xdr:cNvSpPr>
      </xdr:nvSpPr>
      <xdr:spPr bwMode="auto">
        <a:xfrm>
          <a:off x="0" y="27355800"/>
          <a:ext cx="3638550" cy="809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36" name="Rectangle 215">
          <a:extLst>
            <a:ext uri="{FF2B5EF4-FFF2-40B4-BE49-F238E27FC236}">
              <a16:creationId xmlns:a16="http://schemas.microsoft.com/office/drawing/2014/main" id="{874759CF-B9EE-1EDD-BFE1-E9DFE17815D5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37" name="Rectangle 216">
          <a:extLst>
            <a:ext uri="{FF2B5EF4-FFF2-40B4-BE49-F238E27FC236}">
              <a16:creationId xmlns:a16="http://schemas.microsoft.com/office/drawing/2014/main" id="{C63D828A-DA43-A891-46F2-86A39770EBAF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156</xdr:row>
      <xdr:rowOff>152400</xdr:rowOff>
    </xdr:from>
    <xdr:to>
      <xdr:col>2</xdr:col>
      <xdr:colOff>0</xdr:colOff>
      <xdr:row>161</xdr:row>
      <xdr:rowOff>152400</xdr:rowOff>
    </xdr:to>
    <xdr:sp macro="" textlink="">
      <xdr:nvSpPr>
        <xdr:cNvPr id="230338" name="Rectangle 217">
          <a:extLst>
            <a:ext uri="{FF2B5EF4-FFF2-40B4-BE49-F238E27FC236}">
              <a16:creationId xmlns:a16="http://schemas.microsoft.com/office/drawing/2014/main" id="{C5D5C6AF-846C-E15B-D29A-2D07385DD431}"/>
            </a:ext>
          </a:extLst>
        </xdr:cNvPr>
        <xdr:cNvSpPr>
          <a:spLocks noChangeArrowheads="1"/>
        </xdr:cNvSpPr>
      </xdr:nvSpPr>
      <xdr:spPr bwMode="auto">
        <a:xfrm>
          <a:off x="0" y="28117800"/>
          <a:ext cx="3644900" cy="825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39" name="Rectangle 165">
          <a:extLst>
            <a:ext uri="{FF2B5EF4-FFF2-40B4-BE49-F238E27FC236}">
              <a16:creationId xmlns:a16="http://schemas.microsoft.com/office/drawing/2014/main" id="{F93CDF15-DD02-7A43-4554-3423E9249BE1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40" name="Rectangle 166">
          <a:extLst>
            <a:ext uri="{FF2B5EF4-FFF2-40B4-BE49-F238E27FC236}">
              <a16:creationId xmlns:a16="http://schemas.microsoft.com/office/drawing/2014/main" id="{CBE5CA2F-73EA-D0E6-0D76-A86230A53C61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41" name="Rectangle 167">
          <a:extLst>
            <a:ext uri="{FF2B5EF4-FFF2-40B4-BE49-F238E27FC236}">
              <a16:creationId xmlns:a16="http://schemas.microsoft.com/office/drawing/2014/main" id="{517C518D-BE21-5AB0-ECAD-5F611477A6E3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158</xdr:row>
      <xdr:rowOff>0</xdr:rowOff>
    </xdr:from>
    <xdr:to>
      <xdr:col>2</xdr:col>
      <xdr:colOff>0</xdr:colOff>
      <xdr:row>163</xdr:row>
      <xdr:rowOff>0</xdr:rowOff>
    </xdr:to>
    <xdr:sp macro="" textlink="">
      <xdr:nvSpPr>
        <xdr:cNvPr id="230342" name="Rectangle 168">
          <a:extLst>
            <a:ext uri="{FF2B5EF4-FFF2-40B4-BE49-F238E27FC236}">
              <a16:creationId xmlns:a16="http://schemas.microsoft.com/office/drawing/2014/main" id="{5A939313-660F-FE8D-6A10-769DBD6ED7E1}"/>
            </a:ext>
          </a:extLst>
        </xdr:cNvPr>
        <xdr:cNvSpPr>
          <a:spLocks noChangeArrowheads="1"/>
        </xdr:cNvSpPr>
      </xdr:nvSpPr>
      <xdr:spPr bwMode="auto">
        <a:xfrm>
          <a:off x="0" y="27841575"/>
          <a:ext cx="3638550" cy="809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43" name="Rectangle 169">
          <a:extLst>
            <a:ext uri="{FF2B5EF4-FFF2-40B4-BE49-F238E27FC236}">
              <a16:creationId xmlns:a16="http://schemas.microsoft.com/office/drawing/2014/main" id="{35976F95-8CC7-9720-FD61-074751965849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44" name="Rectangle 170">
          <a:extLst>
            <a:ext uri="{FF2B5EF4-FFF2-40B4-BE49-F238E27FC236}">
              <a16:creationId xmlns:a16="http://schemas.microsoft.com/office/drawing/2014/main" id="{35C5D63C-BEA6-3BF9-78BB-B8F3A74D79A5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158</xdr:row>
      <xdr:rowOff>0</xdr:rowOff>
    </xdr:from>
    <xdr:to>
      <xdr:col>2</xdr:col>
      <xdr:colOff>0</xdr:colOff>
      <xdr:row>163</xdr:row>
      <xdr:rowOff>0</xdr:rowOff>
    </xdr:to>
    <xdr:sp macro="" textlink="">
      <xdr:nvSpPr>
        <xdr:cNvPr id="230345" name="Rectangle 171">
          <a:extLst>
            <a:ext uri="{FF2B5EF4-FFF2-40B4-BE49-F238E27FC236}">
              <a16:creationId xmlns:a16="http://schemas.microsoft.com/office/drawing/2014/main" id="{4BC825E6-052F-D588-B805-E3A89CE02946}"/>
            </a:ext>
          </a:extLst>
        </xdr:cNvPr>
        <xdr:cNvSpPr>
          <a:spLocks noChangeArrowheads="1"/>
        </xdr:cNvSpPr>
      </xdr:nvSpPr>
      <xdr:spPr bwMode="auto">
        <a:xfrm>
          <a:off x="0" y="27841575"/>
          <a:ext cx="3638550" cy="809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164</xdr:row>
      <xdr:rowOff>0</xdr:rowOff>
    </xdr:from>
    <xdr:to>
      <xdr:col>2</xdr:col>
      <xdr:colOff>0</xdr:colOff>
      <xdr:row>165</xdr:row>
      <xdr:rowOff>0</xdr:rowOff>
    </xdr:to>
    <xdr:sp macro="" textlink="">
      <xdr:nvSpPr>
        <xdr:cNvPr id="230346" name="Rectangle 173">
          <a:extLst>
            <a:ext uri="{FF2B5EF4-FFF2-40B4-BE49-F238E27FC236}">
              <a16:creationId xmlns:a16="http://schemas.microsoft.com/office/drawing/2014/main" id="{E88E3AC7-6F00-B77F-6B5E-2662751BAECE}"/>
            </a:ext>
          </a:extLst>
        </xdr:cNvPr>
        <xdr:cNvSpPr>
          <a:spLocks noChangeArrowheads="1"/>
        </xdr:cNvSpPr>
      </xdr:nvSpPr>
      <xdr:spPr bwMode="auto">
        <a:xfrm>
          <a:off x="0" y="28813125"/>
          <a:ext cx="363855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342900</xdr:colOff>
      <xdr:row>49</xdr:row>
      <xdr:rowOff>95250</xdr:rowOff>
    </xdr:from>
    <xdr:to>
      <xdr:col>13</xdr:col>
      <xdr:colOff>342900</xdr:colOff>
      <xdr:row>52</xdr:row>
      <xdr:rowOff>95250</xdr:rowOff>
    </xdr:to>
    <xdr:sp macro="" textlink="">
      <xdr:nvSpPr>
        <xdr:cNvPr id="230347" name="Line 175">
          <a:extLst>
            <a:ext uri="{FF2B5EF4-FFF2-40B4-BE49-F238E27FC236}">
              <a16:creationId xmlns:a16="http://schemas.microsoft.com/office/drawing/2014/main" id="{E23FFF4A-DA79-0F48-A8FF-60699CB97B61}"/>
            </a:ext>
          </a:extLst>
        </xdr:cNvPr>
        <xdr:cNvSpPr>
          <a:spLocks noChangeShapeType="1"/>
        </xdr:cNvSpPr>
      </xdr:nvSpPr>
      <xdr:spPr bwMode="auto">
        <a:xfrm>
          <a:off x="15440025" y="9486900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164</xdr:row>
      <xdr:rowOff>0</xdr:rowOff>
    </xdr:from>
    <xdr:to>
      <xdr:col>2</xdr:col>
      <xdr:colOff>0</xdr:colOff>
      <xdr:row>165</xdr:row>
      <xdr:rowOff>0</xdr:rowOff>
    </xdr:to>
    <xdr:sp macro="" textlink="">
      <xdr:nvSpPr>
        <xdr:cNvPr id="230348" name="Rectangle 176">
          <a:extLst>
            <a:ext uri="{FF2B5EF4-FFF2-40B4-BE49-F238E27FC236}">
              <a16:creationId xmlns:a16="http://schemas.microsoft.com/office/drawing/2014/main" id="{FC10AAEA-4DE2-9FF6-4F34-0EB067593835}"/>
            </a:ext>
          </a:extLst>
        </xdr:cNvPr>
        <xdr:cNvSpPr>
          <a:spLocks noChangeArrowheads="1"/>
        </xdr:cNvSpPr>
      </xdr:nvSpPr>
      <xdr:spPr bwMode="auto">
        <a:xfrm>
          <a:off x="0" y="28813125"/>
          <a:ext cx="363855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49" name="Rectangle 177">
          <a:extLst>
            <a:ext uri="{FF2B5EF4-FFF2-40B4-BE49-F238E27FC236}">
              <a16:creationId xmlns:a16="http://schemas.microsoft.com/office/drawing/2014/main" id="{A75ADF6E-E880-64C3-12CD-C5CA13E31217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50" name="Rectangle 178">
          <a:extLst>
            <a:ext uri="{FF2B5EF4-FFF2-40B4-BE49-F238E27FC236}">
              <a16:creationId xmlns:a16="http://schemas.microsoft.com/office/drawing/2014/main" id="{428E5824-837D-2DA0-0CA5-A45F2C931A18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51" name="Rectangle 179">
          <a:extLst>
            <a:ext uri="{FF2B5EF4-FFF2-40B4-BE49-F238E27FC236}">
              <a16:creationId xmlns:a16="http://schemas.microsoft.com/office/drawing/2014/main" id="{38667661-C860-2257-562F-375E8F92FC98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158</xdr:row>
      <xdr:rowOff>0</xdr:rowOff>
    </xdr:from>
    <xdr:to>
      <xdr:col>2</xdr:col>
      <xdr:colOff>0</xdr:colOff>
      <xdr:row>163</xdr:row>
      <xdr:rowOff>0</xdr:rowOff>
    </xdr:to>
    <xdr:sp macro="" textlink="">
      <xdr:nvSpPr>
        <xdr:cNvPr id="230352" name="Rectangle 180">
          <a:extLst>
            <a:ext uri="{FF2B5EF4-FFF2-40B4-BE49-F238E27FC236}">
              <a16:creationId xmlns:a16="http://schemas.microsoft.com/office/drawing/2014/main" id="{CC4A136A-026E-7F4A-ACDB-5E08607ECBB8}"/>
            </a:ext>
          </a:extLst>
        </xdr:cNvPr>
        <xdr:cNvSpPr>
          <a:spLocks noChangeArrowheads="1"/>
        </xdr:cNvSpPr>
      </xdr:nvSpPr>
      <xdr:spPr bwMode="auto">
        <a:xfrm>
          <a:off x="0" y="27841575"/>
          <a:ext cx="3638550" cy="809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53" name="Rectangle 181">
          <a:extLst>
            <a:ext uri="{FF2B5EF4-FFF2-40B4-BE49-F238E27FC236}">
              <a16:creationId xmlns:a16="http://schemas.microsoft.com/office/drawing/2014/main" id="{D5D0B6D7-F0D6-1B8A-540D-51014B855672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54" name="Rectangle 182">
          <a:extLst>
            <a:ext uri="{FF2B5EF4-FFF2-40B4-BE49-F238E27FC236}">
              <a16:creationId xmlns:a16="http://schemas.microsoft.com/office/drawing/2014/main" id="{CE641E13-BD72-BFCC-3FB8-371D071DD804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158</xdr:row>
      <xdr:rowOff>0</xdr:rowOff>
    </xdr:from>
    <xdr:to>
      <xdr:col>2</xdr:col>
      <xdr:colOff>0</xdr:colOff>
      <xdr:row>163</xdr:row>
      <xdr:rowOff>0</xdr:rowOff>
    </xdr:to>
    <xdr:sp macro="" textlink="">
      <xdr:nvSpPr>
        <xdr:cNvPr id="230355" name="Rectangle 183">
          <a:extLst>
            <a:ext uri="{FF2B5EF4-FFF2-40B4-BE49-F238E27FC236}">
              <a16:creationId xmlns:a16="http://schemas.microsoft.com/office/drawing/2014/main" id="{1214F461-841D-3DAF-C2C3-62F4E4EFEFD5}"/>
            </a:ext>
          </a:extLst>
        </xdr:cNvPr>
        <xdr:cNvSpPr>
          <a:spLocks noChangeArrowheads="1"/>
        </xdr:cNvSpPr>
      </xdr:nvSpPr>
      <xdr:spPr bwMode="auto">
        <a:xfrm>
          <a:off x="0" y="27841575"/>
          <a:ext cx="3638550" cy="809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164</xdr:row>
      <xdr:rowOff>0</xdr:rowOff>
    </xdr:from>
    <xdr:to>
      <xdr:col>2</xdr:col>
      <xdr:colOff>0</xdr:colOff>
      <xdr:row>165</xdr:row>
      <xdr:rowOff>0</xdr:rowOff>
    </xdr:to>
    <xdr:sp macro="" textlink="">
      <xdr:nvSpPr>
        <xdr:cNvPr id="230356" name="Rectangle 185">
          <a:extLst>
            <a:ext uri="{FF2B5EF4-FFF2-40B4-BE49-F238E27FC236}">
              <a16:creationId xmlns:a16="http://schemas.microsoft.com/office/drawing/2014/main" id="{EC70755D-139A-0D5B-AF2E-298A404FB8F7}"/>
            </a:ext>
          </a:extLst>
        </xdr:cNvPr>
        <xdr:cNvSpPr>
          <a:spLocks noChangeArrowheads="1"/>
        </xdr:cNvSpPr>
      </xdr:nvSpPr>
      <xdr:spPr bwMode="auto">
        <a:xfrm>
          <a:off x="0" y="28813125"/>
          <a:ext cx="363855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342900</xdr:colOff>
      <xdr:row>49</xdr:row>
      <xdr:rowOff>95250</xdr:rowOff>
    </xdr:from>
    <xdr:to>
      <xdr:col>13</xdr:col>
      <xdr:colOff>342900</xdr:colOff>
      <xdr:row>52</xdr:row>
      <xdr:rowOff>95250</xdr:rowOff>
    </xdr:to>
    <xdr:sp macro="" textlink="">
      <xdr:nvSpPr>
        <xdr:cNvPr id="230357" name="Line 186">
          <a:extLst>
            <a:ext uri="{FF2B5EF4-FFF2-40B4-BE49-F238E27FC236}">
              <a16:creationId xmlns:a16="http://schemas.microsoft.com/office/drawing/2014/main" id="{7FED85ED-B62E-17CA-0237-3CD790FDA640}"/>
            </a:ext>
          </a:extLst>
        </xdr:cNvPr>
        <xdr:cNvSpPr>
          <a:spLocks noChangeShapeType="1"/>
        </xdr:cNvSpPr>
      </xdr:nvSpPr>
      <xdr:spPr bwMode="auto">
        <a:xfrm>
          <a:off x="15440025" y="9486900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58" name="Rectangle 187">
          <a:extLst>
            <a:ext uri="{FF2B5EF4-FFF2-40B4-BE49-F238E27FC236}">
              <a16:creationId xmlns:a16="http://schemas.microsoft.com/office/drawing/2014/main" id="{7D4C6E0A-6119-C504-4651-89B6DEDF881E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59" name="Rectangle 188">
          <a:extLst>
            <a:ext uri="{FF2B5EF4-FFF2-40B4-BE49-F238E27FC236}">
              <a16:creationId xmlns:a16="http://schemas.microsoft.com/office/drawing/2014/main" id="{2C98092B-74DB-7AD7-F1D9-BC92CF6573A4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60" name="Rectangle 189">
          <a:extLst>
            <a:ext uri="{FF2B5EF4-FFF2-40B4-BE49-F238E27FC236}">
              <a16:creationId xmlns:a16="http://schemas.microsoft.com/office/drawing/2014/main" id="{C394B7B4-354F-8AA4-D841-2A47ACA36BB1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158</xdr:row>
      <xdr:rowOff>0</xdr:rowOff>
    </xdr:from>
    <xdr:to>
      <xdr:col>2</xdr:col>
      <xdr:colOff>0</xdr:colOff>
      <xdr:row>163</xdr:row>
      <xdr:rowOff>0</xdr:rowOff>
    </xdr:to>
    <xdr:sp macro="" textlink="">
      <xdr:nvSpPr>
        <xdr:cNvPr id="230361" name="Rectangle 190">
          <a:extLst>
            <a:ext uri="{FF2B5EF4-FFF2-40B4-BE49-F238E27FC236}">
              <a16:creationId xmlns:a16="http://schemas.microsoft.com/office/drawing/2014/main" id="{D634F064-18AA-947D-AB51-356AB5EB5267}"/>
            </a:ext>
          </a:extLst>
        </xdr:cNvPr>
        <xdr:cNvSpPr>
          <a:spLocks noChangeArrowheads="1"/>
        </xdr:cNvSpPr>
      </xdr:nvSpPr>
      <xdr:spPr bwMode="auto">
        <a:xfrm>
          <a:off x="0" y="27841575"/>
          <a:ext cx="3638550" cy="809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62" name="Rectangle 191">
          <a:extLst>
            <a:ext uri="{FF2B5EF4-FFF2-40B4-BE49-F238E27FC236}">
              <a16:creationId xmlns:a16="http://schemas.microsoft.com/office/drawing/2014/main" id="{464EEF72-A378-7D93-1024-5ACD1E9BE925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63" name="Rectangle 192">
          <a:extLst>
            <a:ext uri="{FF2B5EF4-FFF2-40B4-BE49-F238E27FC236}">
              <a16:creationId xmlns:a16="http://schemas.microsoft.com/office/drawing/2014/main" id="{E61524D5-72F0-35D4-377E-A456FABB5972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158</xdr:row>
      <xdr:rowOff>0</xdr:rowOff>
    </xdr:from>
    <xdr:to>
      <xdr:col>2</xdr:col>
      <xdr:colOff>0</xdr:colOff>
      <xdr:row>163</xdr:row>
      <xdr:rowOff>0</xdr:rowOff>
    </xdr:to>
    <xdr:sp macro="" textlink="">
      <xdr:nvSpPr>
        <xdr:cNvPr id="230364" name="Rectangle 193">
          <a:extLst>
            <a:ext uri="{FF2B5EF4-FFF2-40B4-BE49-F238E27FC236}">
              <a16:creationId xmlns:a16="http://schemas.microsoft.com/office/drawing/2014/main" id="{788A980D-538D-8548-A7A8-6FC65B1921A8}"/>
            </a:ext>
          </a:extLst>
        </xdr:cNvPr>
        <xdr:cNvSpPr>
          <a:spLocks noChangeArrowheads="1"/>
        </xdr:cNvSpPr>
      </xdr:nvSpPr>
      <xdr:spPr bwMode="auto">
        <a:xfrm>
          <a:off x="0" y="27841575"/>
          <a:ext cx="3638550" cy="809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164</xdr:row>
      <xdr:rowOff>0</xdr:rowOff>
    </xdr:from>
    <xdr:to>
      <xdr:col>2</xdr:col>
      <xdr:colOff>0</xdr:colOff>
      <xdr:row>165</xdr:row>
      <xdr:rowOff>0</xdr:rowOff>
    </xdr:to>
    <xdr:sp macro="" textlink="">
      <xdr:nvSpPr>
        <xdr:cNvPr id="230365" name="Rectangle 194">
          <a:extLst>
            <a:ext uri="{FF2B5EF4-FFF2-40B4-BE49-F238E27FC236}">
              <a16:creationId xmlns:a16="http://schemas.microsoft.com/office/drawing/2014/main" id="{262B5507-2B13-9BE7-348C-4393FBA82C93}"/>
            </a:ext>
          </a:extLst>
        </xdr:cNvPr>
        <xdr:cNvSpPr>
          <a:spLocks noChangeArrowheads="1"/>
        </xdr:cNvSpPr>
      </xdr:nvSpPr>
      <xdr:spPr bwMode="auto">
        <a:xfrm>
          <a:off x="0" y="28813125"/>
          <a:ext cx="363855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164</xdr:row>
      <xdr:rowOff>0</xdr:rowOff>
    </xdr:from>
    <xdr:to>
      <xdr:col>2</xdr:col>
      <xdr:colOff>0</xdr:colOff>
      <xdr:row>165</xdr:row>
      <xdr:rowOff>0</xdr:rowOff>
    </xdr:to>
    <xdr:sp macro="" textlink="">
      <xdr:nvSpPr>
        <xdr:cNvPr id="230366" name="Rectangle 195">
          <a:extLst>
            <a:ext uri="{FF2B5EF4-FFF2-40B4-BE49-F238E27FC236}">
              <a16:creationId xmlns:a16="http://schemas.microsoft.com/office/drawing/2014/main" id="{60D0AB86-BB98-83C5-C2FC-34C188357EE6}"/>
            </a:ext>
          </a:extLst>
        </xdr:cNvPr>
        <xdr:cNvSpPr>
          <a:spLocks noChangeArrowheads="1"/>
        </xdr:cNvSpPr>
      </xdr:nvSpPr>
      <xdr:spPr bwMode="auto">
        <a:xfrm>
          <a:off x="0" y="28813125"/>
          <a:ext cx="363855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67" name="Rectangle 196">
          <a:extLst>
            <a:ext uri="{FF2B5EF4-FFF2-40B4-BE49-F238E27FC236}">
              <a16:creationId xmlns:a16="http://schemas.microsoft.com/office/drawing/2014/main" id="{C09B62D4-3FDF-9263-8E6B-B7E96A8C5C66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68" name="Rectangle 197">
          <a:extLst>
            <a:ext uri="{FF2B5EF4-FFF2-40B4-BE49-F238E27FC236}">
              <a16:creationId xmlns:a16="http://schemas.microsoft.com/office/drawing/2014/main" id="{E535BDD8-B43D-AFC8-FAD9-12378844B525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69" name="Rectangle 198">
          <a:extLst>
            <a:ext uri="{FF2B5EF4-FFF2-40B4-BE49-F238E27FC236}">
              <a16:creationId xmlns:a16="http://schemas.microsoft.com/office/drawing/2014/main" id="{FA3FD812-5091-096C-B78A-ACDBD18EC4D7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158</xdr:row>
      <xdr:rowOff>0</xdr:rowOff>
    </xdr:from>
    <xdr:to>
      <xdr:col>2</xdr:col>
      <xdr:colOff>0</xdr:colOff>
      <xdr:row>163</xdr:row>
      <xdr:rowOff>0</xdr:rowOff>
    </xdr:to>
    <xdr:sp macro="" textlink="">
      <xdr:nvSpPr>
        <xdr:cNvPr id="230370" name="Rectangle 199">
          <a:extLst>
            <a:ext uri="{FF2B5EF4-FFF2-40B4-BE49-F238E27FC236}">
              <a16:creationId xmlns:a16="http://schemas.microsoft.com/office/drawing/2014/main" id="{25F03BD0-53BD-9B9C-E66A-DFDD76BE7B0B}"/>
            </a:ext>
          </a:extLst>
        </xdr:cNvPr>
        <xdr:cNvSpPr>
          <a:spLocks noChangeArrowheads="1"/>
        </xdr:cNvSpPr>
      </xdr:nvSpPr>
      <xdr:spPr bwMode="auto">
        <a:xfrm>
          <a:off x="0" y="27841575"/>
          <a:ext cx="3638550" cy="809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71" name="Rectangle 200">
          <a:extLst>
            <a:ext uri="{FF2B5EF4-FFF2-40B4-BE49-F238E27FC236}">
              <a16:creationId xmlns:a16="http://schemas.microsoft.com/office/drawing/2014/main" id="{0CE608CF-4330-FFA2-D881-FC3C11366B09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129</xdr:row>
      <xdr:rowOff>0</xdr:rowOff>
    </xdr:from>
    <xdr:to>
      <xdr:col>2</xdr:col>
      <xdr:colOff>0</xdr:colOff>
      <xdr:row>154</xdr:row>
      <xdr:rowOff>0</xdr:rowOff>
    </xdr:to>
    <xdr:sp macro="" textlink="">
      <xdr:nvSpPr>
        <xdr:cNvPr id="230372" name="Rectangle 201">
          <a:extLst>
            <a:ext uri="{FF2B5EF4-FFF2-40B4-BE49-F238E27FC236}">
              <a16:creationId xmlns:a16="http://schemas.microsoft.com/office/drawing/2014/main" id="{A368DF21-F6EA-01F6-3D21-47E5E41FAC73}"/>
            </a:ext>
          </a:extLst>
        </xdr:cNvPr>
        <xdr:cNvSpPr>
          <a:spLocks noChangeArrowheads="1"/>
        </xdr:cNvSpPr>
      </xdr:nvSpPr>
      <xdr:spPr bwMode="auto">
        <a:xfrm>
          <a:off x="0" y="22936200"/>
          <a:ext cx="3638550" cy="4257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158</xdr:row>
      <xdr:rowOff>0</xdr:rowOff>
    </xdr:from>
    <xdr:to>
      <xdr:col>2</xdr:col>
      <xdr:colOff>0</xdr:colOff>
      <xdr:row>163</xdr:row>
      <xdr:rowOff>0</xdr:rowOff>
    </xdr:to>
    <xdr:sp macro="" textlink="">
      <xdr:nvSpPr>
        <xdr:cNvPr id="230373" name="Rectangle 202">
          <a:extLst>
            <a:ext uri="{FF2B5EF4-FFF2-40B4-BE49-F238E27FC236}">
              <a16:creationId xmlns:a16="http://schemas.microsoft.com/office/drawing/2014/main" id="{B79C6C81-7E9A-6019-6FFF-2F2DDDF82D3C}"/>
            </a:ext>
          </a:extLst>
        </xdr:cNvPr>
        <xdr:cNvSpPr>
          <a:spLocks noChangeArrowheads="1"/>
        </xdr:cNvSpPr>
      </xdr:nvSpPr>
      <xdr:spPr bwMode="auto">
        <a:xfrm>
          <a:off x="0" y="27841575"/>
          <a:ext cx="3638550" cy="809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164</xdr:row>
      <xdr:rowOff>0</xdr:rowOff>
    </xdr:from>
    <xdr:to>
      <xdr:col>2</xdr:col>
      <xdr:colOff>0</xdr:colOff>
      <xdr:row>165</xdr:row>
      <xdr:rowOff>0</xdr:rowOff>
    </xdr:to>
    <xdr:sp macro="" textlink="">
      <xdr:nvSpPr>
        <xdr:cNvPr id="230374" name="Rectangle 203">
          <a:extLst>
            <a:ext uri="{FF2B5EF4-FFF2-40B4-BE49-F238E27FC236}">
              <a16:creationId xmlns:a16="http://schemas.microsoft.com/office/drawing/2014/main" id="{6EF58298-91B4-54A6-6B11-8E578E0B535E}"/>
            </a:ext>
          </a:extLst>
        </xdr:cNvPr>
        <xdr:cNvSpPr>
          <a:spLocks noChangeArrowheads="1"/>
        </xdr:cNvSpPr>
      </xdr:nvSpPr>
      <xdr:spPr bwMode="auto">
        <a:xfrm>
          <a:off x="0" y="28813125"/>
          <a:ext cx="363855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9525</xdr:rowOff>
    </xdr:from>
    <xdr:to>
      <xdr:col>1</xdr:col>
      <xdr:colOff>533400</xdr:colOff>
      <xdr:row>1</xdr:row>
      <xdr:rowOff>9525</xdr:rowOff>
    </xdr:to>
    <xdr:sp macro="" textlink="">
      <xdr:nvSpPr>
        <xdr:cNvPr id="37905" name="Rectangle 17">
          <a:extLst>
            <a:ext uri="{FF2B5EF4-FFF2-40B4-BE49-F238E27FC236}">
              <a16:creationId xmlns:a16="http://schemas.microsoft.com/office/drawing/2014/main" id="{691CD76A-4EE6-B5FE-9E14-66818E67D23E}"/>
            </a:ext>
          </a:extLst>
        </xdr:cNvPr>
        <xdr:cNvSpPr>
          <a:spLocks noChangeArrowheads="1"/>
        </xdr:cNvSpPr>
      </xdr:nvSpPr>
      <xdr:spPr bwMode="auto">
        <a:xfrm>
          <a:off x="28575" y="9525"/>
          <a:ext cx="1800225" cy="361950"/>
        </a:xfrm>
        <a:prstGeom prst="rect">
          <a:avLst/>
        </a:prstGeom>
        <a:solidFill>
          <a:srgbClr val="C0C0C0"/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CARGAS SOCIALES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9525</xdr:rowOff>
    </xdr:from>
    <xdr:to>
      <xdr:col>0</xdr:col>
      <xdr:colOff>1819275</xdr:colOff>
      <xdr:row>0</xdr:row>
      <xdr:rowOff>371475</xdr:rowOff>
    </xdr:to>
    <xdr:sp macro="" textlink="">
      <xdr:nvSpPr>
        <xdr:cNvPr id="33808" name="Rectangle 16">
          <a:extLst>
            <a:ext uri="{FF2B5EF4-FFF2-40B4-BE49-F238E27FC236}">
              <a16:creationId xmlns:a16="http://schemas.microsoft.com/office/drawing/2014/main" id="{766B9CDF-8D73-D710-E3FB-250D690D9218}"/>
            </a:ext>
          </a:extLst>
        </xdr:cNvPr>
        <xdr:cNvSpPr>
          <a:spLocks noChangeArrowheads="1"/>
        </xdr:cNvSpPr>
      </xdr:nvSpPr>
      <xdr:spPr bwMode="auto">
        <a:xfrm>
          <a:off x="19050" y="9525"/>
          <a:ext cx="1800225" cy="361950"/>
        </a:xfrm>
        <a:prstGeom prst="rect">
          <a:avLst/>
        </a:prstGeom>
        <a:solidFill>
          <a:srgbClr val="C0C0C0"/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GASTOS DEL PERSONAL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0</xdr:col>
      <xdr:colOff>1823508</xdr:colOff>
      <xdr:row>2</xdr:row>
      <xdr:rowOff>66306</xdr:rowOff>
    </xdr:to>
    <xdr:sp macro="" textlink="">
      <xdr:nvSpPr>
        <xdr:cNvPr id="11270" name="Rectangle 6">
          <a:extLst>
            <a:ext uri="{FF2B5EF4-FFF2-40B4-BE49-F238E27FC236}">
              <a16:creationId xmlns:a16="http://schemas.microsoft.com/office/drawing/2014/main" id="{CA2578C9-F621-D1DE-4E8B-EF5CB27E7267}"/>
            </a:ext>
          </a:extLst>
        </xdr:cNvPr>
        <xdr:cNvSpPr>
          <a:spLocks noChangeArrowheads="1"/>
        </xdr:cNvSpPr>
      </xdr:nvSpPr>
      <xdr:spPr bwMode="auto">
        <a:xfrm>
          <a:off x="28575" y="28575"/>
          <a:ext cx="990600" cy="409575"/>
        </a:xfrm>
        <a:prstGeom prst="rect">
          <a:avLst/>
        </a:prstGeom>
        <a:solidFill>
          <a:srgbClr val="C0C0C0"/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AR" sz="1000" b="1" i="0" strike="noStrike">
              <a:solidFill>
                <a:srgbClr val="000000"/>
              </a:solidFill>
              <a:latin typeface="Arial"/>
              <a:cs typeface="Arial"/>
            </a:rPr>
            <a:t>VEHICULOS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0</xdr:col>
      <xdr:colOff>1818217</xdr:colOff>
      <xdr:row>0</xdr:row>
      <xdr:rowOff>381000</xdr:rowOff>
    </xdr:to>
    <xdr:sp macro="" textlink="">
      <xdr:nvSpPr>
        <xdr:cNvPr id="49155" name="Rectangle 6">
          <a:extLst>
            <a:ext uri="{FF2B5EF4-FFF2-40B4-BE49-F238E27FC236}">
              <a16:creationId xmlns:a16="http://schemas.microsoft.com/office/drawing/2014/main" id="{4CED3A28-8AC4-7092-7C79-6988044B45BF}"/>
            </a:ext>
          </a:extLst>
        </xdr:cNvPr>
        <xdr:cNvSpPr>
          <a:spLocks noChangeArrowheads="1"/>
        </xdr:cNvSpPr>
      </xdr:nvSpPr>
      <xdr:spPr bwMode="auto">
        <a:xfrm>
          <a:off x="19050" y="19050"/>
          <a:ext cx="1800225" cy="361950"/>
        </a:xfrm>
        <a:prstGeom prst="rect">
          <a:avLst/>
        </a:prstGeom>
        <a:solidFill>
          <a:srgbClr val="C0C0C0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HERRAMIENTAS</a:t>
          </a:r>
        </a:p>
        <a:p>
          <a:pPr algn="ctr" rtl="0">
            <a:defRPr sz="1000"/>
          </a:pPr>
          <a:endParaRPr lang="es-E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6</xdr:col>
      <xdr:colOff>406400</xdr:colOff>
      <xdr:row>28</xdr:row>
      <xdr:rowOff>152400</xdr:rowOff>
    </xdr:from>
    <xdr:to>
      <xdr:col>7</xdr:col>
      <xdr:colOff>555791</xdr:colOff>
      <xdr:row>35</xdr:row>
      <xdr:rowOff>139860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527E18-1637-E095-AC6A-295415D53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0300" y="4419600"/>
          <a:ext cx="1190791" cy="1143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0</xdr:col>
      <xdr:colOff>1819275</xdr:colOff>
      <xdr:row>0</xdr:row>
      <xdr:rowOff>381000</xdr:rowOff>
    </xdr:to>
    <xdr:sp macro="" textlink="">
      <xdr:nvSpPr>
        <xdr:cNvPr id="40976" name="Rectangle 6">
          <a:extLst>
            <a:ext uri="{FF2B5EF4-FFF2-40B4-BE49-F238E27FC236}">
              <a16:creationId xmlns:a16="http://schemas.microsoft.com/office/drawing/2014/main" id="{F0608672-D5BD-0FFF-5E5A-A526654BD430}"/>
            </a:ext>
          </a:extLst>
        </xdr:cNvPr>
        <xdr:cNvSpPr>
          <a:spLocks noChangeArrowheads="1"/>
        </xdr:cNvSpPr>
      </xdr:nvSpPr>
      <xdr:spPr bwMode="auto">
        <a:xfrm>
          <a:off x="19050" y="19050"/>
          <a:ext cx="1800225" cy="361950"/>
        </a:xfrm>
        <a:prstGeom prst="rect">
          <a:avLst/>
        </a:prstGeom>
        <a:solidFill>
          <a:srgbClr val="C0C0C0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MATERIALES</a:t>
          </a:r>
        </a:p>
      </xdr:txBody>
    </xdr:sp>
    <xdr:clientData/>
  </xdr:twoCellAnchor>
  <xdr:twoCellAnchor editAs="oneCell">
    <xdr:from>
      <xdr:col>0</xdr:col>
      <xdr:colOff>4673600</xdr:colOff>
      <xdr:row>20</xdr:row>
      <xdr:rowOff>101600</xdr:rowOff>
    </xdr:from>
    <xdr:to>
      <xdr:col>4</xdr:col>
      <xdr:colOff>187325</xdr:colOff>
      <xdr:row>34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66BC61-6F88-4B1B-BE0C-E11184B09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3600" y="3606800"/>
          <a:ext cx="4200525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0</xdr:col>
      <xdr:colOff>2390775</xdr:colOff>
      <xdr:row>0</xdr:row>
      <xdr:rowOff>381000</xdr:rowOff>
    </xdr:to>
    <xdr:sp macro="" textlink="">
      <xdr:nvSpPr>
        <xdr:cNvPr id="58369" name="Rectangle 6">
          <a:extLst>
            <a:ext uri="{FF2B5EF4-FFF2-40B4-BE49-F238E27FC236}">
              <a16:creationId xmlns:a16="http://schemas.microsoft.com/office/drawing/2014/main" id="{7C614394-0CB8-C7A0-0AD3-36898B78AFCD}"/>
            </a:ext>
          </a:extLst>
        </xdr:cNvPr>
        <xdr:cNvSpPr>
          <a:spLocks noChangeArrowheads="1"/>
        </xdr:cNvSpPr>
      </xdr:nvSpPr>
      <xdr:spPr bwMode="auto">
        <a:xfrm>
          <a:off x="19050" y="19050"/>
          <a:ext cx="2371725" cy="361950"/>
        </a:xfrm>
        <a:prstGeom prst="rect">
          <a:avLst/>
        </a:prstGeom>
        <a:solidFill>
          <a:srgbClr val="C0C0C0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OTROS COSTOS DIRECTOS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CotizacionessucursalOESTE/Documentos%20compartidos/General/03%20-%202023/02-Actualizaci&#243;n%20de%20tarifas/Apertura%20de%20costos%20PAE/Costo%20M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/>
      <sheetData sheetId="2">
        <row r="22">
          <cell r="T22">
            <v>8.3333333333333329E-2</v>
          </cell>
        </row>
        <row r="25">
          <cell r="M25">
            <v>0.48686666666666667</v>
          </cell>
          <cell r="T25">
            <v>0.56803333333333328</v>
          </cell>
        </row>
      </sheetData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">
          <cell r="F6" t="str">
            <v>si</v>
          </cell>
          <cell r="G6" t="str">
            <v>no</v>
          </cell>
          <cell r="H6" t="str">
            <v>si</v>
          </cell>
        </row>
        <row r="56"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61">
          <cell r="F61" t="str">
            <v>Op</v>
          </cell>
          <cell r="G61" t="str">
            <v>Adm</v>
          </cell>
        </row>
        <row r="63">
          <cell r="F63" t="str">
            <v>si</v>
          </cell>
          <cell r="G63" t="str">
            <v>no</v>
          </cell>
        </row>
        <row r="64">
          <cell r="F64" t="str">
            <v>si</v>
          </cell>
          <cell r="G64" t="str">
            <v>no</v>
          </cell>
        </row>
        <row r="74">
          <cell r="F74" t="str">
            <v>si</v>
          </cell>
        </row>
        <row r="76">
          <cell r="F76" t="str">
            <v>si</v>
          </cell>
          <cell r="G76" t="str">
            <v>no</v>
          </cell>
        </row>
        <row r="93">
          <cell r="F93">
            <v>536.72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F94">
            <v>0.2541287878787879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ergerat, Juan Gabriel" id="{6B7B4449-46E2-46AD-8FF1-AE8869BCC2D7}" userId="S::Juan.Bergerat@pecomenergia.com.ar::29a54034-0434-4b0a-821e-67a33807f92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0C0C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0C0C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1" dT="2023-10-19T11:48:46.70" personId="{6B7B4449-46E2-46AD-8FF1-AE8869BCC2D7}" id="{6E3502BF-2780-41D2-ACDE-B343BA49A21B}">
    <text>Última certificación ago-sep-23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3-10-19T11:23:22.58" personId="{6B7B4449-46E2-46AD-8FF1-AE8869BCC2D7}" id="{96C1A568-2400-4B16-BD0B-68A72EECF606}">
    <text>Los valores corresponden a rental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2.bin"/><Relationship Id="rId7" Type="http://schemas.openxmlformats.org/officeDocument/2006/relationships/drawing" Target="../drawings/drawing10.xml"/><Relationship Id="rId2" Type="http://schemas.openxmlformats.org/officeDocument/2006/relationships/printerSettings" Target="../printerSettings/printerSettings51.bin"/><Relationship Id="rId1" Type="http://schemas.openxmlformats.org/officeDocument/2006/relationships/printerSettings" Target="../printerSettings/printerSettings50.bin"/><Relationship Id="rId6" Type="http://schemas.openxmlformats.org/officeDocument/2006/relationships/printerSettings" Target="../printerSettings/printerSettings55.bin"/><Relationship Id="rId5" Type="http://schemas.openxmlformats.org/officeDocument/2006/relationships/printerSettings" Target="../printerSettings/printerSettings54.bin"/><Relationship Id="rId4" Type="http://schemas.openxmlformats.org/officeDocument/2006/relationships/printerSettings" Target="../printerSettings/printerSettings53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printerSettings" Target="../printerSettings/printerSettings58.bin"/><Relationship Id="rId7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56.bin"/><Relationship Id="rId6" Type="http://schemas.openxmlformats.org/officeDocument/2006/relationships/printerSettings" Target="../printerSettings/printerSettings61.bin"/><Relationship Id="rId5" Type="http://schemas.openxmlformats.org/officeDocument/2006/relationships/printerSettings" Target="../printerSettings/printerSettings60.bin"/><Relationship Id="rId4" Type="http://schemas.openxmlformats.org/officeDocument/2006/relationships/printerSettings" Target="../printerSettings/printerSettings5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4.bin"/><Relationship Id="rId7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6.bin"/><Relationship Id="rId10" Type="http://schemas.microsoft.com/office/2017/10/relationships/threadedComment" Target="../threadedComments/threadedComment1.xml"/><Relationship Id="rId4" Type="http://schemas.openxmlformats.org/officeDocument/2006/relationships/printerSettings" Target="../printerSettings/printerSettings5.bin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drawing" Target="../drawings/drawing3.x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16.bin"/><Relationship Id="rId7" Type="http://schemas.openxmlformats.org/officeDocument/2006/relationships/drawing" Target="../drawings/drawing4.xml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7.bin"/><Relationship Id="rId9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7" Type="http://schemas.openxmlformats.org/officeDocument/2006/relationships/drawing" Target="../drawings/drawing5.xml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6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printerSettings" Target="../printerSettings/printerSettings28.bin"/><Relationship Id="rId7" Type="http://schemas.openxmlformats.org/officeDocument/2006/relationships/drawing" Target="../drawings/drawing6.xml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6" Type="http://schemas.openxmlformats.org/officeDocument/2006/relationships/printerSettings" Target="../printerSettings/printerSettings31.bin"/><Relationship Id="rId5" Type="http://schemas.openxmlformats.org/officeDocument/2006/relationships/printerSettings" Target="../printerSettings/printerSettings30.bin"/><Relationship Id="rId10" Type="http://schemas.microsoft.com/office/2017/10/relationships/threadedComment" Target="../threadedComments/threadedComment2.xml"/><Relationship Id="rId4" Type="http://schemas.openxmlformats.org/officeDocument/2006/relationships/printerSettings" Target="../printerSettings/printerSettings29.bin"/><Relationship Id="rId9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7" Type="http://schemas.openxmlformats.org/officeDocument/2006/relationships/drawing" Target="../drawings/drawing7.xml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Relationship Id="rId6" Type="http://schemas.openxmlformats.org/officeDocument/2006/relationships/printerSettings" Target="../printerSettings/printerSettings37.bin"/><Relationship Id="rId5" Type="http://schemas.openxmlformats.org/officeDocument/2006/relationships/printerSettings" Target="../printerSettings/printerSettings36.bin"/><Relationship Id="rId4" Type="http://schemas.openxmlformats.org/officeDocument/2006/relationships/printerSettings" Target="../printerSettings/printerSettings3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7" Type="http://schemas.openxmlformats.org/officeDocument/2006/relationships/drawing" Target="../drawings/drawing8.xml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Relationship Id="rId6" Type="http://schemas.openxmlformats.org/officeDocument/2006/relationships/printerSettings" Target="../printerSettings/printerSettings43.bin"/><Relationship Id="rId5" Type="http://schemas.openxmlformats.org/officeDocument/2006/relationships/printerSettings" Target="../printerSettings/printerSettings42.bin"/><Relationship Id="rId4" Type="http://schemas.openxmlformats.org/officeDocument/2006/relationships/printerSettings" Target="../printerSettings/printerSettings4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7" Type="http://schemas.openxmlformats.org/officeDocument/2006/relationships/drawing" Target="../drawings/drawing9.xml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Relationship Id="rId6" Type="http://schemas.openxmlformats.org/officeDocument/2006/relationships/printerSettings" Target="../printerSettings/printerSettings49.bin"/><Relationship Id="rId5" Type="http://schemas.openxmlformats.org/officeDocument/2006/relationships/printerSettings" Target="../printerSettings/printerSettings48.bin"/><Relationship Id="rId4" Type="http://schemas.openxmlformats.org/officeDocument/2006/relationships/printerSettings" Target="../printerSettings/printerSettings4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95"/>
  <sheetViews>
    <sheetView showGridLines="0" topLeftCell="A61" workbookViewId="0">
      <selection activeCell="L32" sqref="L32"/>
    </sheetView>
  </sheetViews>
  <sheetFormatPr baseColWidth="10" defaultRowHeight="12.75" x14ac:dyDescent="0.2"/>
  <cols>
    <col min="1" max="1" width="2.5703125" customWidth="1"/>
    <col min="2" max="2" width="46.7109375" bestFit="1" customWidth="1"/>
    <col min="4" max="4" width="9.7109375" bestFit="1" customWidth="1"/>
    <col min="5" max="5" width="16.140625" customWidth="1"/>
    <col min="7" max="7" width="21.5703125" customWidth="1"/>
    <col min="8" max="8" width="24" customWidth="1"/>
  </cols>
  <sheetData>
    <row r="2" spans="2:14" x14ac:dyDescent="0.2">
      <c r="B2" s="593" t="s">
        <v>453</v>
      </c>
      <c r="C2" s="593"/>
      <c r="D2" s="593"/>
      <c r="E2" s="593"/>
      <c r="F2" s="593"/>
      <c r="G2" s="593"/>
      <c r="H2" s="593"/>
      <c r="I2" s="593"/>
      <c r="J2" s="593"/>
      <c r="K2" s="593"/>
      <c r="L2" s="593"/>
      <c r="M2" s="593"/>
      <c r="N2" s="593"/>
    </row>
    <row r="4" spans="2:14" x14ac:dyDescent="0.2">
      <c r="C4" s="449"/>
      <c r="D4" s="449"/>
      <c r="E4" s="449"/>
      <c r="F4" s="595"/>
      <c r="G4" s="595"/>
      <c r="H4" s="449">
        <v>2017</v>
      </c>
    </row>
    <row r="5" spans="2:14" x14ac:dyDescent="0.2">
      <c r="C5" s="449">
        <v>8486</v>
      </c>
      <c r="D5" s="449" t="s">
        <v>431</v>
      </c>
      <c r="E5" s="449" t="s">
        <v>432</v>
      </c>
      <c r="F5" s="595" t="s">
        <v>433</v>
      </c>
      <c r="G5" s="595"/>
      <c r="H5" s="449">
        <v>2017</v>
      </c>
    </row>
    <row r="6" spans="2:14" x14ac:dyDescent="0.2">
      <c r="C6" s="449">
        <v>8492</v>
      </c>
      <c r="D6" s="449" t="s">
        <v>434</v>
      </c>
      <c r="E6" s="449" t="s">
        <v>435</v>
      </c>
      <c r="F6" s="595" t="s">
        <v>436</v>
      </c>
      <c r="G6" s="595"/>
      <c r="H6" s="449">
        <v>2017</v>
      </c>
    </row>
    <row r="7" spans="2:14" x14ac:dyDescent="0.2">
      <c r="C7" s="449">
        <v>8550</v>
      </c>
      <c r="D7" s="449" t="s">
        <v>437</v>
      </c>
      <c r="E7" s="449" t="s">
        <v>435</v>
      </c>
      <c r="F7" s="595" t="s">
        <v>438</v>
      </c>
      <c r="G7" s="595"/>
      <c r="H7" s="449">
        <v>2019</v>
      </c>
    </row>
    <row r="8" spans="2:14" x14ac:dyDescent="0.2">
      <c r="C8" s="449">
        <v>309996</v>
      </c>
      <c r="D8" s="449" t="s">
        <v>439</v>
      </c>
      <c r="E8" s="449" t="s">
        <v>435</v>
      </c>
      <c r="F8" s="595" t="s">
        <v>440</v>
      </c>
      <c r="G8" s="595"/>
      <c r="H8" s="449">
        <v>2022</v>
      </c>
    </row>
    <row r="9" spans="2:14" x14ac:dyDescent="0.2">
      <c r="C9" s="449">
        <v>310593</v>
      </c>
      <c r="D9" s="449" t="s">
        <v>441</v>
      </c>
      <c r="E9" s="449" t="s">
        <v>435</v>
      </c>
      <c r="F9" s="595" t="s">
        <v>442</v>
      </c>
      <c r="G9" s="595"/>
      <c r="H9" s="449">
        <v>2022</v>
      </c>
    </row>
    <row r="10" spans="2:14" x14ac:dyDescent="0.2">
      <c r="C10" s="449">
        <v>311025</v>
      </c>
      <c r="D10" s="449" t="s">
        <v>443</v>
      </c>
      <c r="E10" s="449" t="s">
        <v>435</v>
      </c>
      <c r="F10" s="595" t="s">
        <v>444</v>
      </c>
      <c r="G10" s="595"/>
      <c r="H10" s="449">
        <v>2023</v>
      </c>
    </row>
    <row r="11" spans="2:14" x14ac:dyDescent="0.2">
      <c r="C11" s="449">
        <v>311026</v>
      </c>
      <c r="D11" s="449" t="s">
        <v>445</v>
      </c>
      <c r="E11" s="449" t="s">
        <v>435</v>
      </c>
      <c r="F11" s="595" t="s">
        <v>447</v>
      </c>
      <c r="G11" s="595"/>
      <c r="H11" s="449">
        <v>2023</v>
      </c>
    </row>
    <row r="27" spans="2:14" x14ac:dyDescent="0.2">
      <c r="B27" s="593" t="s">
        <v>468</v>
      </c>
      <c r="C27" s="593"/>
      <c r="D27" s="593"/>
      <c r="E27" s="593"/>
      <c r="F27" s="593"/>
      <c r="G27" s="593"/>
      <c r="H27" s="593"/>
      <c r="I27" s="593"/>
      <c r="J27" s="593"/>
      <c r="K27" s="593"/>
      <c r="L27" s="593"/>
      <c r="M27" s="593"/>
      <c r="N27" s="593"/>
    </row>
    <row r="29" spans="2:14" x14ac:dyDescent="0.2">
      <c r="B29" s="452" t="s">
        <v>307</v>
      </c>
      <c r="C29" s="453">
        <v>20000</v>
      </c>
      <c r="E29" s="461" t="s">
        <v>473</v>
      </c>
      <c r="F29" s="461" t="s">
        <v>6</v>
      </c>
      <c r="G29" s="461" t="s">
        <v>474</v>
      </c>
      <c r="H29" s="461" t="s">
        <v>475</v>
      </c>
    </row>
    <row r="30" spans="2:14" x14ac:dyDescent="0.2">
      <c r="B30" s="452" t="s">
        <v>454</v>
      </c>
      <c r="C30" s="453">
        <v>12000</v>
      </c>
      <c r="E30" s="456" t="s">
        <v>469</v>
      </c>
      <c r="F30" s="456">
        <v>6840</v>
      </c>
      <c r="G30" s="456">
        <v>2</v>
      </c>
      <c r="H30" s="460">
        <f>+F30/G30</f>
        <v>3420</v>
      </c>
    </row>
    <row r="31" spans="2:14" x14ac:dyDescent="0.2">
      <c r="B31" s="452" t="s">
        <v>455</v>
      </c>
      <c r="C31" s="453">
        <v>16000</v>
      </c>
      <c r="E31" s="456" t="s">
        <v>470</v>
      </c>
      <c r="F31" s="456">
        <v>7000</v>
      </c>
      <c r="G31" s="456">
        <v>2</v>
      </c>
      <c r="H31" s="460">
        <f>+F31/G31</f>
        <v>3500</v>
      </c>
    </row>
    <row r="32" spans="2:14" x14ac:dyDescent="0.2">
      <c r="B32" s="452" t="s">
        <v>456</v>
      </c>
      <c r="C32" s="453">
        <v>15000</v>
      </c>
      <c r="E32" s="456" t="s">
        <v>471</v>
      </c>
      <c r="F32" s="456">
        <v>5000</v>
      </c>
      <c r="G32" s="456">
        <v>2</v>
      </c>
      <c r="H32" s="460">
        <f>+F32/G32</f>
        <v>2500</v>
      </c>
    </row>
    <row r="33" spans="2:14" x14ac:dyDescent="0.2">
      <c r="B33" s="452" t="s">
        <v>457</v>
      </c>
      <c r="C33" s="453">
        <v>25000</v>
      </c>
      <c r="E33" s="456" t="s">
        <v>472</v>
      </c>
      <c r="F33" s="456">
        <v>10000</v>
      </c>
      <c r="G33" s="456">
        <v>2</v>
      </c>
      <c r="H33" s="460">
        <f>+F33/G33</f>
        <v>5000</v>
      </c>
    </row>
    <row r="34" spans="2:14" x14ac:dyDescent="0.2">
      <c r="B34" s="452" t="s">
        <v>458</v>
      </c>
      <c r="C34" s="453">
        <v>21000</v>
      </c>
      <c r="E34" s="594" t="s">
        <v>476</v>
      </c>
      <c r="F34" s="591"/>
      <c r="G34" s="592"/>
      <c r="H34" s="460">
        <f>+SUM(H30:H33)</f>
        <v>14420</v>
      </c>
    </row>
    <row r="35" spans="2:14" x14ac:dyDescent="0.2">
      <c r="B35" s="452" t="s">
        <v>459</v>
      </c>
      <c r="C35" s="453">
        <v>35000</v>
      </c>
    </row>
    <row r="36" spans="2:14" x14ac:dyDescent="0.2">
      <c r="B36" s="452" t="s">
        <v>460</v>
      </c>
      <c r="C36" s="453">
        <v>5000</v>
      </c>
    </row>
    <row r="37" spans="2:14" x14ac:dyDescent="0.2">
      <c r="B37" s="452" t="s">
        <v>461</v>
      </c>
      <c r="C37" s="453">
        <v>7000</v>
      </c>
    </row>
    <row r="38" spans="2:14" x14ac:dyDescent="0.2">
      <c r="B38" s="452" t="s">
        <v>462</v>
      </c>
      <c r="C38" s="453">
        <v>10000</v>
      </c>
    </row>
    <row r="39" spans="2:14" x14ac:dyDescent="0.2">
      <c r="B39" s="452" t="s">
        <v>463</v>
      </c>
      <c r="C39" s="453">
        <v>35000</v>
      </c>
    </row>
    <row r="40" spans="2:14" x14ac:dyDescent="0.2">
      <c r="B40" s="452" t="s">
        <v>464</v>
      </c>
      <c r="C40" s="453">
        <v>372000</v>
      </c>
    </row>
    <row r="41" spans="2:14" x14ac:dyDescent="0.2">
      <c r="B41" s="452" t="s">
        <v>465</v>
      </c>
      <c r="C41" s="453">
        <v>15000</v>
      </c>
    </row>
    <row r="42" spans="2:14" x14ac:dyDescent="0.2">
      <c r="B42" s="452" t="s">
        <v>466</v>
      </c>
      <c r="C42" s="453">
        <v>5000</v>
      </c>
    </row>
    <row r="43" spans="2:14" x14ac:dyDescent="0.2">
      <c r="B43" s="452" t="s">
        <v>467</v>
      </c>
      <c r="C43" s="453">
        <v>38000</v>
      </c>
    </row>
    <row r="44" spans="2:14" x14ac:dyDescent="0.2">
      <c r="B44" s="454" t="s">
        <v>5</v>
      </c>
      <c r="C44" s="455">
        <f>+SUM(C29:C43)</f>
        <v>631000</v>
      </c>
    </row>
    <row r="46" spans="2:14" x14ac:dyDescent="0.2">
      <c r="B46" s="593" t="s">
        <v>481</v>
      </c>
      <c r="C46" s="593"/>
      <c r="D46" s="593"/>
      <c r="E46" s="593"/>
      <c r="F46" s="593"/>
      <c r="G46" s="593"/>
      <c r="H46" s="593"/>
      <c r="I46" s="593"/>
      <c r="J46" s="593"/>
      <c r="K46" s="593"/>
      <c r="L46" s="593"/>
      <c r="M46" s="593"/>
      <c r="N46" s="593"/>
    </row>
    <row r="86" spans="2:14" x14ac:dyDescent="0.2">
      <c r="B86" s="593" t="s">
        <v>484</v>
      </c>
      <c r="C86" s="593"/>
      <c r="D86" s="593"/>
      <c r="E86" s="593"/>
      <c r="F86" s="593"/>
      <c r="G86" s="593"/>
      <c r="H86" s="593"/>
      <c r="I86" s="593"/>
      <c r="J86" s="593"/>
      <c r="K86" s="593"/>
      <c r="L86" s="593"/>
      <c r="M86" s="593"/>
      <c r="N86" s="593"/>
    </row>
    <row r="91" spans="2:14" x14ac:dyDescent="0.2">
      <c r="B91" s="478" t="s">
        <v>490</v>
      </c>
      <c r="C91" s="478" t="s">
        <v>491</v>
      </c>
      <c r="D91" s="478" t="s">
        <v>492</v>
      </c>
      <c r="E91" s="456" t="s">
        <v>101</v>
      </c>
      <c r="F91" s="456" t="s">
        <v>5</v>
      </c>
    </row>
    <row r="92" spans="2:14" x14ac:dyDescent="0.2">
      <c r="B92" s="456" t="s">
        <v>485</v>
      </c>
      <c r="C92" s="456" t="s">
        <v>488</v>
      </c>
      <c r="D92" s="460">
        <v>63993.07</v>
      </c>
      <c r="E92" s="460">
        <v>288</v>
      </c>
      <c r="F92" s="460">
        <f>+E92*D92</f>
        <v>18430004.16</v>
      </c>
    </row>
    <row r="93" spans="2:14" x14ac:dyDescent="0.2">
      <c r="B93" s="456" t="s">
        <v>486</v>
      </c>
      <c r="C93" s="456" t="s">
        <v>488</v>
      </c>
      <c r="D93" s="460">
        <v>130574.94</v>
      </c>
      <c r="E93" s="460">
        <v>2</v>
      </c>
      <c r="F93" s="460">
        <f>+E93*D93</f>
        <v>261149.88</v>
      </c>
    </row>
    <row r="94" spans="2:14" x14ac:dyDescent="0.2">
      <c r="B94" s="456" t="s">
        <v>487</v>
      </c>
      <c r="C94" s="456" t="s">
        <v>489</v>
      </c>
      <c r="D94" s="460">
        <v>332636.34999999998</v>
      </c>
      <c r="E94" s="460">
        <v>1</v>
      </c>
      <c r="F94" s="460">
        <f>+E94*D94</f>
        <v>332636.34999999998</v>
      </c>
    </row>
    <row r="95" spans="2:14" x14ac:dyDescent="0.2">
      <c r="B95" s="590" t="s">
        <v>5</v>
      </c>
      <c r="C95" s="591"/>
      <c r="D95" s="591"/>
      <c r="E95" s="592"/>
      <c r="F95" s="460">
        <f>+SUM(F92:F94)</f>
        <v>19023790.390000001</v>
      </c>
    </row>
  </sheetData>
  <mergeCells count="14">
    <mergeCell ref="B95:E95"/>
    <mergeCell ref="B2:N2"/>
    <mergeCell ref="B27:N27"/>
    <mergeCell ref="E34:G34"/>
    <mergeCell ref="B46:N46"/>
    <mergeCell ref="F10:G10"/>
    <mergeCell ref="F11:G11"/>
    <mergeCell ref="F4:G4"/>
    <mergeCell ref="F5:G5"/>
    <mergeCell ref="F6:G6"/>
    <mergeCell ref="F7:G7"/>
    <mergeCell ref="F8:G8"/>
    <mergeCell ref="F9:G9"/>
    <mergeCell ref="B86:N8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9"/>
  <sheetViews>
    <sheetView zoomScale="75" zoomScaleNormal="75" workbookViewId="0"/>
  </sheetViews>
  <sheetFormatPr baseColWidth="10" defaultRowHeight="12.75" x14ac:dyDescent="0.2"/>
  <cols>
    <col min="1" max="1" width="29.5703125" style="21" customWidth="1"/>
    <col min="2" max="2" width="16.5703125" style="21" customWidth="1"/>
    <col min="3" max="3" width="11.28515625" style="21" customWidth="1"/>
    <col min="4" max="4" width="11.140625" style="21" customWidth="1"/>
    <col min="5" max="5" width="15.85546875" style="21" customWidth="1"/>
    <col min="6" max="6" width="12" style="21" customWidth="1"/>
    <col min="7" max="7" width="18.42578125" style="21" customWidth="1"/>
    <col min="8" max="8" width="4.85546875" style="21" customWidth="1"/>
    <col min="9" max="9" width="30.42578125" style="21" customWidth="1"/>
    <col min="10" max="10" width="13.28515625" style="32" customWidth="1"/>
    <col min="11" max="11" width="16.140625" style="32" customWidth="1"/>
    <col min="12" max="12" width="12.7109375" style="32" customWidth="1"/>
    <col min="13" max="13" width="19.5703125" style="32" customWidth="1"/>
    <col min="14" max="16384" width="11.42578125" style="21"/>
  </cols>
  <sheetData>
    <row r="1" spans="1:13" ht="30.75" customHeight="1" x14ac:dyDescent="0.2">
      <c r="I1" s="130" t="s">
        <v>94</v>
      </c>
    </row>
    <row r="2" spans="1:13" ht="9" customHeight="1" x14ac:dyDescent="0.2">
      <c r="A2" s="130"/>
    </row>
    <row r="3" spans="1:13" ht="12.75" customHeight="1" x14ac:dyDescent="0.2">
      <c r="A3" s="660" t="s">
        <v>32</v>
      </c>
      <c r="B3" s="661"/>
      <c r="C3" s="661"/>
      <c r="D3" s="661"/>
      <c r="E3" s="661"/>
      <c r="F3" s="662"/>
      <c r="G3" s="621" t="s">
        <v>40</v>
      </c>
      <c r="I3" s="658" t="s">
        <v>103</v>
      </c>
      <c r="J3" s="658" t="s">
        <v>102</v>
      </c>
      <c r="K3" s="658" t="s">
        <v>188</v>
      </c>
      <c r="L3" s="658" t="s">
        <v>189</v>
      </c>
      <c r="M3" s="658" t="s">
        <v>190</v>
      </c>
    </row>
    <row r="4" spans="1:13" x14ac:dyDescent="0.2">
      <c r="A4" s="663"/>
      <c r="B4" s="664"/>
      <c r="C4" s="664"/>
      <c r="D4" s="664"/>
      <c r="E4" s="664"/>
      <c r="F4" s="665"/>
      <c r="G4" s="622" t="s">
        <v>31</v>
      </c>
      <c r="I4" s="659"/>
      <c r="J4" s="659"/>
      <c r="K4" s="659"/>
      <c r="L4" s="659"/>
      <c r="M4" s="659"/>
    </row>
    <row r="5" spans="1:13" x14ac:dyDescent="0.2">
      <c r="A5" s="150" t="s">
        <v>67</v>
      </c>
      <c r="B5" s="151"/>
      <c r="C5" s="152"/>
      <c r="D5" s="152"/>
      <c r="E5" s="152"/>
      <c r="F5" s="152"/>
      <c r="G5" s="153"/>
      <c r="I5" s="224" t="s">
        <v>429</v>
      </c>
      <c r="J5" s="82">
        <v>1</v>
      </c>
      <c r="K5" s="83">
        <f>$G$67*J5</f>
        <v>2332971.7333333334</v>
      </c>
      <c r="L5" s="32">
        <v>1</v>
      </c>
      <c r="M5" s="112">
        <f>K5*L5</f>
        <v>2332971.7333333334</v>
      </c>
    </row>
    <row r="6" spans="1:13" x14ac:dyDescent="0.2">
      <c r="A6" s="224" t="s">
        <v>478</v>
      </c>
      <c r="C6" s="32" t="s">
        <v>49</v>
      </c>
      <c r="D6" s="95">
        <v>16</v>
      </c>
      <c r="E6" s="87">
        <f>1800000*1.32*1.93/200</f>
        <v>22928.400000000001</v>
      </c>
      <c r="F6" s="11"/>
      <c r="G6" s="112">
        <f>D6*E6</f>
        <v>366854.40000000002</v>
      </c>
      <c r="I6" s="51"/>
      <c r="J6" s="82"/>
      <c r="K6" s="83"/>
      <c r="M6" s="112"/>
    </row>
    <row r="7" spans="1:13" x14ac:dyDescent="0.2">
      <c r="A7" s="224" t="s">
        <v>479</v>
      </c>
      <c r="C7" s="32" t="s">
        <v>49</v>
      </c>
      <c r="D7" s="95">
        <v>8</v>
      </c>
      <c r="E7" s="87">
        <f>2500000*1.96/200</f>
        <v>24500</v>
      </c>
      <c r="F7" s="11"/>
      <c r="G7" s="112">
        <f>D7*E7</f>
        <v>196000</v>
      </c>
      <c r="I7" s="51"/>
      <c r="J7" s="82"/>
      <c r="K7" s="83"/>
      <c r="M7" s="112"/>
    </row>
    <row r="8" spans="1:13" x14ac:dyDescent="0.2">
      <c r="A8" s="51" t="s">
        <v>482</v>
      </c>
      <c r="C8" s="32" t="s">
        <v>49</v>
      </c>
      <c r="D8" s="95">
        <v>16</v>
      </c>
      <c r="E8" s="87">
        <f>800000*1.96/200</f>
        <v>7840</v>
      </c>
      <c r="F8" s="11"/>
      <c r="G8" s="112">
        <f>D8*E8</f>
        <v>125440</v>
      </c>
      <c r="I8" s="51"/>
      <c r="J8" s="82"/>
      <c r="K8" s="83"/>
      <c r="M8" s="112"/>
    </row>
    <row r="9" spans="1:13" x14ac:dyDescent="0.2">
      <c r="A9" s="51" t="s">
        <v>483</v>
      </c>
      <c r="C9" s="32" t="s">
        <v>49</v>
      </c>
      <c r="D9" s="95">
        <v>16</v>
      </c>
      <c r="E9" s="87">
        <f>1800000*1.96/200</f>
        <v>17640</v>
      </c>
      <c r="F9" s="11"/>
      <c r="G9" s="112">
        <f>D9*E9</f>
        <v>282240</v>
      </c>
      <c r="I9" s="51"/>
      <c r="J9" s="82"/>
      <c r="K9" s="83"/>
      <c r="M9" s="112"/>
    </row>
    <row r="10" spans="1:13" x14ac:dyDescent="0.2">
      <c r="A10" s="51"/>
      <c r="C10" s="32"/>
      <c r="D10" s="95"/>
      <c r="E10" s="87"/>
      <c r="F10" s="11"/>
      <c r="G10" s="112"/>
      <c r="I10" s="51"/>
      <c r="J10" s="82"/>
      <c r="K10" s="83"/>
      <c r="M10" s="112"/>
    </row>
    <row r="11" spans="1:13" x14ac:dyDescent="0.2">
      <c r="A11" s="51"/>
      <c r="C11" s="32"/>
      <c r="D11" s="95"/>
      <c r="E11" s="87"/>
      <c r="F11" s="11"/>
      <c r="G11" s="112"/>
      <c r="I11" s="51"/>
      <c r="J11" s="82"/>
      <c r="K11" s="83"/>
      <c r="M11" s="112"/>
    </row>
    <row r="12" spans="1:13" x14ac:dyDescent="0.2">
      <c r="A12" s="51"/>
      <c r="C12" s="32"/>
      <c r="D12" s="95"/>
      <c r="E12" s="87"/>
      <c r="F12" s="11"/>
      <c r="G12" s="112"/>
      <c r="I12" s="51"/>
      <c r="J12" s="82"/>
      <c r="K12" s="83"/>
      <c r="M12" s="112"/>
    </row>
    <row r="13" spans="1:13" x14ac:dyDescent="0.2">
      <c r="A13" s="51"/>
      <c r="C13" s="32"/>
      <c r="D13" s="95"/>
      <c r="E13" s="87"/>
      <c r="F13" s="11"/>
      <c r="G13" s="112"/>
      <c r="I13" s="51"/>
      <c r="J13" s="82"/>
      <c r="K13" s="83"/>
      <c r="M13" s="112"/>
    </row>
    <row r="14" spans="1:13" x14ac:dyDescent="0.2">
      <c r="A14" s="51"/>
      <c r="C14" s="32"/>
      <c r="D14" s="95"/>
      <c r="E14" s="87"/>
      <c r="F14" s="11"/>
      <c r="G14" s="112"/>
      <c r="I14" s="51"/>
      <c r="J14" s="82"/>
      <c r="K14" s="83"/>
      <c r="M14" s="112"/>
    </row>
    <row r="15" spans="1:13" x14ac:dyDescent="0.2">
      <c r="A15" s="51"/>
      <c r="C15" s="32"/>
      <c r="D15" s="95"/>
      <c r="E15" s="83"/>
      <c r="F15" s="11"/>
      <c r="G15" s="112"/>
      <c r="I15" s="51"/>
      <c r="J15" s="82"/>
      <c r="K15" s="83"/>
      <c r="M15" s="112"/>
    </row>
    <row r="16" spans="1:13" x14ac:dyDescent="0.2">
      <c r="A16" s="51"/>
      <c r="C16" s="32"/>
      <c r="D16" s="95"/>
      <c r="E16" s="83"/>
      <c r="F16" s="11"/>
      <c r="G16" s="112"/>
      <c r="I16" s="51"/>
      <c r="J16" s="82"/>
      <c r="K16" s="83"/>
      <c r="M16" s="112"/>
    </row>
    <row r="17" spans="1:13" x14ac:dyDescent="0.2">
      <c r="A17" s="51"/>
      <c r="C17" s="32"/>
      <c r="D17" s="95"/>
      <c r="E17" s="83"/>
      <c r="F17" s="11"/>
      <c r="G17" s="112"/>
      <c r="I17" s="51"/>
      <c r="J17" s="82"/>
      <c r="K17" s="83"/>
      <c r="M17" s="112"/>
    </row>
    <row r="18" spans="1:13" x14ac:dyDescent="0.2">
      <c r="A18" s="51"/>
      <c r="C18" s="32"/>
      <c r="D18" s="95"/>
      <c r="E18" s="83"/>
      <c r="F18" s="11"/>
      <c r="G18" s="112"/>
      <c r="I18" s="51"/>
      <c r="J18" s="82"/>
      <c r="K18" s="83"/>
      <c r="M18" s="112"/>
    </row>
    <row r="19" spans="1:13" x14ac:dyDescent="0.2">
      <c r="A19" s="51"/>
      <c r="C19" s="32"/>
      <c r="D19" s="95"/>
      <c r="E19" s="83"/>
      <c r="F19" s="11"/>
      <c r="G19" s="112"/>
      <c r="I19" s="51"/>
      <c r="J19" s="82"/>
      <c r="K19" s="83"/>
      <c r="M19" s="112"/>
    </row>
    <row r="20" spans="1:13" x14ac:dyDescent="0.2">
      <c r="A20" s="51"/>
      <c r="C20" s="32"/>
      <c r="D20" s="95"/>
      <c r="E20" s="83"/>
      <c r="F20" s="11"/>
      <c r="G20" s="112"/>
      <c r="I20" s="51"/>
      <c r="J20" s="82"/>
      <c r="K20" s="83"/>
      <c r="M20" s="112"/>
    </row>
    <row r="21" spans="1:13" x14ac:dyDescent="0.2">
      <c r="A21" s="51"/>
      <c r="C21" s="32"/>
      <c r="D21" s="95"/>
      <c r="E21" s="83"/>
      <c r="F21" s="11"/>
      <c r="G21" s="112"/>
      <c r="I21" s="51"/>
      <c r="J21" s="82"/>
      <c r="K21" s="83"/>
      <c r="M21" s="112"/>
    </row>
    <row r="22" spans="1:13" x14ac:dyDescent="0.2">
      <c r="A22" s="51"/>
      <c r="C22" s="32"/>
      <c r="D22" s="95"/>
      <c r="E22" s="83"/>
      <c r="F22" s="11"/>
      <c r="G22" s="112"/>
      <c r="I22" s="51"/>
      <c r="J22" s="82"/>
      <c r="K22" s="83"/>
      <c r="M22" s="112"/>
    </row>
    <row r="23" spans="1:13" x14ac:dyDescent="0.2">
      <c r="A23" s="51"/>
      <c r="C23" s="32"/>
      <c r="D23" s="95"/>
      <c r="E23" s="83"/>
      <c r="F23" s="11"/>
      <c r="G23" s="112"/>
      <c r="I23" s="51"/>
      <c r="J23" s="82"/>
      <c r="K23" s="83"/>
      <c r="M23" s="112"/>
    </row>
    <row r="24" spans="1:13" x14ac:dyDescent="0.2">
      <c r="A24" s="51"/>
      <c r="C24" s="32"/>
      <c r="D24" s="95"/>
      <c r="E24" s="154"/>
      <c r="F24" s="81" t="s">
        <v>68</v>
      </c>
      <c r="G24" s="88">
        <f>SUM(G6:G23)</f>
        <v>970534.40000000002</v>
      </c>
      <c r="I24" s="51"/>
      <c r="J24" s="82"/>
      <c r="K24" s="83"/>
      <c r="M24" s="112"/>
    </row>
    <row r="25" spans="1:13" x14ac:dyDescent="0.2">
      <c r="A25" s="150" t="s">
        <v>65</v>
      </c>
      <c r="B25" s="151"/>
      <c r="C25" s="155" t="s">
        <v>23</v>
      </c>
      <c r="D25" s="155" t="s">
        <v>25</v>
      </c>
      <c r="E25" s="155" t="s">
        <v>30</v>
      </c>
      <c r="F25" s="155" t="s">
        <v>92</v>
      </c>
      <c r="G25" s="153"/>
      <c r="I25" s="51"/>
      <c r="J25" s="82"/>
      <c r="K25" s="83"/>
      <c r="M25" s="112"/>
    </row>
    <row r="26" spans="1:13" x14ac:dyDescent="0.2">
      <c r="A26" s="51" t="s">
        <v>526</v>
      </c>
      <c r="C26" s="29"/>
      <c r="D26" s="29"/>
      <c r="E26" s="95"/>
      <c r="F26" s="11"/>
      <c r="G26" s="41">
        <f>200000*2.22</f>
        <v>444000.00000000006</v>
      </c>
      <c r="I26" s="51"/>
      <c r="J26" s="82"/>
      <c r="K26" s="83"/>
      <c r="M26" s="112"/>
    </row>
    <row r="27" spans="1:13" x14ac:dyDescent="0.2">
      <c r="A27" s="51"/>
      <c r="C27" s="29"/>
      <c r="D27" s="29"/>
      <c r="E27" s="95"/>
      <c r="F27" s="11"/>
      <c r="G27" s="41"/>
      <c r="I27" s="51"/>
      <c r="J27" s="82"/>
      <c r="K27" s="83"/>
      <c r="M27" s="112"/>
    </row>
    <row r="28" spans="1:13" x14ac:dyDescent="0.2">
      <c r="A28" s="51"/>
      <c r="C28" s="29"/>
      <c r="D28" s="29"/>
      <c r="E28" s="95"/>
      <c r="F28" s="11"/>
      <c r="G28" s="41"/>
      <c r="I28" s="51"/>
      <c r="J28" s="82"/>
      <c r="K28" s="83"/>
      <c r="M28" s="112"/>
    </row>
    <row r="29" spans="1:13" x14ac:dyDescent="0.2">
      <c r="A29" s="51"/>
      <c r="C29" s="29"/>
      <c r="D29" s="29"/>
      <c r="E29" s="95"/>
      <c r="F29" s="11"/>
      <c r="G29" s="41"/>
      <c r="I29" s="51"/>
      <c r="J29" s="82"/>
      <c r="K29" s="83"/>
      <c r="M29" s="112"/>
    </row>
    <row r="30" spans="1:13" x14ac:dyDescent="0.2">
      <c r="A30" s="51"/>
      <c r="C30" s="32"/>
      <c r="D30" s="82"/>
      <c r="E30" s="11"/>
      <c r="F30" s="11"/>
      <c r="G30" s="41"/>
      <c r="I30" s="51"/>
      <c r="J30" s="82"/>
      <c r="K30" s="83"/>
      <c r="M30" s="112"/>
    </row>
    <row r="31" spans="1:13" x14ac:dyDescent="0.2">
      <c r="A31" s="51"/>
      <c r="C31" s="32"/>
      <c r="D31" s="82"/>
      <c r="E31" s="11"/>
      <c r="F31" s="11"/>
      <c r="G31" s="41"/>
      <c r="I31" s="51"/>
      <c r="J31" s="82"/>
      <c r="K31" s="83"/>
      <c r="M31" s="112"/>
    </row>
    <row r="32" spans="1:13" x14ac:dyDescent="0.2">
      <c r="A32" s="51"/>
      <c r="C32" s="32"/>
      <c r="D32" s="82"/>
      <c r="E32" s="11"/>
      <c r="F32" s="11"/>
      <c r="G32" s="41"/>
      <c r="I32" s="51"/>
      <c r="J32" s="82"/>
      <c r="K32" s="83"/>
      <c r="M32" s="112"/>
    </row>
    <row r="33" spans="1:13" x14ac:dyDescent="0.2">
      <c r="A33" s="51"/>
      <c r="C33" s="32"/>
      <c r="D33" s="95"/>
      <c r="E33" s="11"/>
      <c r="F33" s="81" t="s">
        <v>68</v>
      </c>
      <c r="G33" s="44">
        <f>SUM(G26:G32)</f>
        <v>444000.00000000006</v>
      </c>
      <c r="I33" s="128"/>
      <c r="J33" s="82"/>
      <c r="K33" s="83"/>
      <c r="M33" s="112"/>
    </row>
    <row r="34" spans="1:13" x14ac:dyDescent="0.2">
      <c r="A34" s="150" t="s">
        <v>93</v>
      </c>
      <c r="B34" s="151"/>
      <c r="C34" s="155" t="s">
        <v>23</v>
      </c>
      <c r="D34" s="155" t="s">
        <v>25</v>
      </c>
      <c r="E34" s="155" t="s">
        <v>30</v>
      </c>
      <c r="F34" s="155" t="s">
        <v>92</v>
      </c>
      <c r="G34" s="156"/>
      <c r="I34" s="51"/>
      <c r="J34" s="82"/>
      <c r="K34" s="83"/>
      <c r="M34" s="112"/>
    </row>
    <row r="35" spans="1:13" x14ac:dyDescent="0.2">
      <c r="A35" s="51"/>
      <c r="C35" s="29"/>
      <c r="D35" s="29"/>
      <c r="E35" s="95"/>
      <c r="F35" s="11"/>
      <c r="G35" s="41"/>
      <c r="I35" s="51"/>
      <c r="J35" s="82"/>
      <c r="K35" s="83"/>
      <c r="M35" s="112"/>
    </row>
    <row r="36" spans="1:13" x14ac:dyDescent="0.2">
      <c r="A36" s="51"/>
      <c r="C36" s="29"/>
      <c r="D36" s="29"/>
      <c r="E36" s="95"/>
      <c r="F36" s="11"/>
      <c r="G36" s="41"/>
      <c r="I36" s="51"/>
      <c r="J36" s="82"/>
      <c r="K36" s="83"/>
      <c r="M36" s="112"/>
    </row>
    <row r="37" spans="1:13" x14ac:dyDescent="0.2">
      <c r="A37" s="51"/>
      <c r="C37" s="29"/>
      <c r="D37" s="29"/>
      <c r="E37" s="95"/>
      <c r="F37" s="11"/>
      <c r="G37" s="41"/>
      <c r="I37" s="72" t="s">
        <v>5</v>
      </c>
      <c r="J37" s="157"/>
      <c r="K37" s="141"/>
      <c r="L37" s="137"/>
      <c r="M37" s="141">
        <f>SUM(M5:M36)</f>
        <v>2332971.7333333334</v>
      </c>
    </row>
    <row r="38" spans="1:13" x14ac:dyDescent="0.2">
      <c r="A38" s="51"/>
      <c r="C38" s="32"/>
      <c r="D38" s="82"/>
      <c r="E38" s="11"/>
      <c r="F38" s="11"/>
      <c r="G38" s="41"/>
    </row>
    <row r="39" spans="1:13" x14ac:dyDescent="0.2">
      <c r="A39" s="51"/>
      <c r="C39" s="32"/>
      <c r="D39" s="82"/>
      <c r="E39" s="11"/>
      <c r="F39" s="11"/>
      <c r="G39" s="41"/>
    </row>
    <row r="40" spans="1:13" x14ac:dyDescent="0.2">
      <c r="A40" s="51"/>
      <c r="C40" s="32"/>
      <c r="D40" s="82"/>
      <c r="E40" s="11"/>
      <c r="F40" s="11"/>
      <c r="G40" s="41"/>
    </row>
    <row r="41" spans="1:13" x14ac:dyDescent="0.2">
      <c r="A41" s="51"/>
      <c r="C41" s="32"/>
      <c r="D41" s="82"/>
      <c r="E41" s="11"/>
      <c r="F41" s="11"/>
      <c r="G41" s="41"/>
    </row>
    <row r="42" spans="1:13" x14ac:dyDescent="0.2">
      <c r="A42" s="51"/>
      <c r="C42" s="32"/>
      <c r="D42" s="95"/>
      <c r="E42" s="11"/>
      <c r="F42" s="81" t="s">
        <v>68</v>
      </c>
      <c r="G42" s="44">
        <f>SUM(G35:G41)</f>
        <v>0</v>
      </c>
    </row>
    <row r="43" spans="1:13" x14ac:dyDescent="0.2">
      <c r="A43" s="150" t="s">
        <v>44</v>
      </c>
      <c r="B43" s="151"/>
      <c r="C43" s="155" t="s">
        <v>81</v>
      </c>
      <c r="D43" s="155" t="s">
        <v>82</v>
      </c>
      <c r="E43" s="155" t="s">
        <v>49</v>
      </c>
      <c r="F43" s="155" t="s">
        <v>78</v>
      </c>
      <c r="G43" s="153"/>
    </row>
    <row r="44" spans="1:13" x14ac:dyDescent="0.2">
      <c r="A44" s="128"/>
      <c r="B44" s="130"/>
      <c r="C44" s="83">
        <f>+Veh!N7</f>
        <v>6600.6666666666661</v>
      </c>
      <c r="D44" s="83">
        <f>+Veh!V7</f>
        <v>163.33333333333334</v>
      </c>
      <c r="E44" s="95">
        <f>+D6</f>
        <v>16</v>
      </c>
      <c r="F44" s="95">
        <f>+E44*60</f>
        <v>960</v>
      </c>
      <c r="G44" s="112">
        <f>+E44*C44+F44*D44</f>
        <v>262410.66666666663</v>
      </c>
    </row>
    <row r="45" spans="1:13" x14ac:dyDescent="0.2">
      <c r="A45" s="128"/>
      <c r="B45" s="130"/>
      <c r="C45" s="83">
        <f>+Veh!N8</f>
        <v>6600.6666666666661</v>
      </c>
      <c r="D45" s="83">
        <f>++D44</f>
        <v>163.33333333333334</v>
      </c>
      <c r="E45" s="95">
        <f>+D7</f>
        <v>8</v>
      </c>
      <c r="F45" s="95">
        <f>+E45*60</f>
        <v>480</v>
      </c>
      <c r="G45" s="112">
        <f>+E45*C45+F45*D45</f>
        <v>131205.33333333331</v>
      </c>
    </row>
    <row r="46" spans="1:13" x14ac:dyDescent="0.2">
      <c r="A46" s="128"/>
      <c r="B46" s="130"/>
      <c r="C46" s="83">
        <f>+Veh!N9</f>
        <v>6600.6666666666661</v>
      </c>
      <c r="D46" s="83">
        <f>++D45</f>
        <v>163.33333333333334</v>
      </c>
      <c r="E46" s="95">
        <f>+D8</f>
        <v>16</v>
      </c>
      <c r="F46" s="95">
        <f>+E46*60</f>
        <v>960</v>
      </c>
      <c r="G46" s="112">
        <f>+E46*C46+F46*D46</f>
        <v>262410.66666666663</v>
      </c>
    </row>
    <row r="47" spans="1:13" x14ac:dyDescent="0.2">
      <c r="A47" s="128"/>
      <c r="B47" s="130"/>
      <c r="C47" s="83">
        <f>+Veh!N10</f>
        <v>6600.6666666666661</v>
      </c>
      <c r="D47" s="83">
        <f>++D46</f>
        <v>163.33333333333334</v>
      </c>
      <c r="E47" s="95">
        <f>+D9</f>
        <v>16</v>
      </c>
      <c r="F47" s="95">
        <f>+E47*60</f>
        <v>960</v>
      </c>
      <c r="G47" s="112">
        <f>+E47*C47+F47*D47</f>
        <v>262410.66666666663</v>
      </c>
    </row>
    <row r="48" spans="1:13" x14ac:dyDescent="0.2">
      <c r="A48" s="128"/>
      <c r="B48" s="130"/>
      <c r="C48" s="87"/>
      <c r="D48" s="87"/>
      <c r="E48" s="29"/>
      <c r="F48" s="81" t="s">
        <v>68</v>
      </c>
      <c r="G48" s="88">
        <f>SUM(G44:G47)</f>
        <v>918437.33333333314</v>
      </c>
    </row>
    <row r="49" spans="1:7" x14ac:dyDescent="0.2">
      <c r="A49" s="150" t="s">
        <v>53</v>
      </c>
      <c r="B49" s="151"/>
      <c r="C49" s="152"/>
      <c r="D49" s="152"/>
      <c r="E49" s="152"/>
      <c r="F49" s="152"/>
      <c r="G49" s="153"/>
    </row>
    <row r="50" spans="1:7" x14ac:dyDescent="0.2">
      <c r="A50" s="128"/>
      <c r="B50" s="130"/>
      <c r="C50" s="29"/>
      <c r="D50" s="29"/>
      <c r="E50" s="29"/>
      <c r="F50" s="29"/>
      <c r="G50" s="41"/>
    </row>
    <row r="51" spans="1:7" x14ac:dyDescent="0.2">
      <c r="A51" s="128"/>
      <c r="B51" s="130"/>
      <c r="C51" s="29"/>
      <c r="D51" s="29"/>
      <c r="E51" s="29"/>
      <c r="F51" s="29"/>
      <c r="G51" s="41"/>
    </row>
    <row r="52" spans="1:7" x14ac:dyDescent="0.2">
      <c r="A52" s="128"/>
      <c r="B52" s="130"/>
      <c r="C52" s="29"/>
      <c r="D52" s="29"/>
      <c r="E52" s="29"/>
      <c r="F52" s="29"/>
      <c r="G52" s="41"/>
    </row>
    <row r="53" spans="1:7" x14ac:dyDescent="0.2">
      <c r="A53" s="128"/>
      <c r="B53" s="130"/>
      <c r="C53" s="29"/>
      <c r="D53" s="29"/>
      <c r="E53" s="29"/>
      <c r="F53" s="29"/>
      <c r="G53" s="41"/>
    </row>
    <row r="54" spans="1:7" x14ac:dyDescent="0.2">
      <c r="A54" s="128"/>
      <c r="B54" s="130"/>
      <c r="C54" s="29"/>
      <c r="D54" s="29"/>
      <c r="E54" s="29"/>
      <c r="F54" s="29"/>
      <c r="G54" s="41"/>
    </row>
    <row r="55" spans="1:7" x14ac:dyDescent="0.2">
      <c r="A55" s="128"/>
      <c r="B55" s="130"/>
      <c r="C55" s="29"/>
      <c r="D55" s="29"/>
      <c r="E55" s="29"/>
      <c r="F55" s="29"/>
      <c r="G55" s="41"/>
    </row>
    <row r="56" spans="1:7" x14ac:dyDescent="0.2">
      <c r="A56" s="128"/>
      <c r="B56" s="130"/>
      <c r="C56" s="29"/>
      <c r="D56" s="29"/>
      <c r="E56" s="29"/>
      <c r="F56" s="29"/>
      <c r="G56" s="41"/>
    </row>
    <row r="57" spans="1:7" x14ac:dyDescent="0.2">
      <c r="A57" s="128"/>
      <c r="B57" s="130"/>
      <c r="C57" s="29"/>
      <c r="D57" s="29"/>
      <c r="E57" s="29"/>
      <c r="F57" s="29"/>
      <c r="G57" s="41"/>
    </row>
    <row r="58" spans="1:7" x14ac:dyDescent="0.2">
      <c r="A58" s="128"/>
      <c r="B58" s="130"/>
      <c r="C58" s="29"/>
      <c r="D58" s="29"/>
      <c r="E58" s="29"/>
      <c r="F58" s="29"/>
      <c r="G58" s="41"/>
    </row>
    <row r="59" spans="1:7" x14ac:dyDescent="0.2">
      <c r="A59" s="128"/>
      <c r="B59" s="130"/>
      <c r="C59" s="29"/>
      <c r="D59" s="29"/>
      <c r="E59" s="29"/>
      <c r="F59" s="81" t="s">
        <v>68</v>
      </c>
      <c r="G59" s="44">
        <f>SUM(G50:G58)</f>
        <v>0</v>
      </c>
    </row>
    <row r="60" spans="1:7" x14ac:dyDescent="0.2">
      <c r="A60" s="150" t="s">
        <v>37</v>
      </c>
      <c r="B60" s="151"/>
      <c r="C60" s="152"/>
      <c r="D60" s="152"/>
      <c r="E60" s="152"/>
      <c r="F60" s="152"/>
      <c r="G60" s="153"/>
    </row>
    <row r="61" spans="1:7" x14ac:dyDescent="0.2">
      <c r="A61" s="128"/>
      <c r="B61" s="130"/>
      <c r="C61" s="29"/>
      <c r="D61" s="29"/>
      <c r="E61" s="29"/>
      <c r="F61" s="29"/>
      <c r="G61" s="41"/>
    </row>
    <row r="62" spans="1:7" x14ac:dyDescent="0.2">
      <c r="A62" s="128"/>
      <c r="B62" s="130"/>
      <c r="C62" s="29"/>
      <c r="D62" s="29"/>
      <c r="E62" s="29"/>
      <c r="F62" s="29"/>
      <c r="G62" s="41"/>
    </row>
    <row r="63" spans="1:7" ht="12.75" customHeight="1" x14ac:dyDescent="0.2">
      <c r="A63" s="128"/>
      <c r="B63" s="130"/>
      <c r="C63" s="29"/>
      <c r="D63" s="29"/>
      <c r="E63" s="29"/>
      <c r="F63" s="29"/>
      <c r="G63" s="41"/>
    </row>
    <row r="64" spans="1:7" ht="12.75" customHeight="1" x14ac:dyDescent="0.2">
      <c r="A64" s="128"/>
      <c r="B64" s="130"/>
      <c r="C64" s="29"/>
      <c r="D64" s="29"/>
      <c r="E64" s="29"/>
      <c r="F64" s="29"/>
      <c r="G64" s="41"/>
    </row>
    <row r="65" spans="1:9" x14ac:dyDescent="0.2">
      <c r="A65" s="128"/>
      <c r="B65" s="130"/>
      <c r="C65" s="29"/>
      <c r="D65" s="29"/>
      <c r="E65" s="29"/>
      <c r="F65" s="29"/>
      <c r="G65" s="41"/>
    </row>
    <row r="66" spans="1:9" x14ac:dyDescent="0.2">
      <c r="A66" s="158"/>
      <c r="B66" s="130"/>
      <c r="C66" s="29"/>
      <c r="D66" s="29"/>
      <c r="E66" s="29"/>
      <c r="F66" s="81" t="s">
        <v>68</v>
      </c>
      <c r="G66" s="44">
        <f>SUM(G61:G65)</f>
        <v>0</v>
      </c>
      <c r="I66" s="69"/>
    </row>
    <row r="67" spans="1:9" x14ac:dyDescent="0.2">
      <c r="A67" s="48"/>
      <c r="B67" s="37"/>
      <c r="C67" s="37"/>
      <c r="D67" s="37"/>
      <c r="E67" s="159" t="s">
        <v>5</v>
      </c>
      <c r="F67" s="159"/>
      <c r="G67" s="160">
        <f>SUM(G24,G33,G42,G48,G59,G66)</f>
        <v>2332971.7333333334</v>
      </c>
      <c r="H67" s="459"/>
      <c r="I67" s="487"/>
    </row>
    <row r="69" spans="1:9" x14ac:dyDescent="0.2">
      <c r="G69" s="59"/>
    </row>
    <row r="81" spans="2:7" x14ac:dyDescent="0.2">
      <c r="B81" s="29"/>
      <c r="C81" s="29"/>
      <c r="D81" s="32"/>
      <c r="E81" s="29"/>
      <c r="F81" s="29"/>
      <c r="G81" s="29"/>
    </row>
    <row r="90" spans="2:7" x14ac:dyDescent="0.2">
      <c r="B90" s="29"/>
      <c r="C90" s="29"/>
      <c r="D90" s="32"/>
      <c r="E90" s="29"/>
      <c r="F90" s="29"/>
      <c r="G90" s="29"/>
    </row>
    <row r="91" spans="2:7" x14ac:dyDescent="0.2">
      <c r="B91" s="29"/>
      <c r="C91" s="29"/>
      <c r="D91" s="32"/>
      <c r="E91" s="29"/>
      <c r="F91" s="29"/>
      <c r="G91" s="29"/>
    </row>
    <row r="92" spans="2:7" x14ac:dyDescent="0.2">
      <c r="B92" s="29"/>
      <c r="C92" s="29"/>
      <c r="D92" s="32"/>
      <c r="E92" s="29"/>
      <c r="F92" s="29"/>
      <c r="G92" s="29"/>
    </row>
    <row r="102" spans="2:4" x14ac:dyDescent="0.2">
      <c r="B102" s="11"/>
      <c r="C102" s="11"/>
      <c r="D102" s="11"/>
    </row>
    <row r="103" spans="2:4" x14ac:dyDescent="0.2">
      <c r="B103" s="11"/>
      <c r="C103" s="11"/>
      <c r="D103" s="11"/>
    </row>
    <row r="104" spans="2:4" x14ac:dyDescent="0.2">
      <c r="B104" s="11"/>
      <c r="C104" s="11"/>
      <c r="D104" s="11"/>
    </row>
    <row r="105" spans="2:4" x14ac:dyDescent="0.2">
      <c r="B105" s="11"/>
      <c r="C105" s="11"/>
      <c r="D105" s="11"/>
    </row>
    <row r="106" spans="2:4" x14ac:dyDescent="0.2">
      <c r="B106" s="11"/>
      <c r="C106" s="11"/>
      <c r="D106" s="11"/>
    </row>
    <row r="107" spans="2:4" x14ac:dyDescent="0.2">
      <c r="B107" s="11"/>
      <c r="C107" s="11"/>
      <c r="D107" s="11"/>
    </row>
    <row r="108" spans="2:4" x14ac:dyDescent="0.2">
      <c r="B108" s="11"/>
      <c r="C108" s="11"/>
      <c r="D108" s="11"/>
    </row>
    <row r="109" spans="2:4" x14ac:dyDescent="0.2">
      <c r="B109" s="11"/>
      <c r="C109" s="11"/>
      <c r="D109" s="11"/>
    </row>
  </sheetData>
  <sheetProtection password="CA17" sheet="1" formatCells="0" formatColumns="0" formatRows="0" insertRows="0" insertHyperlinks="0" sort="0" autoFilter="0" pivotTables="0"/>
  <customSheetViews>
    <customSheetView guid="{1DB1CDF8-B399-46E9-9F00-21524E82CD13}" scale="75" showRuler="0">
      <selection activeCell="D14" sqref="D14"/>
      <pageMargins left="0.19685039370078741" right="0.19685039370078741" top="0.98425196850393704" bottom="0.98425196850393704" header="0" footer="0"/>
      <pageSetup orientation="landscape" r:id="rId1"/>
      <headerFooter alignWithMargins="0"/>
    </customSheetView>
    <customSheetView guid="{FD728909-0D0B-441A-8E6A-F7FBB3EE0FF4}" scale="75">
      <selection activeCell="D14" sqref="D14"/>
      <pageMargins left="0.19685039370078741" right="0.19685039370078741" top="0.98425196850393704" bottom="0.98425196850393704" header="0" footer="0"/>
      <pageSetup orientation="landscape" r:id="rId2"/>
      <headerFooter alignWithMargins="0"/>
    </customSheetView>
    <customSheetView guid="{3E10442F-E643-4030-87D8-6F3C29ED4323}" scale="70" showRuler="0" topLeftCell="C1">
      <selection activeCell="J5" sqref="J5"/>
      <pageMargins left="0.19685039370078741" right="0.19685039370078741" top="0.98425196850393704" bottom="0.98425196850393704" header="0" footer="0"/>
      <pageSetup orientation="landscape" r:id="rId3"/>
      <headerFooter alignWithMargins="0"/>
    </customSheetView>
    <customSheetView guid="{62D5B631-A5F0-449E-B42C-AE7ECEC2A7D1}" scale="75">
      <selection activeCell="D14" sqref="D14"/>
      <pageMargins left="0.19685039370078741" right="0.19685039370078741" top="0.98425196850393704" bottom="0.98425196850393704" header="0" footer="0"/>
      <pageSetup orientation="landscape" r:id="rId4"/>
      <headerFooter alignWithMargins="0"/>
    </customSheetView>
    <customSheetView guid="{F95940C3-2AB4-49FF-ABAA-F9CFD2FCC6F5}" scale="75">
      <selection activeCell="D14" sqref="D14"/>
      <pageMargins left="0.19685039370078741" right="0.19685039370078741" top="0.98425196850393704" bottom="0.98425196850393704" header="0" footer="0"/>
      <pageSetup orientation="landscape" r:id="rId5"/>
      <headerFooter alignWithMargins="0"/>
    </customSheetView>
  </customSheetViews>
  <mergeCells count="7">
    <mergeCell ref="K3:K4"/>
    <mergeCell ref="L3:L4"/>
    <mergeCell ref="M3:M4"/>
    <mergeCell ref="A3:F4"/>
    <mergeCell ref="G3:G4"/>
    <mergeCell ref="I3:I4"/>
    <mergeCell ref="J3:J4"/>
  </mergeCells>
  <phoneticPr fontId="0" type="noConversion"/>
  <conditionalFormatting sqref="M37">
    <cfRule type="expression" dxfId="0" priority="1" stopIfTrue="1">
      <formula>$M$37&gt;$G$67</formula>
    </cfRule>
  </conditionalFormatting>
  <dataValidations count="3">
    <dataValidation type="list" allowBlank="1" showInputMessage="1" showErrorMessage="1" sqref="A33" xr:uid="{00000000-0002-0000-0900-000000000000}">
      <formula1>#REF!</formula1>
    </dataValidation>
    <dataValidation type="list" allowBlank="1" showInputMessage="1" showErrorMessage="1" sqref="A6:A24" xr:uid="{00000000-0002-0000-0900-000001000000}">
      <formula1>Personal</formula1>
    </dataValidation>
    <dataValidation type="list" allowBlank="1" showInputMessage="1" showErrorMessage="1" sqref="A44:A48" xr:uid="{00000000-0002-0000-0900-000002000000}">
      <formula1>Vehiculos</formula1>
    </dataValidation>
  </dataValidations>
  <pageMargins left="0.19685039370078741" right="0.19685039370078741" top="0.98425196850393704" bottom="0.98425196850393704" header="0" footer="0"/>
  <pageSetup orientation="landscape" r:id="rId6"/>
  <headerFooter alignWithMargins="0"/>
  <drawing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A397"/>
  <sheetViews>
    <sheetView showGridLines="0" topLeftCell="A5" zoomScale="75" zoomScaleNormal="75" workbookViewId="0">
      <selection activeCell="G20" sqref="G20"/>
    </sheetView>
  </sheetViews>
  <sheetFormatPr baseColWidth="10" defaultRowHeight="12.75" x14ac:dyDescent="0.2"/>
  <cols>
    <col min="1" max="1" width="3.42578125" style="217" customWidth="1"/>
    <col min="2" max="2" width="45" style="217" customWidth="1"/>
    <col min="3" max="3" width="26.28515625" style="217" customWidth="1"/>
    <col min="4" max="4" width="19.140625" style="217" customWidth="1"/>
    <col min="5" max="5" width="24.28515625" style="217" bestFit="1" customWidth="1"/>
    <col min="6" max="6" width="11.28515625" style="217" bestFit="1" customWidth="1"/>
    <col min="7" max="7" width="29.5703125" style="217" bestFit="1" customWidth="1"/>
    <col min="8" max="8" width="18.85546875" style="217" bestFit="1" customWidth="1"/>
    <col min="9" max="9" width="15.42578125" style="217" customWidth="1"/>
    <col min="10" max="10" width="11.28515625" style="217" bestFit="1" customWidth="1"/>
    <col min="11" max="11" width="9.7109375" style="217" bestFit="1" customWidth="1"/>
    <col min="12" max="12" width="22.7109375" style="217" customWidth="1"/>
    <col min="13" max="13" width="9.7109375" style="217" bestFit="1" customWidth="1"/>
    <col min="14" max="14" width="11.42578125" style="217"/>
    <col min="15" max="15" width="11" style="217" bestFit="1" customWidth="1"/>
    <col min="16" max="18" width="11.42578125" style="217"/>
    <col min="19" max="19" width="22.28515625" style="217" bestFit="1" customWidth="1"/>
    <col min="20" max="20" width="10.7109375" style="217" bestFit="1" customWidth="1"/>
    <col min="21" max="21" width="14.7109375" style="217" bestFit="1" customWidth="1"/>
    <col min="22" max="22" width="9.7109375" style="217" bestFit="1" customWidth="1"/>
    <col min="23" max="23" width="10.42578125" style="217" bestFit="1" customWidth="1"/>
    <col min="24" max="24" width="9.7109375" style="217" bestFit="1" customWidth="1"/>
    <col min="25" max="25" width="10.5703125" style="217" bestFit="1" customWidth="1"/>
    <col min="26" max="28" width="11.42578125" style="217"/>
    <col min="29" max="29" width="16.28515625" style="217" bestFit="1" customWidth="1"/>
    <col min="30" max="30" width="13.7109375" style="217" bestFit="1" customWidth="1"/>
    <col min="31" max="31" width="22.140625" style="217" bestFit="1" customWidth="1"/>
    <col min="32" max="32" width="10.7109375" style="217" bestFit="1" customWidth="1"/>
    <col min="33" max="33" width="15.7109375" style="217" bestFit="1" customWidth="1"/>
    <col min="34" max="34" width="11.5703125" style="217" bestFit="1" customWidth="1"/>
    <col min="35" max="35" width="14.28515625" style="217" bestFit="1" customWidth="1"/>
    <col min="36" max="36" width="10.140625" style="217" bestFit="1" customWidth="1"/>
    <col min="37" max="37" width="11.42578125" style="217"/>
    <col min="38" max="38" width="17.42578125" style="217" bestFit="1" customWidth="1"/>
    <col min="39" max="39" width="18" style="217" bestFit="1" customWidth="1"/>
    <col min="40" max="40" width="19" style="217" bestFit="1" customWidth="1"/>
    <col min="41" max="16384" width="11.42578125" style="217"/>
  </cols>
  <sheetData>
    <row r="2" spans="2:9" ht="23.25" x14ac:dyDescent="0.35">
      <c r="B2" s="326" t="s">
        <v>403</v>
      </c>
      <c r="C2" s="327"/>
      <c r="D2" s="327"/>
      <c r="E2" s="327"/>
      <c r="F2" s="327"/>
      <c r="G2" s="327"/>
      <c r="H2" s="332"/>
      <c r="I2" s="332"/>
    </row>
    <row r="5" spans="2:9" ht="20.25" x14ac:dyDescent="0.3">
      <c r="B5" s="325" t="s">
        <v>414</v>
      </c>
    </row>
    <row r="6" spans="2:9" ht="18.75" thickBot="1" x14ac:dyDescent="0.3">
      <c r="B6" s="324"/>
    </row>
    <row r="7" spans="2:9" ht="18" x14ac:dyDescent="0.25">
      <c r="B7" s="364"/>
      <c r="C7" s="365"/>
      <c r="D7" s="365"/>
      <c r="E7" s="365"/>
      <c r="F7" s="366"/>
    </row>
    <row r="8" spans="2:9" ht="15.75" x14ac:dyDescent="0.25">
      <c r="B8" s="367" t="s">
        <v>409</v>
      </c>
      <c r="C8" s="368"/>
      <c r="D8" s="368"/>
      <c r="E8" s="368"/>
      <c r="F8" s="369"/>
    </row>
    <row r="9" spans="2:9" ht="15" x14ac:dyDescent="0.2">
      <c r="B9" s="370" t="s">
        <v>410</v>
      </c>
      <c r="C9" s="368"/>
      <c r="D9" s="368"/>
      <c r="E9" s="368"/>
      <c r="F9" s="369"/>
    </row>
    <row r="10" spans="2:9" ht="15.75" x14ac:dyDescent="0.25">
      <c r="B10" s="367"/>
      <c r="C10" s="368"/>
      <c r="D10" s="368"/>
      <c r="E10" s="368"/>
      <c r="F10" s="369"/>
    </row>
    <row r="11" spans="2:9" ht="15.75" x14ac:dyDescent="0.25">
      <c r="B11" s="367" t="s">
        <v>411</v>
      </c>
      <c r="C11" s="368"/>
      <c r="D11" s="368"/>
      <c r="E11" s="368"/>
      <c r="F11" s="369"/>
    </row>
    <row r="12" spans="2:9" ht="15" x14ac:dyDescent="0.2">
      <c r="B12" s="370" t="s">
        <v>412</v>
      </c>
      <c r="C12" s="368"/>
      <c r="D12" s="368"/>
      <c r="E12" s="368"/>
      <c r="F12" s="369"/>
    </row>
    <row r="13" spans="2:9" ht="15.75" x14ac:dyDescent="0.25">
      <c r="B13" s="367"/>
      <c r="C13" s="368"/>
      <c r="D13" s="368"/>
      <c r="E13" s="368"/>
      <c r="F13" s="369"/>
    </row>
    <row r="14" spans="2:9" customFormat="1" ht="15" x14ac:dyDescent="0.2">
      <c r="B14" s="371" t="s">
        <v>404</v>
      </c>
      <c r="C14" s="372"/>
      <c r="D14" s="372"/>
      <c r="E14" s="372"/>
      <c r="F14" s="373"/>
    </row>
    <row r="15" spans="2:9" ht="15" x14ac:dyDescent="0.2">
      <c r="B15" s="370" t="s">
        <v>393</v>
      </c>
      <c r="C15" s="368"/>
      <c r="D15" s="368"/>
      <c r="E15" s="368"/>
      <c r="F15" s="369"/>
    </row>
    <row r="16" spans="2:9" ht="15" x14ac:dyDescent="0.2">
      <c r="B16" s="370" t="s">
        <v>405</v>
      </c>
      <c r="C16" s="368"/>
      <c r="D16" s="363" t="s">
        <v>407</v>
      </c>
      <c r="E16" s="368"/>
      <c r="F16" s="369"/>
    </row>
    <row r="17" spans="2:40" ht="15.75" x14ac:dyDescent="0.25">
      <c r="B17" s="367" t="s">
        <v>406</v>
      </c>
      <c r="C17" s="368"/>
      <c r="D17" s="377" t="s">
        <v>408</v>
      </c>
      <c r="E17" s="368"/>
      <c r="F17" s="369"/>
    </row>
    <row r="18" spans="2:40" ht="13.5" thickBot="1" x14ac:dyDescent="0.25">
      <c r="B18" s="374"/>
      <c r="C18" s="375"/>
      <c r="D18" s="375"/>
      <c r="E18" s="375"/>
      <c r="F18" s="376"/>
    </row>
    <row r="19" spans="2:40" x14ac:dyDescent="0.2">
      <c r="B19" s="267"/>
    </row>
    <row r="20" spans="2:40" x14ac:dyDescent="0.2">
      <c r="B20" s="267"/>
    </row>
    <row r="21" spans="2:40" ht="15.75" x14ac:dyDescent="0.25">
      <c r="B21" s="329" t="s">
        <v>409</v>
      </c>
      <c r="C21" s="330"/>
      <c r="D21" s="330"/>
      <c r="E21" s="330"/>
    </row>
    <row r="22" spans="2:40" ht="15" x14ac:dyDescent="0.2">
      <c r="B22" s="331" t="s">
        <v>413</v>
      </c>
      <c r="C22" s="330"/>
      <c r="D22" s="330"/>
      <c r="E22" s="330"/>
    </row>
    <row r="23" spans="2:40" s="242" customFormat="1" ht="15" x14ac:dyDescent="0.2">
      <c r="B23" s="378"/>
      <c r="C23" s="332"/>
      <c r="D23" s="332"/>
      <c r="E23" s="332"/>
    </row>
    <row r="25" spans="2:40" s="302" customFormat="1" ht="15.75" x14ac:dyDescent="0.25">
      <c r="B25" s="379" t="s">
        <v>382</v>
      </c>
      <c r="C25" s="379" t="s">
        <v>347</v>
      </c>
      <c r="D25" s="379"/>
      <c r="E25" s="379"/>
      <c r="F25" s="380"/>
    </row>
    <row r="26" spans="2:40" ht="15.75" x14ac:dyDescent="0.25">
      <c r="B26" s="381" t="s">
        <v>415</v>
      </c>
      <c r="C26" s="381"/>
      <c r="D26" s="381"/>
      <c r="E26" s="381"/>
      <c r="F26" s="382"/>
    </row>
    <row r="28" spans="2:40" s="206" customFormat="1" ht="12.75" customHeight="1" x14ac:dyDescent="0.2">
      <c r="B28" s="209" t="s">
        <v>149</v>
      </c>
      <c r="C28" s="210"/>
      <c r="D28" s="210"/>
      <c r="E28" s="210"/>
      <c r="F28" s="211"/>
      <c r="G28" s="328" t="s">
        <v>77</v>
      </c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8" t="s">
        <v>132</v>
      </c>
      <c r="T28" s="219">
        <v>0</v>
      </c>
      <c r="U28" s="220" t="s">
        <v>98</v>
      </c>
      <c r="V28" s="217"/>
      <c r="W28" s="217"/>
      <c r="X28" s="217"/>
      <c r="Y28" s="217"/>
      <c r="Z28" s="217"/>
      <c r="AA28" s="217"/>
      <c r="AB28" s="217"/>
      <c r="AC28" s="218" t="s">
        <v>134</v>
      </c>
      <c r="AD28" s="218" t="s">
        <v>36</v>
      </c>
      <c r="AE28" s="212" t="s">
        <v>119</v>
      </c>
      <c r="AF28" s="222"/>
      <c r="AG28" s="212" t="s">
        <v>34</v>
      </c>
      <c r="AH28" s="223"/>
      <c r="AI28" s="212" t="s">
        <v>169</v>
      </c>
      <c r="AJ28" s="212" t="s">
        <v>90</v>
      </c>
      <c r="AK28" s="212" t="s">
        <v>170</v>
      </c>
      <c r="AL28" s="212" t="s">
        <v>91</v>
      </c>
      <c r="AN28" s="212" t="s">
        <v>142</v>
      </c>
    </row>
    <row r="29" spans="2:40" s="206" customFormat="1" ht="53.25" customHeight="1" x14ac:dyDescent="0.2">
      <c r="B29" s="221" t="s">
        <v>3</v>
      </c>
      <c r="C29" s="221" t="s">
        <v>96</v>
      </c>
      <c r="D29" s="221" t="s">
        <v>97</v>
      </c>
      <c r="E29" s="221" t="s">
        <v>0</v>
      </c>
      <c r="F29" s="221" t="s">
        <v>1</v>
      </c>
      <c r="G29" s="221" t="s">
        <v>144</v>
      </c>
      <c r="H29" s="221" t="s">
        <v>176</v>
      </c>
      <c r="I29" s="221" t="s">
        <v>239</v>
      </c>
      <c r="J29" s="221" t="s">
        <v>240</v>
      </c>
      <c r="K29" s="221" t="s">
        <v>241</v>
      </c>
      <c r="L29" s="221" t="s">
        <v>160</v>
      </c>
      <c r="M29" s="221" t="s">
        <v>197</v>
      </c>
      <c r="N29" s="221" t="s">
        <v>242</v>
      </c>
      <c r="O29" s="221" t="s">
        <v>198</v>
      </c>
      <c r="P29" s="221" t="s">
        <v>353</v>
      </c>
      <c r="Q29" s="221"/>
      <c r="R29" s="221"/>
      <c r="S29" s="217"/>
      <c r="T29" s="394" t="s">
        <v>2</v>
      </c>
      <c r="U29" s="221" t="s">
        <v>193</v>
      </c>
      <c r="V29" s="221" t="s">
        <v>194</v>
      </c>
      <c r="W29" s="221" t="s">
        <v>156</v>
      </c>
      <c r="X29" s="221" t="s">
        <v>157</v>
      </c>
      <c r="Y29" s="221" t="s">
        <v>199</v>
      </c>
      <c r="Z29" s="221"/>
      <c r="AA29" s="221"/>
      <c r="AB29" s="221"/>
      <c r="AC29" s="217"/>
      <c r="AD29" s="217"/>
      <c r="AE29" s="217"/>
      <c r="AF29" s="222"/>
      <c r="AG29" s="217"/>
      <c r="AI29" s="217"/>
      <c r="AJ29" s="217"/>
      <c r="AK29" s="217"/>
      <c r="AL29" s="217"/>
      <c r="AN29" s="217"/>
    </row>
    <row r="30" spans="2:40" s="206" customFormat="1" ht="12.75" customHeight="1" x14ac:dyDescent="0.2">
      <c r="B30" s="383" t="s">
        <v>232</v>
      </c>
      <c r="C30" s="384" t="s">
        <v>235</v>
      </c>
      <c r="D30" s="384" t="s">
        <v>236</v>
      </c>
      <c r="E30" s="395">
        <v>40436</v>
      </c>
      <c r="F30" s="286">
        <f ca="1">IF(E30=0,0,ROUNDDOWN((DAYS360(E30,TODAY(),FALSE))/360,0))</f>
        <v>13</v>
      </c>
      <c r="G30" s="385">
        <v>6640</v>
      </c>
      <c r="H30" s="385">
        <v>1328</v>
      </c>
      <c r="I30" s="385">
        <v>5392.52</v>
      </c>
      <c r="J30" s="385">
        <v>3607.34</v>
      </c>
      <c r="K30" s="385">
        <v>1460</v>
      </c>
      <c r="L30" s="385">
        <v>22</v>
      </c>
      <c r="M30" s="385">
        <v>1232</v>
      </c>
      <c r="N30" s="385">
        <v>1005.85</v>
      </c>
      <c r="O30" s="385">
        <v>400</v>
      </c>
      <c r="P30" s="385">
        <f>(+G30+H30+I30+J30+K30+L30+N30+O30)*0.23*0+3200</f>
        <v>3200</v>
      </c>
      <c r="Q30" s="385"/>
      <c r="R30" s="385"/>
      <c r="S30" s="396">
        <f>SUM(G30:R30)</f>
        <v>24287.71</v>
      </c>
      <c r="T30" s="396">
        <v>210.69879166666669</v>
      </c>
      <c r="U30" s="384">
        <v>49</v>
      </c>
      <c r="V30" s="385">
        <f>+U30*V$16</f>
        <v>0</v>
      </c>
      <c r="W30" s="385">
        <v>657</v>
      </c>
      <c r="X30" s="385">
        <f>+S30*0.05</f>
        <v>1214.3855000000001</v>
      </c>
      <c r="Y30" s="385">
        <v>657</v>
      </c>
      <c r="Z30" s="385"/>
      <c r="AA30" s="385"/>
      <c r="AB30" s="385"/>
      <c r="AC30" s="397">
        <f>SUM(V30:AB30)</f>
        <v>2528.3855000000003</v>
      </c>
      <c r="AD30" s="398">
        <f>S30+T30+AC30</f>
        <v>27026.794291666665</v>
      </c>
      <c r="AE30" s="399">
        <v>176</v>
      </c>
      <c r="AF30" s="400"/>
      <c r="AG30" s="401">
        <f>AD30/AE30</f>
        <v>153.5613312026515</v>
      </c>
      <c r="AH30" s="402"/>
      <c r="AI30" s="235" t="s">
        <v>173</v>
      </c>
      <c r="AJ30" s="401">
        <v>0</v>
      </c>
      <c r="AK30" s="386" t="s">
        <v>172</v>
      </c>
      <c r="AL30" s="403">
        <v>0</v>
      </c>
      <c r="AM30" s="402"/>
      <c r="AN30" s="401">
        <f>AG30+AJ30+AL30</f>
        <v>153.5613312026515</v>
      </c>
    </row>
    <row r="31" spans="2:40" s="206" customFormat="1" ht="12.75" customHeight="1" x14ac:dyDescent="0.2">
      <c r="B31" s="224" t="s">
        <v>231</v>
      </c>
      <c r="C31" s="206" t="s">
        <v>235</v>
      </c>
      <c r="D31" s="206" t="s">
        <v>236</v>
      </c>
      <c r="E31" s="225">
        <v>40436</v>
      </c>
      <c r="F31" s="226">
        <f ca="1">IF(E31=0,0,ROUNDDOWN((DAYS360(E31,TODAY(),FALSE))/360,0))</f>
        <v>13</v>
      </c>
      <c r="G31" s="227">
        <v>6360</v>
      </c>
      <c r="H31" s="227">
        <v>1272</v>
      </c>
      <c r="I31" s="227">
        <v>5241.04</v>
      </c>
      <c r="J31" s="227">
        <v>3475.72</v>
      </c>
      <c r="K31" s="227">
        <v>1460</v>
      </c>
      <c r="L31" s="227">
        <v>22</v>
      </c>
      <c r="M31" s="227">
        <v>1232</v>
      </c>
      <c r="N31" s="227">
        <v>0</v>
      </c>
      <c r="O31" s="227">
        <v>400</v>
      </c>
      <c r="P31" s="227">
        <f>(+G31+H31+I31+J31+K31+L31+N31+O31)*0.23*0+3200</f>
        <v>3200</v>
      </c>
      <c r="Q31" s="227"/>
      <c r="R31" s="227"/>
      <c r="S31" s="228">
        <f>SUM(G31:R31)</f>
        <v>22662.760000000002</v>
      </c>
      <c r="T31" s="228">
        <v>203.92816666666664</v>
      </c>
      <c r="U31" s="206">
        <v>49</v>
      </c>
      <c r="V31" s="227">
        <f>+U31*V$16</f>
        <v>0</v>
      </c>
      <c r="W31" s="227">
        <v>657</v>
      </c>
      <c r="X31" s="227">
        <f>+S31*0.05</f>
        <v>1133.1380000000001</v>
      </c>
      <c r="Y31" s="227">
        <v>657</v>
      </c>
      <c r="Z31" s="227"/>
      <c r="AA31" s="227"/>
      <c r="AB31" s="227"/>
      <c r="AC31" s="229">
        <f>SUM(V31:AB31)</f>
        <v>2447.1379999999999</v>
      </c>
      <c r="AD31" s="230">
        <f>S31+T31+AC31</f>
        <v>25313.826166666669</v>
      </c>
      <c r="AE31" s="231">
        <v>176</v>
      </c>
      <c r="AF31" s="232"/>
      <c r="AG31" s="233">
        <f>AD31/AE31</f>
        <v>143.82855776515154</v>
      </c>
      <c r="AH31" s="234"/>
      <c r="AI31" s="238" t="s">
        <v>173</v>
      </c>
      <c r="AJ31" s="233">
        <v>0</v>
      </c>
      <c r="AK31" s="236" t="s">
        <v>172</v>
      </c>
      <c r="AL31" s="237">
        <v>0</v>
      </c>
      <c r="AM31" s="234"/>
      <c r="AN31" s="233">
        <f>AG31+AJ31+AL31</f>
        <v>143.82855776515154</v>
      </c>
    </row>
    <row r="32" spans="2:40" s="206" customFormat="1" ht="12.75" customHeight="1" x14ac:dyDescent="0.2">
      <c r="B32" s="224" t="s">
        <v>233</v>
      </c>
      <c r="C32" s="206" t="s">
        <v>235</v>
      </c>
      <c r="D32" s="206" t="s">
        <v>237</v>
      </c>
      <c r="E32" s="225">
        <v>40436</v>
      </c>
      <c r="F32" s="226">
        <f ca="1">IF(E32=0,0,ROUNDDOWN((DAYS360(E32,TODAY(),FALSE))/360,0))</f>
        <v>13</v>
      </c>
      <c r="G32" s="227">
        <v>8600</v>
      </c>
      <c r="H32" s="227">
        <v>0</v>
      </c>
      <c r="I32" s="227">
        <v>0</v>
      </c>
      <c r="J32" s="227">
        <v>2322</v>
      </c>
      <c r="K32" s="227">
        <v>2920</v>
      </c>
      <c r="L32" s="227">
        <v>22</v>
      </c>
      <c r="M32" s="227">
        <v>1232</v>
      </c>
      <c r="N32" s="227">
        <v>0</v>
      </c>
      <c r="O32" s="227">
        <v>400</v>
      </c>
      <c r="P32" s="227">
        <f>(+G32+H32+I32+J32+K32+L32+N32+O32)*0.23*0+3200</f>
        <v>3200</v>
      </c>
      <c r="Q32" s="227"/>
      <c r="R32" s="227"/>
      <c r="S32" s="228">
        <f>SUM(G32:R32)</f>
        <v>18696</v>
      </c>
      <c r="T32" s="228">
        <v>187.4</v>
      </c>
      <c r="U32" s="206">
        <v>44</v>
      </c>
      <c r="V32" s="227">
        <f>+U32*V$16</f>
        <v>0</v>
      </c>
      <c r="W32" s="227">
        <v>657</v>
      </c>
      <c r="X32" s="227">
        <f>+S32*0.05</f>
        <v>934.80000000000007</v>
      </c>
      <c r="Y32" s="227">
        <v>657</v>
      </c>
      <c r="Z32" s="227"/>
      <c r="AA32" s="227"/>
      <c r="AB32" s="227"/>
      <c r="AC32" s="229">
        <f>SUM(V32:AB32)</f>
        <v>2248.8000000000002</v>
      </c>
      <c r="AD32" s="230">
        <f>S32+T32+AC32</f>
        <v>21132.2</v>
      </c>
      <c r="AE32" s="231">
        <v>176</v>
      </c>
      <c r="AF32" s="232"/>
      <c r="AG32" s="233">
        <f>AD32/AE32</f>
        <v>120.06931818181819</v>
      </c>
      <c r="AH32" s="234"/>
      <c r="AI32" s="238" t="s">
        <v>173</v>
      </c>
      <c r="AJ32" s="233">
        <v>0</v>
      </c>
      <c r="AK32" s="236" t="s">
        <v>172</v>
      </c>
      <c r="AL32" s="237">
        <v>0</v>
      </c>
      <c r="AM32" s="234"/>
      <c r="AN32" s="233">
        <f>AG32+AJ32+AL32</f>
        <v>120.06931818181819</v>
      </c>
    </row>
    <row r="33" spans="2:40" s="206" customFormat="1" ht="12.75" customHeight="1" x14ac:dyDescent="0.2">
      <c r="B33" s="224" t="s">
        <v>234</v>
      </c>
      <c r="C33" s="206" t="s">
        <v>235</v>
      </c>
      <c r="D33" s="206" t="s">
        <v>238</v>
      </c>
      <c r="E33" s="225">
        <v>40436</v>
      </c>
      <c r="F33" s="226">
        <f ca="1">IF(E33=0,0,ROUNDDOWN((DAYS360(E33,TODAY(),FALSE))/360,0))</f>
        <v>13</v>
      </c>
      <c r="G33" s="227">
        <v>16040</v>
      </c>
      <c r="H33" s="227">
        <v>0</v>
      </c>
      <c r="I33" s="227">
        <v>0</v>
      </c>
      <c r="J33" s="227">
        <v>4330.8</v>
      </c>
      <c r="K33" s="227">
        <v>2920</v>
      </c>
      <c r="L33" s="227">
        <v>22</v>
      </c>
      <c r="M33" s="227">
        <v>1232</v>
      </c>
      <c r="N33" s="227">
        <v>3500</v>
      </c>
      <c r="O33" s="227">
        <v>400</v>
      </c>
      <c r="P33" s="227">
        <f>(+G33+H33+I33+J33+K33+L33+N33+O33)*0.23*0+3200</f>
        <v>3200</v>
      </c>
      <c r="Q33" s="227"/>
      <c r="R33" s="227"/>
      <c r="S33" s="228">
        <f>SUM(G33:R33)</f>
        <v>31644.799999999999</v>
      </c>
      <c r="T33" s="228">
        <v>186.6033333333333</v>
      </c>
      <c r="U33" s="206">
        <v>44</v>
      </c>
      <c r="V33" s="227">
        <f>+U33*V$16</f>
        <v>0</v>
      </c>
      <c r="W33" s="227">
        <v>657</v>
      </c>
      <c r="X33" s="227">
        <f>+S33*0.05</f>
        <v>1582.24</v>
      </c>
      <c r="Y33" s="227">
        <v>0</v>
      </c>
      <c r="Z33" s="227"/>
      <c r="AA33" s="227"/>
      <c r="AB33" s="227"/>
      <c r="AC33" s="229">
        <f>SUM(V33:AB33)</f>
        <v>2239.2399999999998</v>
      </c>
      <c r="AD33" s="230">
        <f>S33+T33+AC33</f>
        <v>34070.643333333333</v>
      </c>
      <c r="AE33" s="231">
        <v>176</v>
      </c>
      <c r="AF33" s="232"/>
      <c r="AG33" s="233">
        <f>AD33/AE33</f>
        <v>193.58320075757575</v>
      </c>
      <c r="AH33" s="234"/>
      <c r="AI33" s="238" t="s">
        <v>173</v>
      </c>
      <c r="AJ33" s="233">
        <v>0</v>
      </c>
      <c r="AK33" s="236" t="s">
        <v>172</v>
      </c>
      <c r="AL33" s="237">
        <v>0</v>
      </c>
      <c r="AM33" s="234"/>
      <c r="AN33" s="233">
        <f>AG33+AJ33+AL33</f>
        <v>193.58320075757575</v>
      </c>
    </row>
    <row r="34" spans="2:40" s="206" customFormat="1" ht="12.75" customHeight="1" x14ac:dyDescent="0.2">
      <c r="B34" s="258"/>
      <c r="C34" s="216"/>
      <c r="D34" s="216"/>
      <c r="E34" s="404"/>
      <c r="F34" s="405"/>
      <c r="G34" s="406"/>
      <c r="H34" s="406"/>
      <c r="I34" s="406"/>
      <c r="J34" s="406"/>
      <c r="K34" s="406"/>
      <c r="L34" s="406"/>
      <c r="M34" s="406"/>
      <c r="N34" s="406"/>
      <c r="O34" s="406"/>
      <c r="P34" s="406"/>
      <c r="Q34" s="406"/>
      <c r="R34" s="406"/>
      <c r="S34" s="407"/>
      <c r="T34" s="407"/>
      <c r="U34" s="406"/>
      <c r="V34" s="406"/>
      <c r="W34" s="406"/>
      <c r="X34" s="406"/>
      <c r="Y34" s="406"/>
      <c r="Z34" s="406"/>
      <c r="AA34" s="406"/>
      <c r="AB34" s="406"/>
      <c r="AC34" s="408"/>
      <c r="AD34" s="409"/>
      <c r="AE34" s="410"/>
      <c r="AF34" s="411"/>
      <c r="AG34" s="412"/>
      <c r="AH34" s="413"/>
      <c r="AI34" s="414"/>
      <c r="AJ34" s="412"/>
      <c r="AK34" s="415"/>
      <c r="AL34" s="416"/>
      <c r="AM34" s="413"/>
      <c r="AN34" s="412"/>
    </row>
    <row r="35" spans="2:40" s="251" customFormat="1" ht="12.75" customHeight="1" x14ac:dyDescent="0.2">
      <c r="E35" s="310"/>
      <c r="G35" s="311"/>
      <c r="H35" s="311"/>
      <c r="I35" s="311"/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11"/>
      <c r="W35" s="311"/>
      <c r="X35" s="311"/>
      <c r="Y35" s="311"/>
      <c r="Z35" s="311"/>
      <c r="AA35" s="311"/>
      <c r="AB35" s="311"/>
      <c r="AC35" s="312"/>
      <c r="AD35" s="312"/>
      <c r="AE35" s="313"/>
      <c r="AF35" s="314"/>
      <c r="AG35" s="311"/>
      <c r="AH35" s="315"/>
      <c r="AJ35" s="311"/>
      <c r="AK35" s="311"/>
      <c r="AL35" s="311"/>
      <c r="AM35" s="315"/>
      <c r="AN35" s="311"/>
    </row>
    <row r="36" spans="2:40" s="251" customFormat="1" ht="12.75" customHeight="1" x14ac:dyDescent="0.2">
      <c r="E36" s="310"/>
      <c r="G36" s="311"/>
      <c r="H36" s="311"/>
      <c r="I36" s="311"/>
      <c r="J36" s="311"/>
      <c r="K36" s="311"/>
      <c r="L36" s="311"/>
      <c r="M36" s="311"/>
      <c r="N36" s="311"/>
      <c r="O36" s="311"/>
      <c r="P36" s="311"/>
      <c r="Q36" s="311"/>
      <c r="R36" s="311"/>
      <c r="S36" s="311"/>
      <c r="T36" s="311"/>
      <c r="U36" s="311"/>
      <c r="V36" s="311"/>
      <c r="W36" s="311"/>
      <c r="X36" s="311"/>
      <c r="Y36" s="311"/>
      <c r="Z36" s="311"/>
      <c r="AA36" s="311"/>
      <c r="AB36" s="311"/>
      <c r="AC36" s="312"/>
      <c r="AD36" s="312"/>
      <c r="AE36" s="313"/>
      <c r="AF36" s="314"/>
      <c r="AG36" s="311"/>
      <c r="AH36" s="315"/>
      <c r="AJ36" s="311"/>
      <c r="AK36" s="311"/>
      <c r="AL36" s="311"/>
      <c r="AM36" s="315"/>
      <c r="AN36" s="311"/>
    </row>
    <row r="38" spans="2:40" s="302" customFormat="1" ht="15.75" x14ac:dyDescent="0.25">
      <c r="B38" s="379" t="s">
        <v>380</v>
      </c>
      <c r="C38" s="379" t="s">
        <v>383</v>
      </c>
      <c r="D38" s="379"/>
      <c r="E38" s="379"/>
    </row>
    <row r="39" spans="2:40" ht="15.75" x14ac:dyDescent="0.25">
      <c r="B39" s="381" t="s">
        <v>417</v>
      </c>
      <c r="C39" s="381"/>
      <c r="D39" s="381"/>
      <c r="E39" s="381"/>
    </row>
    <row r="41" spans="2:40" s="242" customFormat="1" x14ac:dyDescent="0.2">
      <c r="B41" s="239" t="s">
        <v>8</v>
      </c>
      <c r="C41" s="240" t="s">
        <v>149</v>
      </c>
      <c r="D41" s="240"/>
      <c r="E41" s="240"/>
      <c r="F41" s="241"/>
      <c r="G41" s="241"/>
      <c r="I41" s="239" t="s">
        <v>8</v>
      </c>
      <c r="J41" s="240" t="s">
        <v>151</v>
      </c>
      <c r="K41" s="240"/>
      <c r="L41" s="240"/>
      <c r="M41" s="241"/>
      <c r="N41" s="241"/>
      <c r="P41" s="239" t="s">
        <v>8</v>
      </c>
      <c r="Q41" s="240" t="s">
        <v>154</v>
      </c>
      <c r="R41" s="240"/>
      <c r="S41" s="240"/>
      <c r="T41" s="241"/>
      <c r="U41" s="241"/>
    </row>
    <row r="42" spans="2:40" s="242" customFormat="1" ht="12.75" customHeight="1" x14ac:dyDescent="0.2">
      <c r="B42" s="194" t="s">
        <v>9</v>
      </c>
      <c r="C42" s="195"/>
      <c r="D42" s="195"/>
      <c r="E42" s="195"/>
      <c r="F42" s="196"/>
      <c r="G42" s="243">
        <v>0.1017</v>
      </c>
      <c r="I42" s="194" t="s">
        <v>9</v>
      </c>
      <c r="J42" s="195"/>
      <c r="K42" s="195"/>
      <c r="L42" s="195"/>
      <c r="M42" s="196"/>
      <c r="N42" s="243">
        <v>0.1017</v>
      </c>
      <c r="P42" s="194" t="s">
        <v>9</v>
      </c>
      <c r="Q42" s="195"/>
      <c r="R42" s="195"/>
      <c r="S42" s="195"/>
      <c r="T42" s="196"/>
      <c r="U42" s="243">
        <v>0.1017</v>
      </c>
    </row>
    <row r="43" spans="2:40" s="242" customFormat="1" ht="12.75" customHeight="1" x14ac:dyDescent="0.2">
      <c r="B43" s="197" t="s">
        <v>10</v>
      </c>
      <c r="C43" s="198"/>
      <c r="D43" s="198"/>
      <c r="E43" s="198"/>
      <c r="F43" s="199"/>
      <c r="G43" s="243">
        <v>1.4999999999999999E-2</v>
      </c>
      <c r="I43" s="197" t="s">
        <v>10</v>
      </c>
      <c r="J43" s="198"/>
      <c r="K43" s="198"/>
      <c r="L43" s="198"/>
      <c r="M43" s="199"/>
      <c r="N43" s="243">
        <v>1.4999999999999999E-2</v>
      </c>
      <c r="P43" s="197" t="s">
        <v>10</v>
      </c>
      <c r="Q43" s="198"/>
      <c r="R43" s="198"/>
      <c r="S43" s="198"/>
      <c r="T43" s="199"/>
      <c r="U43" s="243">
        <v>1.4999999999999999E-2</v>
      </c>
    </row>
    <row r="44" spans="2:40" s="242" customFormat="1" ht="12.75" customHeight="1" x14ac:dyDescent="0.2">
      <c r="B44" s="197" t="s">
        <v>11</v>
      </c>
      <c r="C44" s="198"/>
      <c r="D44" s="198"/>
      <c r="E44" s="198"/>
      <c r="F44" s="199"/>
      <c r="G44" s="243">
        <v>8.8999999999999999E-3</v>
      </c>
      <c r="I44" s="197" t="s">
        <v>11</v>
      </c>
      <c r="J44" s="198"/>
      <c r="K44" s="198"/>
      <c r="L44" s="198"/>
      <c r="M44" s="199"/>
      <c r="N44" s="243">
        <v>8.8999999999999999E-3</v>
      </c>
      <c r="P44" s="197" t="s">
        <v>11</v>
      </c>
      <c r="Q44" s="198"/>
      <c r="R44" s="198"/>
      <c r="S44" s="198"/>
      <c r="T44" s="199"/>
      <c r="U44" s="243">
        <v>8.8999999999999999E-3</v>
      </c>
    </row>
    <row r="45" spans="2:40" s="242" customFormat="1" ht="12.75" customHeight="1" x14ac:dyDescent="0.2">
      <c r="B45" s="197" t="s">
        <v>12</v>
      </c>
      <c r="C45" s="198"/>
      <c r="D45" s="198"/>
      <c r="E45" s="198"/>
      <c r="F45" s="199"/>
      <c r="G45" s="243">
        <v>4.4400000000000002E-2</v>
      </c>
      <c r="I45" s="197" t="s">
        <v>12</v>
      </c>
      <c r="J45" s="198"/>
      <c r="K45" s="198"/>
      <c r="L45" s="198"/>
      <c r="M45" s="199"/>
      <c r="N45" s="243">
        <v>4.4400000000000002E-2</v>
      </c>
      <c r="P45" s="197" t="s">
        <v>12</v>
      </c>
      <c r="Q45" s="198"/>
      <c r="R45" s="198"/>
      <c r="S45" s="198"/>
      <c r="T45" s="199"/>
      <c r="U45" s="243">
        <v>4.4400000000000002E-2</v>
      </c>
    </row>
    <row r="46" spans="2:40" s="242" customFormat="1" ht="12.75" customHeight="1" x14ac:dyDescent="0.2">
      <c r="B46" s="197" t="s">
        <v>18</v>
      </c>
      <c r="C46" s="198"/>
      <c r="D46" s="198"/>
      <c r="E46" s="198"/>
      <c r="F46" s="199"/>
      <c r="G46" s="244">
        <v>-8.6499999999999994E-2</v>
      </c>
      <c r="I46" s="197" t="s">
        <v>18</v>
      </c>
      <c r="J46" s="198"/>
      <c r="K46" s="198"/>
      <c r="L46" s="198"/>
      <c r="M46" s="199"/>
      <c r="N46" s="244">
        <v>-8.6499999999999994E-2</v>
      </c>
      <c r="P46" s="197" t="s">
        <v>18</v>
      </c>
      <c r="Q46" s="198"/>
      <c r="R46" s="198"/>
      <c r="S46" s="198"/>
      <c r="T46" s="199"/>
      <c r="U46" s="244">
        <v>-8.6499999999999994E-2</v>
      </c>
    </row>
    <row r="47" spans="2:40" s="242" customFormat="1" ht="12.75" customHeight="1" x14ac:dyDescent="0.2">
      <c r="B47" s="197" t="s">
        <v>13</v>
      </c>
      <c r="C47" s="198"/>
      <c r="D47" s="198"/>
      <c r="E47" s="198"/>
      <c r="F47" s="199"/>
      <c r="G47" s="245">
        <v>0.06</v>
      </c>
      <c r="I47" s="197" t="s">
        <v>13</v>
      </c>
      <c r="J47" s="198"/>
      <c r="K47" s="198"/>
      <c r="L47" s="198"/>
      <c r="M47" s="199"/>
      <c r="N47" s="245">
        <v>0.06</v>
      </c>
      <c r="P47" s="197" t="s">
        <v>13</v>
      </c>
      <c r="Q47" s="198"/>
      <c r="R47" s="198"/>
      <c r="S47" s="198"/>
      <c r="T47" s="199"/>
      <c r="U47" s="245">
        <v>0.06</v>
      </c>
    </row>
    <row r="48" spans="2:40" s="242" customFormat="1" ht="12.75" customHeight="1" x14ac:dyDescent="0.2">
      <c r="B48" s="197"/>
      <c r="C48" s="198"/>
      <c r="D48" s="198"/>
      <c r="E48" s="198"/>
      <c r="F48" s="199"/>
      <c r="G48" s="264">
        <f>SUM(G42:G47)</f>
        <v>0.14349999999999999</v>
      </c>
      <c r="I48" s="197"/>
      <c r="J48" s="198"/>
      <c r="K48" s="198"/>
      <c r="L48" s="198"/>
      <c r="M48" s="199"/>
      <c r="N48" s="264">
        <f>SUM(N42:N47)</f>
        <v>0.14349999999999999</v>
      </c>
      <c r="P48" s="197"/>
      <c r="Q48" s="198"/>
      <c r="R48" s="198"/>
      <c r="S48" s="198"/>
      <c r="T48" s="199"/>
      <c r="U48" s="264">
        <f>SUM(U42:U47)</f>
        <v>0.14349999999999999</v>
      </c>
    </row>
    <row r="49" spans="2:21" s="242" customFormat="1" ht="12.75" customHeight="1" x14ac:dyDescent="0.2">
      <c r="B49" s="197"/>
      <c r="C49" s="198"/>
      <c r="D49" s="198"/>
      <c r="E49" s="198"/>
      <c r="F49" s="199"/>
      <c r="G49" s="246"/>
      <c r="I49" s="197" t="s">
        <v>191</v>
      </c>
      <c r="J49" s="198"/>
      <c r="K49" s="198"/>
      <c r="L49" s="198"/>
      <c r="M49" s="199"/>
      <c r="N49" s="246">
        <v>1.4999999999999999E-2</v>
      </c>
      <c r="P49" s="197" t="s">
        <v>155</v>
      </c>
      <c r="Q49" s="198"/>
      <c r="R49" s="198"/>
      <c r="S49" s="198"/>
      <c r="T49" s="199"/>
      <c r="U49" s="246">
        <v>1.4999999999999999E-2</v>
      </c>
    </row>
    <row r="50" spans="2:21" s="242" customFormat="1" ht="12.75" customHeight="1" x14ac:dyDescent="0.2">
      <c r="B50" s="197" t="s">
        <v>130</v>
      </c>
      <c r="C50" s="198"/>
      <c r="D50" s="198"/>
      <c r="E50" s="198"/>
      <c r="F50" s="199"/>
      <c r="G50" s="247">
        <v>8.0000000000000002E-3</v>
      </c>
      <c r="I50" s="197" t="s">
        <v>130</v>
      </c>
      <c r="J50" s="198"/>
      <c r="K50" s="198"/>
      <c r="L50" s="198"/>
      <c r="M50" s="199"/>
      <c r="N50" s="247">
        <v>8.0000000000000002E-3</v>
      </c>
      <c r="P50" s="197" t="s">
        <v>130</v>
      </c>
      <c r="Q50" s="198"/>
      <c r="R50" s="198"/>
      <c r="S50" s="198"/>
      <c r="T50" s="199"/>
      <c r="U50" s="247">
        <v>8.0000000000000002E-3</v>
      </c>
    </row>
    <row r="51" spans="2:21" s="242" customFormat="1" ht="12.75" customHeight="1" x14ac:dyDescent="0.2">
      <c r="B51" s="197" t="s">
        <v>14</v>
      </c>
      <c r="C51" s="198"/>
      <c r="D51" s="198"/>
      <c r="E51" s="198"/>
      <c r="F51" s="199"/>
      <c r="G51" s="247">
        <v>1.3100000000000001E-2</v>
      </c>
      <c r="I51" s="197" t="s">
        <v>14</v>
      </c>
      <c r="J51" s="198"/>
      <c r="K51" s="198"/>
      <c r="L51" s="198"/>
      <c r="M51" s="199"/>
      <c r="N51" s="247">
        <v>1.3100000000000001E-2</v>
      </c>
      <c r="P51" s="197" t="s">
        <v>14</v>
      </c>
      <c r="Q51" s="198"/>
      <c r="R51" s="198"/>
      <c r="S51" s="198"/>
      <c r="T51" s="199"/>
      <c r="U51" s="247">
        <v>5.697E-2</v>
      </c>
    </row>
    <row r="52" spans="2:21" s="242" customFormat="1" ht="12.75" customHeight="1" x14ac:dyDescent="0.2">
      <c r="B52" s="200"/>
      <c r="C52" s="201"/>
      <c r="D52" s="201"/>
      <c r="E52" s="201"/>
      <c r="F52" s="201"/>
      <c r="G52" s="261">
        <f>SUM(G49:G51)</f>
        <v>2.1100000000000001E-2</v>
      </c>
      <c r="I52" s="200"/>
      <c r="J52" s="201"/>
      <c r="K52" s="201"/>
      <c r="L52" s="201"/>
      <c r="M52" s="201"/>
      <c r="N52" s="261">
        <f>SUM(N49:N51)</f>
        <v>3.61E-2</v>
      </c>
      <c r="P52" s="200"/>
      <c r="Q52" s="201"/>
      <c r="R52" s="201"/>
      <c r="S52" s="201"/>
      <c r="T52" s="201"/>
      <c r="U52" s="261">
        <f>SUM(U49:U51)</f>
        <v>7.9969999999999999E-2</v>
      </c>
    </row>
    <row r="53" spans="2:21" s="242" customFormat="1" ht="12.75" customHeight="1" x14ac:dyDescent="0.2">
      <c r="B53" s="200"/>
      <c r="C53" s="201"/>
      <c r="D53" s="201"/>
      <c r="E53" s="417" t="s">
        <v>88</v>
      </c>
      <c r="F53" s="217"/>
      <c r="G53" s="262">
        <f>G48+G52</f>
        <v>0.1646</v>
      </c>
      <c r="I53" s="200"/>
      <c r="J53" s="201"/>
      <c r="K53" s="201"/>
      <c r="L53" s="417" t="s">
        <v>88</v>
      </c>
      <c r="M53" s="217"/>
      <c r="N53" s="262">
        <f>N48+N52</f>
        <v>0.17959999999999998</v>
      </c>
      <c r="P53" s="200"/>
      <c r="Q53" s="201"/>
      <c r="R53" s="201"/>
      <c r="S53" s="417" t="s">
        <v>88</v>
      </c>
      <c r="T53" s="217"/>
      <c r="U53" s="262">
        <f>U48+U52</f>
        <v>0.22347</v>
      </c>
    </row>
    <row r="54" spans="2:21" s="242" customFormat="1" ht="12.75" customHeight="1" x14ac:dyDescent="0.2">
      <c r="B54" s="239" t="s">
        <v>63</v>
      </c>
      <c r="C54" s="240"/>
      <c r="D54" s="240"/>
      <c r="E54" s="240"/>
      <c r="F54" s="240"/>
      <c r="G54" s="241"/>
      <c r="I54" s="239" t="s">
        <v>63</v>
      </c>
      <c r="J54" s="240"/>
      <c r="K54" s="240"/>
      <c r="L54" s="240"/>
      <c r="M54" s="240"/>
      <c r="N54" s="241"/>
      <c r="P54" s="239" t="s">
        <v>63</v>
      </c>
      <c r="Q54" s="240"/>
      <c r="R54" s="240"/>
      <c r="S54" s="240"/>
      <c r="T54" s="240"/>
      <c r="U54" s="241"/>
    </row>
    <row r="55" spans="2:21" s="242" customFormat="1" ht="12.75" customHeight="1" x14ac:dyDescent="0.2">
      <c r="B55" s="197" t="s">
        <v>86</v>
      </c>
      <c r="C55" s="198"/>
      <c r="D55" s="198"/>
      <c r="E55" s="198"/>
      <c r="F55" s="198"/>
      <c r="G55" s="261">
        <f>(1/12)*(G53+1)</f>
        <v>9.7049999999999997E-2</v>
      </c>
      <c r="I55" s="197" t="s">
        <v>86</v>
      </c>
      <c r="J55" s="198"/>
      <c r="K55" s="198"/>
      <c r="L55" s="198"/>
      <c r="M55" s="198"/>
      <c r="N55" s="261">
        <f>(1/12)*(N53+1)</f>
        <v>9.8299999999999998E-2</v>
      </c>
      <c r="P55" s="197" t="s">
        <v>86</v>
      </c>
      <c r="Q55" s="198"/>
      <c r="R55" s="198"/>
      <c r="S55" s="198"/>
      <c r="T55" s="198"/>
      <c r="U55" s="261">
        <f>(1/12)*(U53+1)</f>
        <v>0.10195583333333333</v>
      </c>
    </row>
    <row r="56" spans="2:21" s="242" customFormat="1" ht="12.75" customHeight="1" x14ac:dyDescent="0.2">
      <c r="B56" s="197" t="s">
        <v>87</v>
      </c>
      <c r="C56" s="198"/>
      <c r="D56" s="198"/>
      <c r="E56" s="198"/>
      <c r="F56" s="248">
        <v>14</v>
      </c>
      <c r="G56" s="261">
        <f>(F56/300)*(G53+1)</f>
        <v>5.4348000000000007E-2</v>
      </c>
      <c r="I56" s="197" t="s">
        <v>87</v>
      </c>
      <c r="J56" s="198"/>
      <c r="K56" s="198"/>
      <c r="L56" s="198"/>
      <c r="M56" s="248">
        <v>14</v>
      </c>
      <c r="N56" s="261">
        <f>(M56/300)*(N53+1)</f>
        <v>5.5048E-2</v>
      </c>
      <c r="P56" s="197" t="s">
        <v>87</v>
      </c>
      <c r="Q56" s="198"/>
      <c r="R56" s="198"/>
      <c r="S56" s="198"/>
      <c r="T56" s="248">
        <v>28</v>
      </c>
      <c r="U56" s="261">
        <f>(T56/300)*(U53+1)</f>
        <v>0.11419053333333334</v>
      </c>
    </row>
    <row r="57" spans="2:21" s="242" customFormat="1" ht="12.75" customHeight="1" x14ac:dyDescent="0.2">
      <c r="B57" s="197" t="s">
        <v>15</v>
      </c>
      <c r="C57" s="198"/>
      <c r="D57" s="198"/>
      <c r="E57" s="198"/>
      <c r="F57" s="248">
        <v>10</v>
      </c>
      <c r="G57" s="261">
        <f>(F57/300)*(G53+1)</f>
        <v>3.882E-2</v>
      </c>
      <c r="I57" s="197" t="s">
        <v>15</v>
      </c>
      <c r="J57" s="198"/>
      <c r="K57" s="198"/>
      <c r="L57" s="198"/>
      <c r="M57" s="248">
        <v>5</v>
      </c>
      <c r="N57" s="261">
        <f>(M57/300)*(N53+1)</f>
        <v>1.966E-2</v>
      </c>
      <c r="P57" s="197" t="s">
        <v>15</v>
      </c>
      <c r="Q57" s="198"/>
      <c r="R57" s="198"/>
      <c r="S57" s="198"/>
      <c r="T57" s="248">
        <v>10</v>
      </c>
      <c r="U57" s="261">
        <f>(T57/300)*(U53+1)</f>
        <v>4.0782333333333337E-2</v>
      </c>
    </row>
    <row r="58" spans="2:21" s="242" customFormat="1" ht="12.75" customHeight="1" x14ac:dyDescent="0.2">
      <c r="B58" s="197" t="s">
        <v>16</v>
      </c>
      <c r="C58" s="198"/>
      <c r="D58" s="198"/>
      <c r="E58" s="198"/>
      <c r="F58" s="248">
        <v>5</v>
      </c>
      <c r="G58" s="261">
        <f>(F58/300)*(G53+1)</f>
        <v>1.941E-2</v>
      </c>
      <c r="I58" s="197" t="s">
        <v>16</v>
      </c>
      <c r="J58" s="198"/>
      <c r="K58" s="198"/>
      <c r="L58" s="198"/>
      <c r="M58" s="248">
        <v>5</v>
      </c>
      <c r="N58" s="261">
        <f>(M58/300)*(N53+1)</f>
        <v>1.966E-2</v>
      </c>
      <c r="P58" s="197" t="s">
        <v>16</v>
      </c>
      <c r="Q58" s="198"/>
      <c r="R58" s="198"/>
      <c r="S58" s="198"/>
      <c r="T58" s="248">
        <v>10</v>
      </c>
      <c r="U58" s="261">
        <f>(T58/300)*(U53+1)</f>
        <v>4.0782333333333337E-2</v>
      </c>
    </row>
    <row r="59" spans="2:21" s="242" customFormat="1" ht="12.75" customHeight="1" x14ac:dyDescent="0.2">
      <c r="B59" s="197" t="s">
        <v>17</v>
      </c>
      <c r="C59" s="198"/>
      <c r="D59" s="198"/>
      <c r="E59" s="198"/>
      <c r="F59" s="248">
        <v>5</v>
      </c>
      <c r="G59" s="261">
        <f>(F59/300)*(G53+1)</f>
        <v>1.941E-2</v>
      </c>
      <c r="I59" s="197" t="s">
        <v>17</v>
      </c>
      <c r="J59" s="198"/>
      <c r="K59" s="198"/>
      <c r="L59" s="198"/>
      <c r="M59" s="248">
        <v>5</v>
      </c>
      <c r="N59" s="261">
        <f>(M59/300)*(N53+1)</f>
        <v>1.966E-2</v>
      </c>
      <c r="P59" s="197" t="s">
        <v>17</v>
      </c>
      <c r="Q59" s="198"/>
      <c r="R59" s="198"/>
      <c r="S59" s="198"/>
      <c r="T59" s="248">
        <v>10</v>
      </c>
      <c r="U59" s="261">
        <f>(T59/300)*(U53+1)</f>
        <v>4.0782333333333337E-2</v>
      </c>
    </row>
    <row r="60" spans="2:21" s="242" customFormat="1" ht="12.75" customHeight="1" x14ac:dyDescent="0.2">
      <c r="B60" s="197" t="s">
        <v>133</v>
      </c>
      <c r="C60" s="198"/>
      <c r="D60" s="198"/>
      <c r="E60" s="198"/>
      <c r="F60" s="198"/>
      <c r="G60" s="263">
        <f>1/12</f>
        <v>8.3333333333333329E-2</v>
      </c>
      <c r="I60" s="197" t="s">
        <v>166</v>
      </c>
      <c r="J60" s="198"/>
      <c r="K60" s="198"/>
      <c r="L60" s="198"/>
      <c r="M60" s="198"/>
      <c r="N60" s="263">
        <v>0.12</v>
      </c>
      <c r="P60" s="197" t="s">
        <v>133</v>
      </c>
      <c r="Q60" s="198"/>
      <c r="R60" s="198"/>
      <c r="S60" s="198"/>
      <c r="T60" s="198"/>
      <c r="U60" s="263">
        <f>1/12</f>
        <v>8.3333333333333329E-2</v>
      </c>
    </row>
    <row r="61" spans="2:21" s="242" customFormat="1" x14ac:dyDescent="0.2">
      <c r="B61" s="197"/>
      <c r="C61" s="198"/>
      <c r="D61" s="198"/>
      <c r="E61" s="198"/>
      <c r="F61" s="199"/>
      <c r="G61" s="261">
        <f>SUM(G55:G60)</f>
        <v>0.31237133333333333</v>
      </c>
      <c r="I61" s="197"/>
      <c r="J61" s="198"/>
      <c r="K61" s="198"/>
      <c r="L61" s="198"/>
      <c r="M61" s="199"/>
      <c r="N61" s="261">
        <f>SUM(N55:N60)</f>
        <v>0.33232800000000001</v>
      </c>
      <c r="P61" s="197"/>
      <c r="Q61" s="198"/>
      <c r="R61" s="198"/>
      <c r="S61" s="198"/>
      <c r="T61" s="199"/>
      <c r="U61" s="261">
        <f>SUM(U55:U60)</f>
        <v>0.42182670000000005</v>
      </c>
    </row>
    <row r="62" spans="2:21" s="242" customFormat="1" x14ac:dyDescent="0.2">
      <c r="B62" s="249" t="s">
        <v>64</v>
      </c>
      <c r="C62" s="198"/>
      <c r="D62" s="198"/>
      <c r="E62" s="198"/>
      <c r="F62" s="198"/>
      <c r="G62" s="261">
        <f>G48+G52+G61</f>
        <v>0.4769713333333333</v>
      </c>
      <c r="I62" s="249" t="s">
        <v>64</v>
      </c>
      <c r="J62" s="198"/>
      <c r="K62" s="198"/>
      <c r="L62" s="198"/>
      <c r="M62" s="198"/>
      <c r="N62" s="261">
        <f>N48+N52+N61</f>
        <v>0.51192799999999994</v>
      </c>
      <c r="P62" s="249" t="s">
        <v>64</v>
      </c>
      <c r="Q62" s="198"/>
      <c r="R62" s="198"/>
      <c r="S62" s="198"/>
      <c r="T62" s="198"/>
      <c r="U62" s="261">
        <f>U48+U52+U61</f>
        <v>0.64529670000000006</v>
      </c>
    </row>
    <row r="63" spans="2:21" s="242" customFormat="1" x14ac:dyDescent="0.2">
      <c r="B63" s="201"/>
      <c r="C63" s="201"/>
      <c r="D63" s="201"/>
      <c r="E63" s="417" t="s">
        <v>150</v>
      </c>
      <c r="F63" s="217"/>
      <c r="G63" s="263">
        <f>SUM(G62:G62)</f>
        <v>0.4769713333333333</v>
      </c>
      <c r="I63" s="201"/>
      <c r="J63" s="201"/>
      <c r="K63" s="201"/>
      <c r="L63" s="417" t="s">
        <v>150</v>
      </c>
      <c r="M63" s="217"/>
      <c r="N63" s="263">
        <f>SUM(N62:N62)</f>
        <v>0.51192799999999994</v>
      </c>
      <c r="P63" s="201"/>
      <c r="Q63" s="201"/>
      <c r="R63" s="201"/>
      <c r="S63" s="417" t="s">
        <v>150</v>
      </c>
      <c r="T63" s="217"/>
      <c r="U63" s="263">
        <f>SUM(U62:U62)</f>
        <v>0.64529670000000006</v>
      </c>
    </row>
    <row r="67" spans="2:53" s="302" customFormat="1" ht="15.75" x14ac:dyDescent="0.25">
      <c r="B67" s="379" t="s">
        <v>381</v>
      </c>
      <c r="C67" s="379" t="s">
        <v>384</v>
      </c>
    </row>
    <row r="68" spans="2:53" ht="15.75" x14ac:dyDescent="0.25">
      <c r="B68" s="381" t="s">
        <v>416</v>
      </c>
      <c r="C68" s="381"/>
    </row>
    <row r="69" spans="2:53" ht="15.75" x14ac:dyDescent="0.25">
      <c r="B69" s="381" t="s">
        <v>389</v>
      </c>
      <c r="C69" s="381"/>
    </row>
    <row r="70" spans="2:53" ht="15.75" x14ac:dyDescent="0.25">
      <c r="B70" s="381" t="s">
        <v>390</v>
      </c>
      <c r="C70" s="381"/>
    </row>
    <row r="72" spans="2:53" s="251" customFormat="1" ht="12.75" customHeight="1" x14ac:dyDescent="0.2">
      <c r="B72" s="390" t="s">
        <v>117</v>
      </c>
      <c r="C72" s="217"/>
      <c r="D72" s="217"/>
      <c r="E72" s="217"/>
      <c r="F72" s="260"/>
      <c r="G72" s="250">
        <v>176</v>
      </c>
      <c r="H72" s="250">
        <v>176</v>
      </c>
      <c r="I72" s="250">
        <v>176</v>
      </c>
      <c r="J72" s="250">
        <v>176</v>
      </c>
      <c r="K72" s="250">
        <v>176</v>
      </c>
      <c r="L72" s="250">
        <v>176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</row>
    <row r="73" spans="2:53" s="251" customFormat="1" ht="27.75" customHeight="1" x14ac:dyDescent="0.2">
      <c r="B73" s="260" t="s">
        <v>4</v>
      </c>
      <c r="C73" s="260" t="s">
        <v>41</v>
      </c>
      <c r="D73" s="260" t="s">
        <v>35</v>
      </c>
      <c r="E73" s="260" t="s">
        <v>42</v>
      </c>
      <c r="F73" s="252" t="s">
        <v>113</v>
      </c>
      <c r="G73" s="252" t="s">
        <v>171</v>
      </c>
      <c r="H73" s="252" t="s">
        <v>172</v>
      </c>
      <c r="I73" s="252" t="s">
        <v>173</v>
      </c>
      <c r="J73" s="252"/>
      <c r="K73" s="252"/>
      <c r="L73" s="252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</row>
    <row r="74" spans="2:53" s="251" customFormat="1" x14ac:dyDescent="0.2">
      <c r="B74" s="383" t="s">
        <v>252</v>
      </c>
      <c r="C74" s="384">
        <v>3</v>
      </c>
      <c r="D74" s="384" t="s">
        <v>35</v>
      </c>
      <c r="E74" s="385">
        <v>235</v>
      </c>
      <c r="F74" s="386">
        <f>C74*E74</f>
        <v>705</v>
      </c>
      <c r="G74" s="253" t="s">
        <v>114</v>
      </c>
      <c r="H74" s="235" t="s">
        <v>153</v>
      </c>
      <c r="I74" s="254" t="s">
        <v>114</v>
      </c>
      <c r="J74" s="254"/>
      <c r="K74" s="254"/>
      <c r="L74" s="254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</row>
    <row r="75" spans="2:53" s="251" customFormat="1" x14ac:dyDescent="0.2">
      <c r="B75" s="224" t="s">
        <v>253</v>
      </c>
      <c r="C75" s="206">
        <v>3</v>
      </c>
      <c r="D75" s="206" t="s">
        <v>35</v>
      </c>
      <c r="E75" s="227">
        <v>147</v>
      </c>
      <c r="F75" s="236">
        <f>C75*E75</f>
        <v>441</v>
      </c>
      <c r="G75" s="255" t="s">
        <v>114</v>
      </c>
      <c r="H75" s="238" t="s">
        <v>153</v>
      </c>
      <c r="I75" s="254" t="s">
        <v>114</v>
      </c>
      <c r="J75" s="254"/>
      <c r="K75" s="254"/>
      <c r="L75" s="254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</row>
    <row r="76" spans="2:53" s="251" customFormat="1" x14ac:dyDescent="0.2">
      <c r="B76" s="224" t="s">
        <v>254</v>
      </c>
      <c r="C76" s="206">
        <v>3</v>
      </c>
      <c r="D76" s="206" t="s">
        <v>266</v>
      </c>
      <c r="E76" s="227">
        <v>316.87</v>
      </c>
      <c r="F76" s="236">
        <f>C76*E76</f>
        <v>950.61</v>
      </c>
      <c r="G76" s="255" t="s">
        <v>114</v>
      </c>
      <c r="H76" s="238" t="s">
        <v>153</v>
      </c>
      <c r="I76" s="254" t="s">
        <v>114</v>
      </c>
      <c r="J76" s="254"/>
      <c r="K76" s="254"/>
      <c r="L76" s="254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</row>
    <row r="77" spans="2:53" s="251" customFormat="1" x14ac:dyDescent="0.2">
      <c r="B77" s="224" t="s">
        <v>255</v>
      </c>
      <c r="C77" s="206">
        <v>3</v>
      </c>
      <c r="D77" s="206" t="s">
        <v>35</v>
      </c>
      <c r="E77" s="227">
        <v>263.60000000000002</v>
      </c>
      <c r="F77" s="236">
        <f t="shared" ref="F77:F85" si="0">C77*E77</f>
        <v>790.80000000000007</v>
      </c>
      <c r="G77" s="255" t="s">
        <v>114</v>
      </c>
      <c r="H77" s="238" t="s">
        <v>153</v>
      </c>
      <c r="I77" s="254" t="s">
        <v>114</v>
      </c>
      <c r="J77" s="254"/>
      <c r="K77" s="254"/>
      <c r="L77" s="254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</row>
    <row r="78" spans="2:53" s="251" customFormat="1" x14ac:dyDescent="0.2">
      <c r="B78" s="224" t="s">
        <v>256</v>
      </c>
      <c r="C78" s="206">
        <v>3</v>
      </c>
      <c r="D78" s="206" t="s">
        <v>35</v>
      </c>
      <c r="E78" s="227">
        <v>88.3</v>
      </c>
      <c r="F78" s="236">
        <f t="shared" si="0"/>
        <v>264.89999999999998</v>
      </c>
      <c r="G78" s="255" t="s">
        <v>114</v>
      </c>
      <c r="H78" s="238" t="s">
        <v>153</v>
      </c>
      <c r="I78" s="254" t="s">
        <v>114</v>
      </c>
      <c r="J78" s="254"/>
      <c r="K78" s="254"/>
      <c r="L78" s="254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</row>
    <row r="79" spans="2:53" s="251" customFormat="1" x14ac:dyDescent="0.2">
      <c r="B79" s="224" t="s">
        <v>257</v>
      </c>
      <c r="C79" s="206">
        <v>3</v>
      </c>
      <c r="D79" s="206" t="s">
        <v>35</v>
      </c>
      <c r="E79" s="227">
        <v>73</v>
      </c>
      <c r="F79" s="236">
        <f t="shared" si="0"/>
        <v>219</v>
      </c>
      <c r="G79" s="255" t="s">
        <v>114</v>
      </c>
      <c r="H79" s="238" t="s">
        <v>153</v>
      </c>
      <c r="I79" s="254" t="s">
        <v>114</v>
      </c>
      <c r="J79" s="254"/>
      <c r="K79" s="254"/>
      <c r="L79" s="254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</row>
    <row r="80" spans="2:53" s="251" customFormat="1" x14ac:dyDescent="0.2">
      <c r="B80" s="224" t="s">
        <v>258</v>
      </c>
      <c r="C80" s="206">
        <v>262</v>
      </c>
      <c r="D80" s="206" t="s">
        <v>35</v>
      </c>
      <c r="E80" s="227">
        <v>4.5</v>
      </c>
      <c r="F80" s="236">
        <f t="shared" si="0"/>
        <v>1179</v>
      </c>
      <c r="G80" s="255" t="s">
        <v>114</v>
      </c>
      <c r="H80" s="238" t="s">
        <v>153</v>
      </c>
      <c r="I80" s="254" t="s">
        <v>114</v>
      </c>
      <c r="J80" s="254"/>
      <c r="K80" s="254"/>
      <c r="L80" s="254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</row>
    <row r="81" spans="2:53" s="251" customFormat="1" x14ac:dyDescent="0.2">
      <c r="B81" s="224" t="s">
        <v>259</v>
      </c>
      <c r="C81" s="206">
        <v>48</v>
      </c>
      <c r="D81" s="206" t="s">
        <v>35</v>
      </c>
      <c r="E81" s="227">
        <v>12.295</v>
      </c>
      <c r="F81" s="236">
        <f t="shared" si="0"/>
        <v>590.16</v>
      </c>
      <c r="G81" s="255" t="s">
        <v>114</v>
      </c>
      <c r="H81" s="238" t="s">
        <v>153</v>
      </c>
      <c r="I81" s="254" t="s">
        <v>114</v>
      </c>
      <c r="J81" s="254"/>
      <c r="K81" s="254"/>
      <c r="L81" s="254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</row>
    <row r="82" spans="2:53" s="251" customFormat="1" x14ac:dyDescent="0.2">
      <c r="B82" s="224" t="s">
        <v>260</v>
      </c>
      <c r="C82" s="206">
        <v>96</v>
      </c>
      <c r="D82" s="206" t="s">
        <v>266</v>
      </c>
      <c r="E82" s="227">
        <v>8.9</v>
      </c>
      <c r="F82" s="236">
        <f t="shared" si="0"/>
        <v>854.40000000000009</v>
      </c>
      <c r="G82" s="255" t="s">
        <v>114</v>
      </c>
      <c r="H82" s="238" t="s">
        <v>153</v>
      </c>
      <c r="I82" s="254" t="s">
        <v>114</v>
      </c>
      <c r="J82" s="254"/>
      <c r="K82" s="254"/>
      <c r="L82" s="254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</row>
    <row r="83" spans="2:53" s="251" customFormat="1" x14ac:dyDescent="0.2">
      <c r="B83" s="224" t="s">
        <v>261</v>
      </c>
      <c r="C83" s="206">
        <v>120</v>
      </c>
      <c r="D83" s="206" t="s">
        <v>266</v>
      </c>
      <c r="E83" s="227">
        <v>2.2000000000000002</v>
      </c>
      <c r="F83" s="236">
        <f t="shared" si="0"/>
        <v>264</v>
      </c>
      <c r="G83" s="255" t="s">
        <v>114</v>
      </c>
      <c r="H83" s="238" t="s">
        <v>153</v>
      </c>
      <c r="I83" s="254" t="s">
        <v>114</v>
      </c>
      <c r="J83" s="254"/>
      <c r="K83" s="254"/>
      <c r="L83" s="254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</row>
    <row r="84" spans="2:53" s="251" customFormat="1" x14ac:dyDescent="0.2">
      <c r="B84" s="224" t="s">
        <v>262</v>
      </c>
      <c r="C84" s="206">
        <v>48</v>
      </c>
      <c r="D84" s="206" t="s">
        <v>266</v>
      </c>
      <c r="E84" s="227">
        <v>22</v>
      </c>
      <c r="F84" s="236">
        <f t="shared" si="0"/>
        <v>1056</v>
      </c>
      <c r="G84" s="255" t="s">
        <v>114</v>
      </c>
      <c r="H84" s="238" t="s">
        <v>153</v>
      </c>
      <c r="I84" s="254" t="s">
        <v>114</v>
      </c>
      <c r="J84" s="254"/>
      <c r="K84" s="254"/>
      <c r="L84" s="254"/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</row>
    <row r="85" spans="2:53" s="251" customFormat="1" x14ac:dyDescent="0.2">
      <c r="B85" s="224" t="s">
        <v>263</v>
      </c>
      <c r="C85" s="206">
        <v>6</v>
      </c>
      <c r="D85" s="206" t="s">
        <v>35</v>
      </c>
      <c r="E85" s="227">
        <v>28.4</v>
      </c>
      <c r="F85" s="236">
        <f t="shared" si="0"/>
        <v>170.39999999999998</v>
      </c>
      <c r="G85" s="255" t="s">
        <v>114</v>
      </c>
      <c r="H85" s="238" t="s">
        <v>153</v>
      </c>
      <c r="I85" s="254" t="s">
        <v>114</v>
      </c>
      <c r="J85" s="254"/>
      <c r="K85" s="254"/>
      <c r="L85" s="254"/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</row>
    <row r="86" spans="2:53" s="251" customFormat="1" x14ac:dyDescent="0.2">
      <c r="B86" s="224" t="s">
        <v>264</v>
      </c>
      <c r="C86" s="206">
        <v>3.6</v>
      </c>
      <c r="D86" s="206" t="s">
        <v>35</v>
      </c>
      <c r="E86" s="227">
        <v>30.22</v>
      </c>
      <c r="F86" s="236">
        <f>C86*E86</f>
        <v>108.792</v>
      </c>
      <c r="G86" s="255" t="s">
        <v>114</v>
      </c>
      <c r="H86" s="238" t="s">
        <v>153</v>
      </c>
      <c r="I86" s="254" t="s">
        <v>114</v>
      </c>
      <c r="J86" s="254"/>
      <c r="K86" s="254"/>
      <c r="L86" s="254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</row>
    <row r="87" spans="2:53" s="251" customFormat="1" x14ac:dyDescent="0.2">
      <c r="B87" s="224" t="s">
        <v>265</v>
      </c>
      <c r="C87" s="206">
        <v>3.6</v>
      </c>
      <c r="D87" s="206" t="s">
        <v>35</v>
      </c>
      <c r="E87" s="227">
        <v>73.87</v>
      </c>
      <c r="F87" s="236">
        <f>C87*E87</f>
        <v>265.93200000000002</v>
      </c>
      <c r="G87" s="255" t="s">
        <v>114</v>
      </c>
      <c r="H87" s="238" t="s">
        <v>153</v>
      </c>
      <c r="I87" s="254" t="s">
        <v>114</v>
      </c>
      <c r="J87" s="254"/>
      <c r="K87" s="254"/>
      <c r="L87" s="254"/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</row>
    <row r="88" spans="2:53" s="251" customFormat="1" x14ac:dyDescent="0.2">
      <c r="B88" s="224"/>
      <c r="C88" s="206"/>
      <c r="D88" s="206"/>
      <c r="E88" s="227"/>
      <c r="F88" s="236"/>
      <c r="G88" s="255" t="s">
        <v>114</v>
      </c>
      <c r="H88" s="238" t="s">
        <v>153</v>
      </c>
      <c r="I88" s="254" t="s">
        <v>114</v>
      </c>
      <c r="J88" s="254"/>
      <c r="K88" s="254"/>
      <c r="L88" s="254"/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</row>
    <row r="89" spans="2:53" s="251" customFormat="1" x14ac:dyDescent="0.2">
      <c r="B89" s="224"/>
      <c r="C89" s="206"/>
      <c r="D89" s="206"/>
      <c r="E89" s="227"/>
      <c r="F89" s="236"/>
      <c r="G89" s="255"/>
      <c r="H89" s="238"/>
      <c r="I89" s="254"/>
      <c r="J89" s="254"/>
      <c r="K89" s="254"/>
      <c r="L89" s="254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</row>
    <row r="90" spans="2:53" s="251" customFormat="1" x14ac:dyDescent="0.2">
      <c r="B90" s="224"/>
      <c r="C90" s="256"/>
      <c r="D90" s="217"/>
      <c r="E90" s="257" t="s">
        <v>115</v>
      </c>
      <c r="F90" s="387"/>
      <c r="G90" s="265">
        <f>SUMIF(G74:G89,"si",F74:F89)</f>
        <v>7859.9940000000006</v>
      </c>
      <c r="H90" s="265">
        <f>SUMIF(H74:H89,"si",F74:F89)</f>
        <v>0</v>
      </c>
      <c r="I90" s="265">
        <f>SUMIF(I74:I89,"si",$F74:$F89)</f>
        <v>7859.9940000000006</v>
      </c>
      <c r="J90" s="265">
        <f>SUMIF(J74:J89,"si",$F74:$F89)</f>
        <v>0</v>
      </c>
      <c r="K90" s="265">
        <f>SUMIF(K74:K89,"si",$F74:$F89)</f>
        <v>0</v>
      </c>
      <c r="L90" s="265">
        <f>SUMIF(L74:L89,"si",$F74:$F89)</f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</row>
    <row r="91" spans="2:53" s="251" customFormat="1" x14ac:dyDescent="0.2">
      <c r="B91" s="258"/>
      <c r="C91" s="388"/>
      <c r="D91" s="388"/>
      <c r="E91" s="257" t="s">
        <v>116</v>
      </c>
      <c r="F91" s="389"/>
      <c r="G91" s="265">
        <f t="shared" ref="G91:L91" si="1">(G90/12)/G72</f>
        <v>3.7215880681818181</v>
      </c>
      <c r="H91" s="265">
        <f t="shared" si="1"/>
        <v>0</v>
      </c>
      <c r="I91" s="265">
        <f t="shared" si="1"/>
        <v>3.7215880681818181</v>
      </c>
      <c r="J91" s="265">
        <f t="shared" si="1"/>
        <v>0</v>
      </c>
      <c r="K91" s="265">
        <f t="shared" si="1"/>
        <v>0</v>
      </c>
      <c r="L91" s="26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</row>
    <row r="92" spans="2:53" s="251" customFormat="1" x14ac:dyDescent="0.2">
      <c r="B92" s="206"/>
      <c r="C92" s="206"/>
      <c r="D92" s="206"/>
      <c r="E92" s="206"/>
      <c r="F92" s="227"/>
      <c r="G92" s="206"/>
      <c r="H92" s="206"/>
      <c r="I92" s="206"/>
      <c r="J92" s="227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</row>
    <row r="93" spans="2:53" s="251" customFormat="1" x14ac:dyDescent="0.2">
      <c r="B93" s="206"/>
      <c r="C93" s="206"/>
      <c r="D93" s="206"/>
      <c r="E93" s="206"/>
      <c r="F93" s="227"/>
      <c r="G93" s="259" t="s">
        <v>148</v>
      </c>
      <c r="H93" s="217"/>
      <c r="I93" s="217"/>
      <c r="J93" s="217"/>
      <c r="K93" s="217"/>
      <c r="L93" s="217"/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</row>
    <row r="94" spans="2:53" s="251" customFormat="1" ht="13.5" customHeight="1" x14ac:dyDescent="0.2">
      <c r="B94" s="209" t="s">
        <v>162</v>
      </c>
      <c r="C94" s="210"/>
      <c r="D94" s="210"/>
      <c r="E94" s="210"/>
      <c r="F94" s="210"/>
      <c r="G94" s="250">
        <v>176</v>
      </c>
      <c r="H94" s="250">
        <v>176</v>
      </c>
      <c r="I94" s="250">
        <v>176</v>
      </c>
      <c r="J94" s="250">
        <v>176</v>
      </c>
      <c r="K94" s="250">
        <v>176</v>
      </c>
      <c r="L94" s="250">
        <v>176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</row>
    <row r="95" spans="2:53" s="251" customFormat="1" ht="29.25" customHeight="1" x14ac:dyDescent="0.2">
      <c r="B95" s="260" t="s">
        <v>4</v>
      </c>
      <c r="C95" s="418"/>
      <c r="D95" s="418"/>
      <c r="E95" s="260" t="s">
        <v>161</v>
      </c>
      <c r="F95" s="260" t="s">
        <v>113</v>
      </c>
      <c r="G95" s="252" t="s">
        <v>171</v>
      </c>
      <c r="H95" s="252" t="s">
        <v>172</v>
      </c>
      <c r="I95" s="252"/>
      <c r="J95" s="252"/>
      <c r="K95" s="252"/>
      <c r="L95" s="252"/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</row>
    <row r="96" spans="2:53" s="251" customFormat="1" x14ac:dyDescent="0.2">
      <c r="B96" s="224" t="s">
        <v>174</v>
      </c>
      <c r="C96" s="206"/>
      <c r="D96" s="227"/>
      <c r="E96" s="227"/>
      <c r="F96" s="236"/>
      <c r="G96" s="238"/>
      <c r="H96" s="238"/>
      <c r="I96" s="254"/>
      <c r="J96" s="254"/>
      <c r="K96" s="254"/>
      <c r="L96" s="254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</row>
    <row r="97" spans="2:52" s="251" customFormat="1" x14ac:dyDescent="0.2">
      <c r="B97" s="224" t="s">
        <v>57</v>
      </c>
      <c r="C97" s="206"/>
      <c r="D97" s="227"/>
      <c r="E97" s="227">
        <v>0.6</v>
      </c>
      <c r="F97" s="236">
        <f>E97*12</f>
        <v>7.1999999999999993</v>
      </c>
      <c r="G97" s="238" t="s">
        <v>114</v>
      </c>
      <c r="H97" s="238" t="s">
        <v>153</v>
      </c>
      <c r="I97" s="254"/>
      <c r="J97" s="254"/>
      <c r="K97" s="254"/>
      <c r="L97" s="254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</row>
    <row r="98" spans="2:52" s="251" customFormat="1" x14ac:dyDescent="0.2">
      <c r="B98" s="224" t="s">
        <v>56</v>
      </c>
      <c r="C98" s="206"/>
      <c r="D98" s="227"/>
      <c r="E98" s="227">
        <v>2.46</v>
      </c>
      <c r="F98" s="236">
        <f>E98*12</f>
        <v>29.52</v>
      </c>
      <c r="G98" s="238" t="s">
        <v>114</v>
      </c>
      <c r="H98" s="238" t="s">
        <v>153</v>
      </c>
      <c r="I98" s="254"/>
      <c r="J98" s="254"/>
      <c r="K98" s="254"/>
      <c r="L98" s="254"/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</row>
    <row r="99" spans="2:52" s="251" customFormat="1" x14ac:dyDescent="0.2">
      <c r="B99" s="224"/>
      <c r="C99" s="206"/>
      <c r="D99" s="227"/>
      <c r="E99" s="227"/>
      <c r="F99" s="236"/>
      <c r="G99" s="238"/>
      <c r="H99" s="238"/>
      <c r="I99" s="254"/>
      <c r="J99" s="254"/>
      <c r="K99" s="254"/>
      <c r="L99" s="254"/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</row>
    <row r="100" spans="2:52" s="251" customFormat="1" x14ac:dyDescent="0.2">
      <c r="B100" s="224" t="s">
        <v>7</v>
      </c>
      <c r="C100" s="206"/>
      <c r="D100" s="227"/>
      <c r="E100" s="206"/>
      <c r="F100" s="236"/>
      <c r="G100" s="238"/>
      <c r="H100" s="238"/>
      <c r="I100" s="254"/>
      <c r="J100" s="254"/>
      <c r="K100" s="254"/>
      <c r="L100" s="254"/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</row>
    <row r="101" spans="2:52" s="251" customFormat="1" x14ac:dyDescent="0.2">
      <c r="B101" s="224"/>
      <c r="C101" s="206"/>
      <c r="D101" s="227"/>
      <c r="E101" s="227"/>
      <c r="F101" s="236"/>
      <c r="G101" s="238"/>
      <c r="H101" s="238"/>
      <c r="I101" s="254"/>
      <c r="J101" s="254"/>
      <c r="K101" s="254"/>
      <c r="L101" s="254"/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</row>
    <row r="102" spans="2:52" s="251" customFormat="1" x14ac:dyDescent="0.2">
      <c r="B102" s="224" t="s">
        <v>55</v>
      </c>
      <c r="C102" s="206"/>
      <c r="D102" s="206"/>
      <c r="E102" s="206"/>
      <c r="F102" s="236"/>
      <c r="G102" s="238"/>
      <c r="H102" s="238"/>
      <c r="I102" s="254"/>
      <c r="J102" s="254"/>
      <c r="K102" s="254"/>
      <c r="L102" s="254"/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</row>
    <row r="103" spans="2:52" s="251" customFormat="1" x14ac:dyDescent="0.2">
      <c r="B103" s="224"/>
      <c r="C103" s="206"/>
      <c r="D103" s="206"/>
      <c r="E103" s="206"/>
      <c r="F103" s="236"/>
      <c r="G103" s="238"/>
      <c r="H103" s="238"/>
      <c r="I103" s="254"/>
      <c r="J103" s="254"/>
      <c r="K103" s="254"/>
      <c r="L103" s="254"/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</row>
    <row r="104" spans="2:52" s="251" customFormat="1" x14ac:dyDescent="0.2">
      <c r="B104" s="224"/>
      <c r="C104" s="206"/>
      <c r="D104" s="206"/>
      <c r="E104" s="206"/>
      <c r="F104" s="236"/>
      <c r="G104" s="238"/>
      <c r="H104" s="238"/>
      <c r="I104" s="254"/>
      <c r="J104" s="254"/>
      <c r="K104" s="254"/>
      <c r="L104" s="254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</row>
    <row r="105" spans="2:52" s="251" customFormat="1" x14ac:dyDescent="0.2">
      <c r="B105" s="224" t="s">
        <v>175</v>
      </c>
      <c r="C105" s="227"/>
      <c r="D105" s="227"/>
      <c r="E105" s="206"/>
      <c r="F105" s="236">
        <v>500</v>
      </c>
      <c r="G105" s="238" t="s">
        <v>114</v>
      </c>
      <c r="H105" s="238" t="s">
        <v>153</v>
      </c>
      <c r="I105" s="254"/>
      <c r="J105" s="254"/>
      <c r="K105" s="254"/>
      <c r="L105" s="254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</row>
    <row r="106" spans="2:52" s="251" customFormat="1" x14ac:dyDescent="0.2">
      <c r="B106" s="224"/>
      <c r="C106" s="227"/>
      <c r="D106" s="227"/>
      <c r="E106" s="206"/>
      <c r="F106" s="236"/>
      <c r="G106" s="238"/>
      <c r="H106" s="238"/>
      <c r="I106" s="254"/>
      <c r="J106" s="254"/>
      <c r="K106" s="254"/>
      <c r="L106" s="254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</row>
    <row r="107" spans="2:52" s="251" customFormat="1" x14ac:dyDescent="0.2">
      <c r="B107" s="224"/>
      <c r="C107" s="227"/>
      <c r="D107" s="227"/>
      <c r="E107" s="206"/>
      <c r="F107" s="236"/>
      <c r="G107" s="238"/>
      <c r="H107" s="238"/>
      <c r="I107" s="254"/>
      <c r="J107" s="254"/>
      <c r="K107" s="254"/>
      <c r="L107" s="254"/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</row>
    <row r="108" spans="2:52" s="251" customFormat="1" x14ac:dyDescent="0.2">
      <c r="B108" s="224" t="s">
        <v>165</v>
      </c>
      <c r="C108" s="227"/>
      <c r="D108" s="227"/>
      <c r="E108" s="206"/>
      <c r="F108" s="236"/>
      <c r="G108" s="238"/>
      <c r="H108" s="238"/>
      <c r="I108" s="254"/>
      <c r="J108" s="254"/>
      <c r="K108" s="254"/>
      <c r="L108" s="254"/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</row>
    <row r="109" spans="2:52" s="251" customFormat="1" x14ac:dyDescent="0.2">
      <c r="B109" s="224"/>
      <c r="C109" s="227"/>
      <c r="D109" s="227"/>
      <c r="E109" s="206"/>
      <c r="F109" s="236"/>
      <c r="G109" s="238"/>
      <c r="H109" s="238"/>
      <c r="I109" s="254"/>
      <c r="J109" s="254"/>
      <c r="K109" s="254"/>
      <c r="L109" s="254"/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</row>
    <row r="110" spans="2:52" s="251" customFormat="1" x14ac:dyDescent="0.2">
      <c r="B110" s="224"/>
      <c r="C110" s="206"/>
      <c r="D110" s="206"/>
      <c r="E110" s="257" t="s">
        <v>115</v>
      </c>
      <c r="F110" s="387"/>
      <c r="G110" s="266">
        <f>SUMIF(G96:G109,"si",F96:F109)</f>
        <v>536.72</v>
      </c>
      <c r="H110" s="266">
        <f>SUMIF(H96:H109,"si",F96:F109)</f>
        <v>0</v>
      </c>
      <c r="I110" s="266">
        <f ca="1">SUMIF(I96:I109,"si",$F$86:$F$89)</f>
        <v>0</v>
      </c>
      <c r="J110" s="266">
        <f ca="1">SUMIF(J96:J109,"si",$F$86:$F$89)</f>
        <v>0</v>
      </c>
      <c r="K110" s="266">
        <f ca="1">SUMIF(K96:K109,"si",$F$86:$F$89)</f>
        <v>0</v>
      </c>
      <c r="L110" s="266">
        <f ca="1">SUMIF(L96:L109,"si",$F$86:$F$89)</f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</row>
    <row r="111" spans="2:52" s="251" customFormat="1" x14ac:dyDescent="0.2">
      <c r="B111" s="258"/>
      <c r="C111" s="216"/>
      <c r="D111" s="216"/>
      <c r="E111" s="257" t="s">
        <v>116</v>
      </c>
      <c r="F111" s="389"/>
      <c r="G111" s="265">
        <f t="shared" ref="G111:L111" si="2">(G110/12)/G94</f>
        <v>0.2541287878787879</v>
      </c>
      <c r="H111" s="265">
        <f t="shared" si="2"/>
        <v>0</v>
      </c>
      <c r="I111" s="265">
        <f t="shared" ca="1" si="2"/>
        <v>0</v>
      </c>
      <c r="J111" s="265">
        <f t="shared" ca="1" si="2"/>
        <v>0</v>
      </c>
      <c r="K111" s="265">
        <f t="shared" ca="1" si="2"/>
        <v>0</v>
      </c>
      <c r="L111" s="265">
        <f t="shared" ca="1" si="2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</row>
    <row r="115" spans="2:23" s="302" customFormat="1" ht="15.75" x14ac:dyDescent="0.25">
      <c r="B115" s="379" t="s">
        <v>385</v>
      </c>
      <c r="C115" s="379" t="s">
        <v>386</v>
      </c>
    </row>
    <row r="116" spans="2:23" ht="15.75" x14ac:dyDescent="0.25">
      <c r="B116" s="381" t="s">
        <v>418</v>
      </c>
      <c r="C116" s="381"/>
    </row>
    <row r="117" spans="2:23" ht="15.75" x14ac:dyDescent="0.25">
      <c r="B117" s="381" t="s">
        <v>419</v>
      </c>
      <c r="C117" s="381"/>
    </row>
    <row r="119" spans="2:23" s="206" customFormat="1" ht="12.75" customHeight="1" x14ac:dyDescent="0.2">
      <c r="B119" s="213" t="s">
        <v>69</v>
      </c>
      <c r="C119" s="213" t="s">
        <v>167</v>
      </c>
      <c r="D119" s="213" t="s">
        <v>70</v>
      </c>
      <c r="E119" s="213" t="s">
        <v>33</v>
      </c>
      <c r="F119" s="213" t="s">
        <v>104</v>
      </c>
      <c r="G119" s="213" t="s">
        <v>25</v>
      </c>
      <c r="H119" s="213" t="s">
        <v>26</v>
      </c>
      <c r="I119" s="213" t="s">
        <v>27</v>
      </c>
      <c r="J119" s="213" t="s">
        <v>99</v>
      </c>
      <c r="K119" s="213" t="s">
        <v>28</v>
      </c>
      <c r="L119" s="213" t="s">
        <v>168</v>
      </c>
      <c r="M119" s="213" t="s">
        <v>95</v>
      </c>
      <c r="N119" s="268" t="s">
        <v>71</v>
      </c>
      <c r="O119" s="269" t="s">
        <v>76</v>
      </c>
      <c r="P119" s="427" t="s">
        <v>20</v>
      </c>
      <c r="Q119" s="217"/>
      <c r="R119" s="217"/>
      <c r="S119" s="427" t="s">
        <v>21</v>
      </c>
      <c r="T119" s="217"/>
      <c r="U119" s="217"/>
      <c r="V119" s="213" t="s">
        <v>85</v>
      </c>
      <c r="W119" s="269" t="s">
        <v>74</v>
      </c>
    </row>
    <row r="120" spans="2:23" s="206" customFormat="1" ht="27.75" x14ac:dyDescent="0.2">
      <c r="B120" s="419"/>
      <c r="C120" s="418"/>
      <c r="D120" s="418"/>
      <c r="E120" s="418"/>
      <c r="F120" s="418"/>
      <c r="G120" s="418"/>
      <c r="H120" s="418"/>
      <c r="I120" s="418"/>
      <c r="J120" s="418"/>
      <c r="K120" s="418"/>
      <c r="L120" s="418"/>
      <c r="M120" s="418"/>
      <c r="N120" s="418"/>
      <c r="O120" s="418"/>
      <c r="P120" s="428" t="s">
        <v>75</v>
      </c>
      <c r="Q120" s="428" t="s">
        <v>72</v>
      </c>
      <c r="R120" s="428" t="s">
        <v>74</v>
      </c>
      <c r="S120" s="428" t="s">
        <v>29</v>
      </c>
      <c r="T120" s="428" t="s">
        <v>73</v>
      </c>
      <c r="U120" s="428" t="s">
        <v>74</v>
      </c>
      <c r="V120" s="418"/>
      <c r="W120" s="420"/>
    </row>
    <row r="121" spans="2:23" s="206" customFormat="1" x14ac:dyDescent="0.2">
      <c r="B121" s="224" t="s">
        <v>296</v>
      </c>
      <c r="C121" s="206">
        <v>1</v>
      </c>
      <c r="D121" s="207">
        <v>2010</v>
      </c>
      <c r="E121" s="421">
        <v>2742.2222222222222</v>
      </c>
      <c r="F121" s="207">
        <v>60</v>
      </c>
      <c r="G121" s="421">
        <f>E121*0</f>
        <v>0</v>
      </c>
      <c r="H121" s="272">
        <f>+(E121-G121)/F121</f>
        <v>45.703703703703702</v>
      </c>
      <c r="I121" s="54"/>
      <c r="J121" s="54">
        <v>4.7</v>
      </c>
      <c r="K121" s="54">
        <f>+E121*0.0015</f>
        <v>4.1133333333333333</v>
      </c>
      <c r="L121" s="54">
        <f>11.75+23.5</f>
        <v>35.25</v>
      </c>
      <c r="M121" s="272">
        <f>SUM(H121:L121)</f>
        <v>89.767037037037042</v>
      </c>
      <c r="N121" s="207">
        <v>176</v>
      </c>
      <c r="O121" s="270">
        <f>M121/N121</f>
        <v>0.51003998316498322</v>
      </c>
      <c r="P121" s="54"/>
      <c r="Q121" s="271"/>
      <c r="R121" s="272">
        <f>P121*Q121</f>
        <v>0</v>
      </c>
      <c r="S121" s="273">
        <v>0</v>
      </c>
      <c r="T121" s="422">
        <v>60000</v>
      </c>
      <c r="U121" s="272">
        <f>S121/T121</f>
        <v>0</v>
      </c>
      <c r="V121" s="272">
        <v>0</v>
      </c>
      <c r="W121" s="270">
        <f>R121+U121+V121</f>
        <v>0</v>
      </c>
    </row>
    <row r="122" spans="2:23" s="206" customFormat="1" x14ac:dyDescent="0.2">
      <c r="B122" s="224" t="s">
        <v>297</v>
      </c>
      <c r="C122" s="206">
        <v>1</v>
      </c>
      <c r="D122" s="207">
        <v>2010</v>
      </c>
      <c r="E122" s="421">
        <v>8466.98</v>
      </c>
      <c r="F122" s="207">
        <v>60</v>
      </c>
      <c r="G122" s="421">
        <f>E122*0</f>
        <v>0</v>
      </c>
      <c r="H122" s="272">
        <f>+(E122-G122)/F122</f>
        <v>141.11633333333333</v>
      </c>
      <c r="I122" s="54"/>
      <c r="J122" s="54">
        <v>2</v>
      </c>
      <c r="K122" s="54">
        <f>+E122*0.0015</f>
        <v>12.700469999999999</v>
      </c>
      <c r="L122" s="54">
        <f>5+10</f>
        <v>15</v>
      </c>
      <c r="M122" s="272">
        <f>SUM(H122:L122)</f>
        <v>170.81680333333333</v>
      </c>
      <c r="N122" s="207">
        <v>176</v>
      </c>
      <c r="O122" s="270">
        <f>M122/N122</f>
        <v>0.97055001893939385</v>
      </c>
      <c r="P122" s="54"/>
      <c r="Q122" s="271"/>
      <c r="R122" s="272">
        <f>P122*Q122</f>
        <v>0</v>
      </c>
      <c r="S122" s="273">
        <v>0</v>
      </c>
      <c r="T122" s="422">
        <v>60000</v>
      </c>
      <c r="U122" s="272">
        <f>S122/T122</f>
        <v>0</v>
      </c>
      <c r="V122" s="272">
        <v>0</v>
      </c>
      <c r="W122" s="270">
        <f>R122+U122+V122</f>
        <v>0</v>
      </c>
    </row>
    <row r="123" spans="2:23" s="206" customFormat="1" x14ac:dyDescent="0.2">
      <c r="B123" s="224" t="s">
        <v>298</v>
      </c>
      <c r="C123" s="423">
        <v>1.1667000000000001</v>
      </c>
      <c r="D123" s="207">
        <v>2010</v>
      </c>
      <c r="E123" s="421">
        <v>105193.44536271809</v>
      </c>
      <c r="F123" s="207">
        <v>60</v>
      </c>
      <c r="G123" s="421">
        <f>E123*0.3</f>
        <v>31558.033608815425</v>
      </c>
      <c r="H123" s="272">
        <f>+(E123-G123)/F123</f>
        <v>1227.2568625650445</v>
      </c>
      <c r="I123" s="54">
        <f>184.62*0.625</f>
        <v>115.3875</v>
      </c>
      <c r="J123" s="54">
        <f>184.62*0.375</f>
        <v>69.232500000000002</v>
      </c>
      <c r="K123" s="54">
        <f>+E123*0.0015</f>
        <v>157.79016804407715</v>
      </c>
      <c r="L123" s="54"/>
      <c r="M123" s="272">
        <f>SUM(H123:L123)</f>
        <v>1569.6670306091216</v>
      </c>
      <c r="N123" s="207">
        <v>176</v>
      </c>
      <c r="O123" s="270">
        <f>M123/N123</f>
        <v>8.9185626739154635</v>
      </c>
      <c r="P123" s="54">
        <v>5.27</v>
      </c>
      <c r="Q123" s="271">
        <f>(1/8)*1.0532</f>
        <v>0.13164999999999999</v>
      </c>
      <c r="R123" s="272">
        <f>P123*Q123</f>
        <v>0.6937954999999999</v>
      </c>
      <c r="S123" s="273">
        <f>650*4</f>
        <v>2600</v>
      </c>
      <c r="T123" s="422">
        <v>60000</v>
      </c>
      <c r="U123" s="274">
        <f>S123/T123</f>
        <v>4.3333333333333335E-2</v>
      </c>
      <c r="V123" s="272">
        <f>+J132</f>
        <v>0.19787272727272728</v>
      </c>
      <c r="W123" s="270">
        <f>R123+U123+V123</f>
        <v>0.93500156060606054</v>
      </c>
    </row>
    <row r="124" spans="2:23" s="206" customFormat="1" x14ac:dyDescent="0.2">
      <c r="B124" s="224"/>
      <c r="D124" s="207"/>
      <c r="E124" s="276"/>
      <c r="F124" s="207"/>
      <c r="G124" s="276"/>
      <c r="H124" s="424"/>
      <c r="I124" s="276"/>
      <c r="J124" s="276"/>
      <c r="K124" s="276"/>
      <c r="L124" s="276"/>
      <c r="M124" s="424"/>
      <c r="N124" s="207"/>
      <c r="O124" s="275"/>
      <c r="P124" s="54"/>
      <c r="Q124" s="207"/>
      <c r="R124" s="208"/>
      <c r="S124" s="276"/>
      <c r="T124" s="422"/>
      <c r="U124" s="208"/>
      <c r="V124" s="208"/>
      <c r="W124" s="270"/>
    </row>
    <row r="125" spans="2:23" s="206" customFormat="1" x14ac:dyDescent="0.2">
      <c r="B125" s="224"/>
      <c r="D125" s="207"/>
      <c r="E125" s="276"/>
      <c r="F125" s="207"/>
      <c r="G125" s="276"/>
      <c r="H125" s="424"/>
      <c r="I125" s="276"/>
      <c r="J125" s="276"/>
      <c r="K125" s="276"/>
      <c r="L125" s="276"/>
      <c r="M125" s="424"/>
      <c r="N125" s="207"/>
      <c r="O125" s="275"/>
      <c r="P125" s="54"/>
      <c r="Q125" s="207"/>
      <c r="R125" s="208"/>
      <c r="S125" s="54"/>
      <c r="T125" s="422"/>
      <c r="U125" s="208"/>
      <c r="V125" s="208"/>
      <c r="W125" s="275"/>
    </row>
    <row r="126" spans="2:23" s="206" customFormat="1" ht="14.25" x14ac:dyDescent="0.2">
      <c r="B126" s="425"/>
      <c r="C126" s="97"/>
      <c r="D126" s="79"/>
      <c r="E126" s="79"/>
      <c r="F126" s="79"/>
      <c r="G126" s="23"/>
      <c r="H126" s="108"/>
      <c r="I126" s="79"/>
      <c r="J126" s="79"/>
      <c r="K126" s="79"/>
      <c r="L126" s="79"/>
      <c r="M126" s="111"/>
      <c r="N126" s="24"/>
      <c r="O126" s="25"/>
      <c r="P126" s="22"/>
      <c r="Q126" s="79"/>
      <c r="R126" s="108"/>
      <c r="S126" s="23"/>
      <c r="T126" s="24"/>
      <c r="U126" s="108"/>
      <c r="V126" s="108"/>
      <c r="W126" s="98"/>
    </row>
    <row r="127" spans="2:23" s="206" customFormat="1" ht="14.25" x14ac:dyDescent="0.2">
      <c r="B127" s="426"/>
      <c r="C127" s="99"/>
      <c r="D127" s="100"/>
      <c r="E127" s="100"/>
      <c r="F127" s="100"/>
      <c r="G127" s="100"/>
      <c r="H127" s="277"/>
      <c r="I127" s="278"/>
      <c r="J127" s="278"/>
      <c r="K127" s="278"/>
      <c r="L127" s="278"/>
      <c r="M127" s="277"/>
      <c r="N127" s="27"/>
      <c r="O127" s="28"/>
      <c r="P127" s="27">
        <f>P123</f>
        <v>5.27</v>
      </c>
      <c r="Q127" s="27">
        <f>Q123</f>
        <v>0.13164999999999999</v>
      </c>
      <c r="R127" s="110"/>
      <c r="S127" s="100"/>
      <c r="T127" s="100"/>
      <c r="U127" s="279"/>
      <c r="V127" s="109"/>
      <c r="W127" s="28"/>
    </row>
    <row r="128" spans="2:23" s="206" customFormat="1" x14ac:dyDescent="0.2">
      <c r="D128" s="207"/>
      <c r="E128" s="207"/>
      <c r="F128" s="207"/>
      <c r="G128" s="207"/>
      <c r="H128" s="207"/>
      <c r="I128" s="207"/>
      <c r="J128" s="207"/>
      <c r="K128" s="207"/>
      <c r="L128" s="207"/>
    </row>
    <row r="129" spans="2:12" s="206" customFormat="1" x14ac:dyDescent="0.2">
      <c r="D129" s="207"/>
      <c r="E129" s="207"/>
      <c r="F129" s="207"/>
      <c r="G129" s="207"/>
      <c r="H129" s="207"/>
      <c r="I129" s="280"/>
      <c r="J129" s="207"/>
      <c r="K129" s="280"/>
      <c r="L129" s="280"/>
    </row>
    <row r="130" spans="2:12" s="206" customFormat="1" ht="15.75" customHeight="1" x14ac:dyDescent="0.2">
      <c r="B130" s="281" t="s">
        <v>79</v>
      </c>
      <c r="C130" s="217"/>
      <c r="E130" s="207"/>
      <c r="F130" s="207"/>
      <c r="G130" s="207"/>
      <c r="H130" s="207"/>
      <c r="I130" s="207"/>
      <c r="J130" s="207"/>
      <c r="K130" s="54"/>
      <c r="L130" s="282"/>
    </row>
    <row r="131" spans="2:12" s="206" customFormat="1" x14ac:dyDescent="0.2">
      <c r="B131" s="214" t="s">
        <v>80</v>
      </c>
      <c r="C131" s="217"/>
      <c r="D131" s="281" t="s">
        <v>32</v>
      </c>
      <c r="E131" s="217"/>
      <c r="F131" s="217"/>
      <c r="G131" s="217"/>
      <c r="H131" s="283" t="s">
        <v>6</v>
      </c>
      <c r="I131" s="283" t="s">
        <v>83</v>
      </c>
      <c r="J131" s="283" t="s">
        <v>84</v>
      </c>
    </row>
    <row r="132" spans="2:12" s="206" customFormat="1" x14ac:dyDescent="0.2">
      <c r="B132" s="284" t="s">
        <v>298</v>
      </c>
      <c r="C132" s="284"/>
      <c r="D132" s="285"/>
      <c r="E132" s="286"/>
      <c r="F132" s="286"/>
      <c r="G132" s="287"/>
      <c r="H132" s="205"/>
      <c r="I132" s="205"/>
      <c r="J132" s="288">
        <f>SUM(J133:J147)</f>
        <v>0.19787272727272728</v>
      </c>
      <c r="L132" s="282"/>
    </row>
    <row r="133" spans="2:12" s="206" customFormat="1" x14ac:dyDescent="0.2">
      <c r="B133" s="429"/>
      <c r="C133" s="430"/>
      <c r="D133" s="224" t="s">
        <v>152</v>
      </c>
      <c r="F133" s="289"/>
      <c r="G133" s="290"/>
      <c r="H133" s="291">
        <v>981</v>
      </c>
      <c r="I133" s="292">
        <v>52800</v>
      </c>
      <c r="J133" s="293">
        <f t="shared" ref="J133:J146" si="3">IF(I133=0,0,(H133/I133))</f>
        <v>1.8579545454545456E-2</v>
      </c>
    </row>
    <row r="134" spans="2:12" s="206" customFormat="1" x14ac:dyDescent="0.2">
      <c r="B134" s="215"/>
      <c r="C134" s="290"/>
      <c r="D134" s="224" t="s">
        <v>288</v>
      </c>
      <c r="F134" s="289"/>
      <c r="G134" s="290"/>
      <c r="H134" s="291">
        <v>1030</v>
      </c>
      <c r="I134" s="292">
        <f>+I133/2</f>
        <v>26400</v>
      </c>
      <c r="J134" s="293">
        <f t="shared" si="3"/>
        <v>3.9015151515151517E-2</v>
      </c>
    </row>
    <row r="135" spans="2:12" s="206" customFormat="1" x14ac:dyDescent="0.2">
      <c r="B135" s="431"/>
      <c r="C135" s="432"/>
      <c r="D135" s="224" t="s">
        <v>276</v>
      </c>
      <c r="F135" s="289"/>
      <c r="G135" s="290"/>
      <c r="H135" s="291">
        <v>1198</v>
      </c>
      <c r="I135" s="292">
        <f>+I133</f>
        <v>52800</v>
      </c>
      <c r="J135" s="293">
        <f t="shared" si="3"/>
        <v>2.268939393939394E-2</v>
      </c>
    </row>
    <row r="136" spans="2:12" s="206" customFormat="1" x14ac:dyDescent="0.2">
      <c r="B136" s="431"/>
      <c r="C136" s="432"/>
      <c r="D136" s="224" t="s">
        <v>277</v>
      </c>
      <c r="F136" s="289"/>
      <c r="G136" s="290"/>
      <c r="H136" s="291">
        <v>581.25</v>
      </c>
      <c r="I136" s="292">
        <f>+I134</f>
        <v>26400</v>
      </c>
      <c r="J136" s="293">
        <f t="shared" si="3"/>
        <v>2.2017045454545456E-2</v>
      </c>
    </row>
    <row r="137" spans="2:12" s="206" customFormat="1" x14ac:dyDescent="0.2">
      <c r="B137" s="431"/>
      <c r="C137" s="432"/>
      <c r="D137" s="224" t="s">
        <v>278</v>
      </c>
      <c r="F137" s="289"/>
      <c r="G137" s="290"/>
      <c r="H137" s="291">
        <v>3133.9</v>
      </c>
      <c r="I137" s="292">
        <f>+I133*2</f>
        <v>105600</v>
      </c>
      <c r="J137" s="293">
        <f t="shared" si="3"/>
        <v>2.9677083333333333E-2</v>
      </c>
    </row>
    <row r="138" spans="2:12" s="206" customFormat="1" x14ac:dyDescent="0.2">
      <c r="B138" s="431"/>
      <c r="C138" s="432"/>
      <c r="D138" s="224" t="s">
        <v>279</v>
      </c>
      <c r="F138" s="289"/>
      <c r="G138" s="290"/>
      <c r="H138" s="291">
        <v>481.5</v>
      </c>
      <c r="I138" s="292">
        <f>+I133*2</f>
        <v>105600</v>
      </c>
      <c r="J138" s="293">
        <f t="shared" si="3"/>
        <v>4.5596590909090908E-3</v>
      </c>
    </row>
    <row r="139" spans="2:12" s="206" customFormat="1" x14ac:dyDescent="0.2">
      <c r="B139" s="431"/>
      <c r="C139" s="432"/>
      <c r="D139" s="224" t="s">
        <v>280</v>
      </c>
      <c r="F139" s="289"/>
      <c r="G139" s="290"/>
      <c r="H139" s="291">
        <v>231.99</v>
      </c>
      <c r="I139" s="292">
        <f>+I136</f>
        <v>26400</v>
      </c>
      <c r="J139" s="293">
        <f t="shared" si="3"/>
        <v>8.7875000000000002E-3</v>
      </c>
    </row>
    <row r="140" spans="2:12" s="206" customFormat="1" x14ac:dyDescent="0.2">
      <c r="B140" s="431"/>
      <c r="C140" s="432"/>
      <c r="D140" s="224" t="s">
        <v>281</v>
      </c>
      <c r="F140" s="289"/>
      <c r="G140" s="290"/>
      <c r="H140" s="291">
        <v>155.29</v>
      </c>
      <c r="I140" s="292">
        <f t="shared" ref="I140:I145" si="4">+I137</f>
        <v>105600</v>
      </c>
      <c r="J140" s="293">
        <f t="shared" si="3"/>
        <v>1.4705492424242424E-3</v>
      </c>
    </row>
    <row r="141" spans="2:12" s="206" customFormat="1" x14ac:dyDescent="0.2">
      <c r="B141" s="431"/>
      <c r="C141" s="432"/>
      <c r="D141" s="224" t="s">
        <v>282</v>
      </c>
      <c r="F141" s="289"/>
      <c r="G141" s="290"/>
      <c r="H141" s="291">
        <v>31.48</v>
      </c>
      <c r="I141" s="292">
        <f t="shared" si="4"/>
        <v>105600</v>
      </c>
      <c r="J141" s="293">
        <f t="shared" si="3"/>
        <v>2.9810606060606061E-4</v>
      </c>
    </row>
    <row r="142" spans="2:12" s="206" customFormat="1" x14ac:dyDescent="0.2">
      <c r="B142" s="431"/>
      <c r="C142" s="432"/>
      <c r="D142" s="224" t="s">
        <v>283</v>
      </c>
      <c r="F142" s="289"/>
      <c r="G142" s="290"/>
      <c r="H142" s="291">
        <v>331</v>
      </c>
      <c r="I142" s="292">
        <f t="shared" si="4"/>
        <v>26400</v>
      </c>
      <c r="J142" s="293">
        <f t="shared" si="3"/>
        <v>1.2537878787878787E-2</v>
      </c>
    </row>
    <row r="143" spans="2:12" s="206" customFormat="1" x14ac:dyDescent="0.2">
      <c r="B143" s="431"/>
      <c r="C143" s="432"/>
      <c r="D143" s="224" t="s">
        <v>284</v>
      </c>
      <c r="F143" s="289"/>
      <c r="G143" s="290"/>
      <c r="H143" s="291">
        <v>98.23</v>
      </c>
      <c r="I143" s="292">
        <f t="shared" si="4"/>
        <v>105600</v>
      </c>
      <c r="J143" s="293">
        <f t="shared" si="3"/>
        <v>9.3020833333333334E-4</v>
      </c>
    </row>
    <row r="144" spans="2:12" s="206" customFormat="1" x14ac:dyDescent="0.2">
      <c r="B144" s="431"/>
      <c r="C144" s="432"/>
      <c r="D144" s="224" t="s">
        <v>285</v>
      </c>
      <c r="F144" s="289"/>
      <c r="G144" s="290"/>
      <c r="H144" s="291">
        <v>376</v>
      </c>
      <c r="I144" s="292">
        <f t="shared" si="4"/>
        <v>105600</v>
      </c>
      <c r="J144" s="293">
        <f t="shared" si="3"/>
        <v>3.5606060606060605E-3</v>
      </c>
    </row>
    <row r="145" spans="2:12" s="206" customFormat="1" x14ac:dyDescent="0.2">
      <c r="B145" s="431"/>
      <c r="C145" s="432"/>
      <c r="D145" s="224" t="s">
        <v>286</v>
      </c>
      <c r="F145" s="289"/>
      <c r="G145" s="290"/>
      <c r="H145" s="291">
        <v>91</v>
      </c>
      <c r="I145" s="292">
        <f t="shared" si="4"/>
        <v>26400</v>
      </c>
      <c r="J145" s="293">
        <f t="shared" si="3"/>
        <v>3.446969696969697E-3</v>
      </c>
    </row>
    <row r="146" spans="2:12" s="206" customFormat="1" x14ac:dyDescent="0.2">
      <c r="B146" s="431"/>
      <c r="C146" s="432"/>
      <c r="D146" s="224" t="s">
        <v>287</v>
      </c>
      <c r="F146" s="289"/>
      <c r="G146" s="290"/>
      <c r="H146" s="291">
        <v>800</v>
      </c>
      <c r="I146" s="292">
        <f>+I134</f>
        <v>26400</v>
      </c>
      <c r="J146" s="293">
        <f t="shared" si="3"/>
        <v>3.0303030303030304E-2</v>
      </c>
    </row>
    <row r="147" spans="2:12" s="206" customFormat="1" x14ac:dyDescent="0.2">
      <c r="B147" s="431"/>
      <c r="C147" s="432"/>
      <c r="D147" s="215"/>
      <c r="E147" s="289"/>
      <c r="F147" s="289"/>
      <c r="G147" s="290"/>
      <c r="H147" s="294"/>
      <c r="I147" s="295"/>
      <c r="J147" s="296"/>
    </row>
    <row r="148" spans="2:12" s="206" customFormat="1" x14ac:dyDescent="0.2">
      <c r="B148" s="297" t="s">
        <v>243</v>
      </c>
      <c r="C148" s="433"/>
      <c r="D148" s="285"/>
      <c r="E148" s="286"/>
      <c r="F148" s="286"/>
      <c r="G148" s="287"/>
      <c r="H148" s="205"/>
      <c r="I148" s="205"/>
      <c r="J148" s="288">
        <f>SUM(J149:J150)</f>
        <v>0</v>
      </c>
      <c r="L148" s="282"/>
    </row>
    <row r="149" spans="2:12" s="206" customFormat="1" x14ac:dyDescent="0.2">
      <c r="B149" s="215"/>
      <c r="C149" s="290"/>
      <c r="D149" s="224"/>
      <c r="F149" s="289"/>
      <c r="G149" s="290"/>
      <c r="H149" s="291"/>
      <c r="I149" s="292"/>
      <c r="J149" s="204">
        <f>IF(I149=0,0,(H149/I149))</f>
        <v>0</v>
      </c>
    </row>
    <row r="150" spans="2:12" s="206" customFormat="1" x14ac:dyDescent="0.2">
      <c r="B150" s="431"/>
      <c r="C150" s="432"/>
      <c r="D150" s="215"/>
      <c r="E150" s="289"/>
      <c r="F150" s="289"/>
      <c r="G150" s="290"/>
      <c r="H150" s="294"/>
      <c r="I150" s="295"/>
      <c r="J150" s="296"/>
    </row>
    <row r="151" spans="2:12" s="206" customFormat="1" x14ac:dyDescent="0.2">
      <c r="B151" s="297" t="s">
        <v>244</v>
      </c>
      <c r="C151" s="433"/>
      <c r="D151" s="285"/>
      <c r="E151" s="286"/>
      <c r="F151" s="286"/>
      <c r="G151" s="287"/>
      <c r="H151" s="205"/>
      <c r="I151" s="205"/>
      <c r="J151" s="288">
        <f>SUM(J152:J153)</f>
        <v>0</v>
      </c>
      <c r="L151" s="282"/>
    </row>
    <row r="152" spans="2:12" s="206" customFormat="1" x14ac:dyDescent="0.2">
      <c r="B152" s="215"/>
      <c r="C152" s="290"/>
      <c r="D152" s="224"/>
      <c r="F152" s="289"/>
      <c r="G152" s="290"/>
      <c r="H152" s="291"/>
      <c r="I152" s="292"/>
      <c r="J152" s="204">
        <f>IF(I152=0,0,(H152/I152))</f>
        <v>0</v>
      </c>
    </row>
    <row r="153" spans="2:12" s="206" customFormat="1" x14ac:dyDescent="0.2">
      <c r="B153" s="431"/>
      <c r="C153" s="432"/>
      <c r="D153" s="215"/>
      <c r="E153" s="289"/>
      <c r="F153" s="289"/>
      <c r="G153" s="290"/>
      <c r="H153" s="294"/>
      <c r="I153" s="295"/>
      <c r="J153" s="296"/>
    </row>
    <row r="154" spans="2:12" s="206" customFormat="1" x14ac:dyDescent="0.2">
      <c r="B154" s="297" t="s">
        <v>163</v>
      </c>
      <c r="C154" s="433"/>
      <c r="D154" s="285"/>
      <c r="E154" s="286"/>
      <c r="F154" s="286"/>
      <c r="G154" s="287"/>
      <c r="H154" s="205"/>
      <c r="I154" s="205"/>
      <c r="J154" s="288">
        <f>SUM(J155:J156)</f>
        <v>0</v>
      </c>
    </row>
    <row r="155" spans="2:12" s="206" customFormat="1" x14ac:dyDescent="0.2">
      <c r="B155" s="215"/>
      <c r="C155" s="290"/>
      <c r="D155" s="224"/>
      <c r="F155" s="289"/>
      <c r="G155" s="290"/>
      <c r="H155" s="291"/>
      <c r="I155" s="292"/>
      <c r="J155" s="204">
        <f>IF(I155=0,0,(H155/I155))</f>
        <v>0</v>
      </c>
    </row>
    <row r="156" spans="2:12" s="206" customFormat="1" x14ac:dyDescent="0.2">
      <c r="B156" s="298"/>
      <c r="C156" s="434"/>
      <c r="D156" s="299"/>
      <c r="E156" s="300"/>
      <c r="F156" s="300"/>
      <c r="G156" s="301"/>
      <c r="H156" s="294"/>
      <c r="I156" s="295"/>
      <c r="J156" s="296"/>
    </row>
    <row r="160" spans="2:12" s="302" customFormat="1" ht="15.75" x14ac:dyDescent="0.25">
      <c r="B160" s="379" t="s">
        <v>387</v>
      </c>
      <c r="C160" s="379" t="s">
        <v>388</v>
      </c>
    </row>
    <row r="161" spans="2:14" ht="15.75" x14ac:dyDescent="0.25">
      <c r="B161" s="381" t="s">
        <v>420</v>
      </c>
      <c r="C161" s="381"/>
    </row>
    <row r="162" spans="2:14" ht="15.75" x14ac:dyDescent="0.25">
      <c r="B162" s="381" t="s">
        <v>421</v>
      </c>
      <c r="C162" s="381"/>
    </row>
    <row r="164" spans="2:14" s="21" customFormat="1" ht="12.75" customHeight="1" x14ac:dyDescent="0.2">
      <c r="B164" s="61" t="s">
        <v>4</v>
      </c>
      <c r="C164" s="61" t="s">
        <v>167</v>
      </c>
      <c r="D164" s="61" t="s">
        <v>22</v>
      </c>
      <c r="E164" s="61" t="s">
        <v>33</v>
      </c>
      <c r="F164" s="61" t="s">
        <v>24</v>
      </c>
      <c r="G164" s="61" t="s">
        <v>25</v>
      </c>
      <c r="H164" s="61" t="s">
        <v>26</v>
      </c>
      <c r="I164" s="61" t="s">
        <v>147</v>
      </c>
      <c r="J164" s="61" t="s">
        <v>120</v>
      </c>
      <c r="K164" s="61" t="s">
        <v>100</v>
      </c>
      <c r="L164" s="61" t="s">
        <v>121</v>
      </c>
      <c r="M164" s="61" t="s">
        <v>60</v>
      </c>
    </row>
    <row r="165" spans="2:14" s="21" customFormat="1" ht="12.75" customHeight="1" x14ac:dyDescent="0.2">
      <c r="B165" s="391"/>
      <c r="C165" s="217"/>
      <c r="D165" s="217"/>
      <c r="E165" s="217"/>
      <c r="F165" s="217"/>
      <c r="G165" s="217"/>
      <c r="H165" s="217"/>
      <c r="I165" s="217"/>
      <c r="J165" s="217"/>
      <c r="K165" s="217"/>
      <c r="L165" s="217"/>
      <c r="M165" s="387"/>
    </row>
    <row r="166" spans="2:14" s="21" customFormat="1" x14ac:dyDescent="0.2">
      <c r="B166" s="391"/>
      <c r="C166" s="217"/>
      <c r="D166" s="217"/>
      <c r="E166" s="217"/>
      <c r="F166" s="217"/>
      <c r="G166" s="217"/>
      <c r="H166" s="217"/>
      <c r="I166" s="217"/>
      <c r="J166" s="217"/>
      <c r="K166" s="217"/>
      <c r="L166" s="217"/>
      <c r="M166" s="387"/>
    </row>
    <row r="167" spans="2:14" s="21" customFormat="1" x14ac:dyDescent="0.2">
      <c r="B167" s="51" t="s">
        <v>299</v>
      </c>
      <c r="C167" s="32">
        <v>1</v>
      </c>
      <c r="D167" s="32">
        <v>2010</v>
      </c>
      <c r="E167" s="29">
        <v>594.07000000000005</v>
      </c>
      <c r="F167" s="33">
        <v>36</v>
      </c>
      <c r="G167" s="29">
        <f>E167*0</f>
        <v>0</v>
      </c>
      <c r="H167" s="87">
        <f>((E167-G167)/F167)*C167</f>
        <v>16.501944444444447</v>
      </c>
      <c r="I167" s="11"/>
      <c r="J167" s="83">
        <f>(SUM(H167:I167))/M167</f>
        <v>9.3761047979797993E-2</v>
      </c>
      <c r="K167" s="83">
        <f t="shared" ref="K167:K191" si="5">IF(COUNTIF($B$58:$B$61,$B167)=0,0,VLOOKUP($B167,$B$58:$K$61,10,FALSE))</f>
        <v>0</v>
      </c>
      <c r="L167" s="83">
        <f>K167</f>
        <v>0</v>
      </c>
      <c r="M167" s="35">
        <v>176</v>
      </c>
    </row>
    <row r="168" spans="2:14" s="21" customFormat="1" x14ac:dyDescent="0.2">
      <c r="B168" s="51" t="s">
        <v>300</v>
      </c>
      <c r="C168" s="32">
        <v>1</v>
      </c>
      <c r="D168" s="32">
        <v>2010</v>
      </c>
      <c r="E168" s="29">
        <v>814.26</v>
      </c>
      <c r="F168" s="33">
        <v>36</v>
      </c>
      <c r="G168" s="29">
        <f t="shared" ref="G168:G191" si="6">E168*0</f>
        <v>0</v>
      </c>
      <c r="H168" s="87">
        <f t="shared" ref="H168:H191" si="7">((E168-G168)/F168)*C168</f>
        <v>22.618333333333332</v>
      </c>
      <c r="I168" s="11"/>
      <c r="J168" s="83">
        <f>(SUM(H168:I168))/M168</f>
        <v>0.12851325757575757</v>
      </c>
      <c r="K168" s="83">
        <f t="shared" si="5"/>
        <v>0</v>
      </c>
      <c r="L168" s="83">
        <f>K168</f>
        <v>0</v>
      </c>
      <c r="M168" s="35">
        <v>176</v>
      </c>
      <c r="N168" s="32"/>
    </row>
    <row r="169" spans="2:14" s="21" customFormat="1" x14ac:dyDescent="0.2">
      <c r="B169" s="51" t="s">
        <v>301</v>
      </c>
      <c r="C169" s="32">
        <v>1</v>
      </c>
      <c r="D169" s="32">
        <v>2010</v>
      </c>
      <c r="E169" s="29">
        <v>100</v>
      </c>
      <c r="F169" s="33">
        <v>36</v>
      </c>
      <c r="G169" s="29">
        <f t="shared" si="6"/>
        <v>0</v>
      </c>
      <c r="H169" s="87">
        <f t="shared" si="7"/>
        <v>2.7777777777777777</v>
      </c>
      <c r="I169" s="11"/>
      <c r="J169" s="83">
        <f t="shared" ref="J169:J191" si="8">(SUM(H169:I169))/M169</f>
        <v>1.5782828282828284E-2</v>
      </c>
      <c r="K169" s="83">
        <f t="shared" si="5"/>
        <v>0</v>
      </c>
      <c r="L169" s="83">
        <f t="shared" ref="L169:L191" si="9">K169</f>
        <v>0</v>
      </c>
      <c r="M169" s="35">
        <v>176</v>
      </c>
      <c r="N169" s="32"/>
    </row>
    <row r="170" spans="2:14" s="21" customFormat="1" x14ac:dyDescent="0.2">
      <c r="B170" s="51" t="s">
        <v>302</v>
      </c>
      <c r="C170" s="32">
        <v>1</v>
      </c>
      <c r="D170" s="32">
        <v>2010</v>
      </c>
      <c r="E170" s="29">
        <v>50.88</v>
      </c>
      <c r="F170" s="33">
        <v>36</v>
      </c>
      <c r="G170" s="29">
        <f t="shared" si="6"/>
        <v>0</v>
      </c>
      <c r="H170" s="87">
        <f t="shared" si="7"/>
        <v>1.4133333333333333</v>
      </c>
      <c r="I170" s="11"/>
      <c r="J170" s="83">
        <f t="shared" si="8"/>
        <v>8.03030303030303E-3</v>
      </c>
      <c r="K170" s="83">
        <f t="shared" si="5"/>
        <v>0</v>
      </c>
      <c r="L170" s="83">
        <f t="shared" si="9"/>
        <v>0</v>
      </c>
      <c r="M170" s="35">
        <v>176</v>
      </c>
      <c r="N170" s="32"/>
    </row>
    <row r="171" spans="2:14" s="21" customFormat="1" x14ac:dyDescent="0.2">
      <c r="B171" s="51" t="s">
        <v>303</v>
      </c>
      <c r="C171" s="32">
        <v>1</v>
      </c>
      <c r="D171" s="32">
        <v>2010</v>
      </c>
      <c r="E171" s="29">
        <v>50.88</v>
      </c>
      <c r="F171" s="33">
        <v>36</v>
      </c>
      <c r="G171" s="29">
        <f t="shared" si="6"/>
        <v>0</v>
      </c>
      <c r="H171" s="87">
        <f t="shared" si="7"/>
        <v>1.4133333333333333</v>
      </c>
      <c r="I171" s="11"/>
      <c r="J171" s="83">
        <f t="shared" si="8"/>
        <v>8.03030303030303E-3</v>
      </c>
      <c r="K171" s="83">
        <f t="shared" si="5"/>
        <v>0</v>
      </c>
      <c r="L171" s="83">
        <f t="shared" si="9"/>
        <v>0</v>
      </c>
      <c r="M171" s="35">
        <v>176</v>
      </c>
      <c r="N171" s="32"/>
    </row>
    <row r="172" spans="2:14" s="21" customFormat="1" x14ac:dyDescent="0.2">
      <c r="B172" s="51" t="s">
        <v>304</v>
      </c>
      <c r="C172" s="32">
        <v>1</v>
      </c>
      <c r="D172" s="32">
        <v>2010</v>
      </c>
      <c r="E172" s="29">
        <v>127.6</v>
      </c>
      <c r="F172" s="33">
        <v>36</v>
      </c>
      <c r="G172" s="29">
        <f t="shared" si="6"/>
        <v>0</v>
      </c>
      <c r="H172" s="87">
        <f t="shared" si="7"/>
        <v>3.5444444444444443</v>
      </c>
      <c r="I172" s="11"/>
      <c r="J172" s="83">
        <f t="shared" si="8"/>
        <v>2.0138888888888887E-2</v>
      </c>
      <c r="K172" s="83">
        <f t="shared" si="5"/>
        <v>0</v>
      </c>
      <c r="L172" s="83">
        <f t="shared" si="9"/>
        <v>0</v>
      </c>
      <c r="M172" s="35">
        <v>176</v>
      </c>
      <c r="N172" s="95"/>
    </row>
    <row r="173" spans="2:14" s="21" customFormat="1" x14ac:dyDescent="0.2">
      <c r="B173" s="51" t="s">
        <v>305</v>
      </c>
      <c r="C173" s="32">
        <v>1</v>
      </c>
      <c r="D173" s="32">
        <v>2010</v>
      </c>
      <c r="E173" s="29">
        <v>2.99</v>
      </c>
      <c r="F173" s="33">
        <v>36</v>
      </c>
      <c r="G173" s="29">
        <f t="shared" si="6"/>
        <v>0</v>
      </c>
      <c r="H173" s="87">
        <f t="shared" si="7"/>
        <v>8.3055555555555563E-2</v>
      </c>
      <c r="I173" s="11"/>
      <c r="J173" s="83">
        <f t="shared" si="8"/>
        <v>4.7190656565656571E-4</v>
      </c>
      <c r="K173" s="83">
        <f t="shared" si="5"/>
        <v>0</v>
      </c>
      <c r="L173" s="83">
        <f t="shared" si="9"/>
        <v>0</v>
      </c>
      <c r="M173" s="35">
        <v>176</v>
      </c>
      <c r="N173" s="95"/>
    </row>
    <row r="174" spans="2:14" s="21" customFormat="1" x14ac:dyDescent="0.2">
      <c r="B174" s="51" t="s">
        <v>306</v>
      </c>
      <c r="C174" s="32">
        <v>1</v>
      </c>
      <c r="D174" s="32">
        <v>2010</v>
      </c>
      <c r="E174" s="29">
        <v>81.599999999999994</v>
      </c>
      <c r="F174" s="33">
        <v>36</v>
      </c>
      <c r="G174" s="29">
        <f t="shared" si="6"/>
        <v>0</v>
      </c>
      <c r="H174" s="87">
        <f t="shared" si="7"/>
        <v>2.2666666666666666</v>
      </c>
      <c r="I174" s="11"/>
      <c r="J174" s="83">
        <f t="shared" si="8"/>
        <v>1.2878787878787878E-2</v>
      </c>
      <c r="K174" s="83">
        <f t="shared" si="5"/>
        <v>0</v>
      </c>
      <c r="L174" s="83">
        <f t="shared" si="9"/>
        <v>0</v>
      </c>
      <c r="M174" s="35">
        <v>176</v>
      </c>
      <c r="N174" s="95"/>
    </row>
    <row r="175" spans="2:14" s="21" customFormat="1" x14ac:dyDescent="0.2">
      <c r="B175" s="51" t="s">
        <v>307</v>
      </c>
      <c r="C175" s="32">
        <v>1</v>
      </c>
      <c r="D175" s="32">
        <v>2010</v>
      </c>
      <c r="E175" s="29">
        <v>110.24</v>
      </c>
      <c r="F175" s="33">
        <v>36</v>
      </c>
      <c r="G175" s="29">
        <f t="shared" si="6"/>
        <v>0</v>
      </c>
      <c r="H175" s="87">
        <f t="shared" si="7"/>
        <v>3.0622222222222222</v>
      </c>
      <c r="I175" s="11"/>
      <c r="J175" s="83">
        <f t="shared" si="8"/>
        <v>1.73989898989899E-2</v>
      </c>
      <c r="K175" s="83">
        <f t="shared" si="5"/>
        <v>0</v>
      </c>
      <c r="L175" s="83">
        <f t="shared" si="9"/>
        <v>0</v>
      </c>
      <c r="M175" s="35">
        <v>176</v>
      </c>
      <c r="N175" s="32"/>
    </row>
    <row r="176" spans="2:14" s="21" customFormat="1" x14ac:dyDescent="0.2">
      <c r="B176" s="51" t="s">
        <v>308</v>
      </c>
      <c r="C176" s="32">
        <v>1</v>
      </c>
      <c r="D176" s="32">
        <v>2010</v>
      </c>
      <c r="E176" s="29">
        <v>102.27</v>
      </c>
      <c r="F176" s="33">
        <v>36</v>
      </c>
      <c r="G176" s="29">
        <f t="shared" si="6"/>
        <v>0</v>
      </c>
      <c r="H176" s="87">
        <f t="shared" si="7"/>
        <v>2.8408333333333333</v>
      </c>
      <c r="I176" s="11"/>
      <c r="J176" s="83">
        <f t="shared" si="8"/>
        <v>1.6141098484848484E-2</v>
      </c>
      <c r="K176" s="83">
        <f t="shared" si="5"/>
        <v>0</v>
      </c>
      <c r="L176" s="83">
        <f t="shared" si="9"/>
        <v>0</v>
      </c>
      <c r="M176" s="35">
        <v>176</v>
      </c>
      <c r="N176" s="95"/>
    </row>
    <row r="177" spans="2:14" s="21" customFormat="1" x14ac:dyDescent="0.2">
      <c r="B177" s="51" t="s">
        <v>309</v>
      </c>
      <c r="C177" s="32">
        <v>1</v>
      </c>
      <c r="D177" s="32">
        <v>2010</v>
      </c>
      <c r="E177" s="29">
        <v>114.61</v>
      </c>
      <c r="F177" s="33">
        <v>36</v>
      </c>
      <c r="G177" s="29">
        <f t="shared" si="6"/>
        <v>0</v>
      </c>
      <c r="H177" s="87">
        <f t="shared" si="7"/>
        <v>3.1836111111111109</v>
      </c>
      <c r="I177" s="11"/>
      <c r="J177" s="83">
        <f t="shared" si="8"/>
        <v>1.8088699494949494E-2</v>
      </c>
      <c r="K177" s="83">
        <f t="shared" si="5"/>
        <v>0</v>
      </c>
      <c r="L177" s="83">
        <f t="shared" si="9"/>
        <v>0</v>
      </c>
      <c r="M177" s="35">
        <v>176</v>
      </c>
      <c r="N177" s="95"/>
    </row>
    <row r="178" spans="2:14" s="21" customFormat="1" x14ac:dyDescent="0.2">
      <c r="B178" s="51" t="s">
        <v>310</v>
      </c>
      <c r="C178" s="32">
        <v>1</v>
      </c>
      <c r="D178" s="32">
        <v>2010</v>
      </c>
      <c r="E178" s="29">
        <v>325.55</v>
      </c>
      <c r="F178" s="33">
        <v>36</v>
      </c>
      <c r="G178" s="29">
        <f t="shared" si="6"/>
        <v>0</v>
      </c>
      <c r="H178" s="87">
        <f t="shared" si="7"/>
        <v>9.0430555555555561</v>
      </c>
      <c r="I178" s="11"/>
      <c r="J178" s="83">
        <f t="shared" si="8"/>
        <v>5.1380997474747475E-2</v>
      </c>
      <c r="K178" s="83">
        <f t="shared" si="5"/>
        <v>0</v>
      </c>
      <c r="L178" s="83">
        <f t="shared" si="9"/>
        <v>0</v>
      </c>
      <c r="M178" s="35">
        <v>176</v>
      </c>
      <c r="N178" s="32"/>
    </row>
    <row r="179" spans="2:14" s="21" customFormat="1" x14ac:dyDescent="0.2">
      <c r="B179" s="51" t="s">
        <v>311</v>
      </c>
      <c r="C179" s="32">
        <v>1</v>
      </c>
      <c r="D179" s="32">
        <v>2010</v>
      </c>
      <c r="E179" s="29">
        <v>13.6</v>
      </c>
      <c r="F179" s="33">
        <v>36</v>
      </c>
      <c r="G179" s="29">
        <f t="shared" si="6"/>
        <v>0</v>
      </c>
      <c r="H179" s="87">
        <f t="shared" si="7"/>
        <v>0.37777777777777777</v>
      </c>
      <c r="I179" s="11"/>
      <c r="J179" s="83">
        <f t="shared" si="8"/>
        <v>2.1464646464646464E-3</v>
      </c>
      <c r="K179" s="83">
        <f t="shared" si="5"/>
        <v>0</v>
      </c>
      <c r="L179" s="83">
        <f t="shared" si="9"/>
        <v>0</v>
      </c>
      <c r="M179" s="35">
        <v>176</v>
      </c>
      <c r="N179" s="95"/>
    </row>
    <row r="180" spans="2:14" s="21" customFormat="1" x14ac:dyDescent="0.2">
      <c r="B180" s="51" t="s">
        <v>312</v>
      </c>
      <c r="C180" s="32">
        <v>1</v>
      </c>
      <c r="D180" s="32">
        <v>2010</v>
      </c>
      <c r="E180" s="29">
        <v>4.21</v>
      </c>
      <c r="F180" s="33">
        <v>36</v>
      </c>
      <c r="G180" s="29">
        <f t="shared" si="6"/>
        <v>0</v>
      </c>
      <c r="H180" s="87">
        <f t="shared" si="7"/>
        <v>0.11694444444444445</v>
      </c>
      <c r="I180" s="11"/>
      <c r="J180" s="83">
        <f t="shared" si="8"/>
        <v>6.6445707070707076E-4</v>
      </c>
      <c r="K180" s="83">
        <f t="shared" si="5"/>
        <v>0</v>
      </c>
      <c r="L180" s="83">
        <f t="shared" si="9"/>
        <v>0</v>
      </c>
      <c r="M180" s="35">
        <v>176</v>
      </c>
      <c r="N180" s="32"/>
    </row>
    <row r="181" spans="2:14" s="21" customFormat="1" x14ac:dyDescent="0.2">
      <c r="B181" s="51" t="s">
        <v>313</v>
      </c>
      <c r="C181" s="32">
        <v>1</v>
      </c>
      <c r="D181" s="32">
        <v>2010</v>
      </c>
      <c r="E181" s="29">
        <v>14</v>
      </c>
      <c r="F181" s="33">
        <v>36</v>
      </c>
      <c r="G181" s="29">
        <f t="shared" si="6"/>
        <v>0</v>
      </c>
      <c r="H181" s="87">
        <f t="shared" si="7"/>
        <v>0.3888888888888889</v>
      </c>
      <c r="I181" s="11"/>
      <c r="J181" s="83">
        <f t="shared" si="8"/>
        <v>2.2095959595959595E-3</v>
      </c>
      <c r="K181" s="83">
        <f t="shared" si="5"/>
        <v>0</v>
      </c>
      <c r="L181" s="83">
        <f t="shared" si="9"/>
        <v>0</v>
      </c>
      <c r="M181" s="35">
        <v>176</v>
      </c>
      <c r="N181" s="95"/>
    </row>
    <row r="182" spans="2:14" s="21" customFormat="1" x14ac:dyDescent="0.2">
      <c r="B182" s="51" t="s">
        <v>314</v>
      </c>
      <c r="C182" s="32">
        <v>1</v>
      </c>
      <c r="D182" s="32">
        <v>2010</v>
      </c>
      <c r="E182" s="29">
        <v>18</v>
      </c>
      <c r="F182" s="33">
        <v>36</v>
      </c>
      <c r="G182" s="29">
        <f t="shared" si="6"/>
        <v>0</v>
      </c>
      <c r="H182" s="87">
        <f t="shared" si="7"/>
        <v>0.5</v>
      </c>
      <c r="I182" s="11"/>
      <c r="J182" s="83">
        <f t="shared" si="8"/>
        <v>2.840909090909091E-3</v>
      </c>
      <c r="K182" s="83">
        <f t="shared" si="5"/>
        <v>0</v>
      </c>
      <c r="L182" s="83">
        <f t="shared" si="9"/>
        <v>0</v>
      </c>
      <c r="M182" s="35">
        <v>176</v>
      </c>
      <c r="N182" s="95"/>
    </row>
    <row r="183" spans="2:14" s="21" customFormat="1" x14ac:dyDescent="0.2">
      <c r="B183" s="51" t="s">
        <v>315</v>
      </c>
      <c r="C183" s="32">
        <v>1</v>
      </c>
      <c r="D183" s="32">
        <v>2010</v>
      </c>
      <c r="E183" s="29">
        <v>54</v>
      </c>
      <c r="F183" s="33">
        <v>36</v>
      </c>
      <c r="G183" s="29">
        <f t="shared" si="6"/>
        <v>0</v>
      </c>
      <c r="H183" s="87">
        <f t="shared" si="7"/>
        <v>1.5</v>
      </c>
      <c r="I183" s="11"/>
      <c r="J183" s="83">
        <f t="shared" si="8"/>
        <v>8.5227272727272721E-3</v>
      </c>
      <c r="K183" s="83">
        <f t="shared" si="5"/>
        <v>0</v>
      </c>
      <c r="L183" s="83">
        <f t="shared" si="9"/>
        <v>0</v>
      </c>
      <c r="M183" s="35">
        <v>176</v>
      </c>
      <c r="N183" s="95"/>
    </row>
    <row r="184" spans="2:14" s="21" customFormat="1" x14ac:dyDescent="0.2">
      <c r="B184" s="51" t="s">
        <v>316</v>
      </c>
      <c r="C184" s="32">
        <v>1</v>
      </c>
      <c r="D184" s="32">
        <v>2010</v>
      </c>
      <c r="E184" s="29">
        <v>14</v>
      </c>
      <c r="F184" s="33">
        <v>36</v>
      </c>
      <c r="G184" s="29">
        <f t="shared" si="6"/>
        <v>0</v>
      </c>
      <c r="H184" s="87">
        <f t="shared" si="7"/>
        <v>0.3888888888888889</v>
      </c>
      <c r="I184" s="11"/>
      <c r="J184" s="83">
        <f t="shared" si="8"/>
        <v>2.2095959595959595E-3</v>
      </c>
      <c r="K184" s="83">
        <f t="shared" si="5"/>
        <v>0</v>
      </c>
      <c r="L184" s="83">
        <f t="shared" si="9"/>
        <v>0</v>
      </c>
      <c r="M184" s="35">
        <v>176</v>
      </c>
      <c r="N184" s="95"/>
    </row>
    <row r="185" spans="2:14" s="21" customFormat="1" x14ac:dyDescent="0.2">
      <c r="B185" s="51" t="s">
        <v>317</v>
      </c>
      <c r="C185" s="32">
        <v>1</v>
      </c>
      <c r="D185" s="32">
        <v>2010</v>
      </c>
      <c r="E185" s="29">
        <v>18</v>
      </c>
      <c r="F185" s="33">
        <v>36</v>
      </c>
      <c r="G185" s="29">
        <f t="shared" si="6"/>
        <v>0</v>
      </c>
      <c r="H185" s="87">
        <f t="shared" si="7"/>
        <v>0.5</v>
      </c>
      <c r="I185" s="11"/>
      <c r="J185" s="83">
        <f t="shared" si="8"/>
        <v>2.840909090909091E-3</v>
      </c>
      <c r="K185" s="83">
        <f t="shared" si="5"/>
        <v>0</v>
      </c>
      <c r="L185" s="83">
        <f t="shared" si="9"/>
        <v>0</v>
      </c>
      <c r="M185" s="35">
        <v>176</v>
      </c>
      <c r="N185" s="95"/>
    </row>
    <row r="186" spans="2:14" s="21" customFormat="1" x14ac:dyDescent="0.2">
      <c r="B186" s="51" t="s">
        <v>318</v>
      </c>
      <c r="C186" s="32">
        <v>1</v>
      </c>
      <c r="D186" s="32">
        <v>2010</v>
      </c>
      <c r="E186" s="29">
        <v>54</v>
      </c>
      <c r="F186" s="33">
        <v>36</v>
      </c>
      <c r="G186" s="29">
        <f t="shared" si="6"/>
        <v>0</v>
      </c>
      <c r="H186" s="87">
        <f t="shared" si="7"/>
        <v>1.5</v>
      </c>
      <c r="I186" s="11"/>
      <c r="J186" s="83">
        <f t="shared" si="8"/>
        <v>8.5227272727272721E-3</v>
      </c>
      <c r="K186" s="83">
        <f t="shared" si="5"/>
        <v>0</v>
      </c>
      <c r="L186" s="83">
        <f t="shared" si="9"/>
        <v>0</v>
      </c>
      <c r="M186" s="35">
        <v>176</v>
      </c>
      <c r="N186" s="95"/>
    </row>
    <row r="187" spans="2:14" s="21" customFormat="1" x14ac:dyDescent="0.2">
      <c r="B187" s="51" t="s">
        <v>319</v>
      </c>
      <c r="C187" s="32">
        <v>1</v>
      </c>
      <c r="D187" s="32">
        <v>2010</v>
      </c>
      <c r="E187" s="29">
        <v>18.71</v>
      </c>
      <c r="F187" s="33">
        <v>36</v>
      </c>
      <c r="G187" s="29">
        <f t="shared" si="6"/>
        <v>0</v>
      </c>
      <c r="H187" s="87">
        <f t="shared" si="7"/>
        <v>0.5197222222222222</v>
      </c>
      <c r="I187" s="11"/>
      <c r="J187" s="83">
        <f t="shared" si="8"/>
        <v>2.9529671717171717E-3</v>
      </c>
      <c r="K187" s="83">
        <f t="shared" si="5"/>
        <v>0</v>
      </c>
      <c r="L187" s="83">
        <f t="shared" si="9"/>
        <v>0</v>
      </c>
      <c r="M187" s="35">
        <v>176</v>
      </c>
      <c r="N187" s="95"/>
    </row>
    <row r="188" spans="2:14" s="21" customFormat="1" x14ac:dyDescent="0.2">
      <c r="B188" s="51" t="s">
        <v>289</v>
      </c>
      <c r="C188" s="32">
        <v>1</v>
      </c>
      <c r="D188" s="32">
        <v>2010</v>
      </c>
      <c r="E188" s="29">
        <v>49.56</v>
      </c>
      <c r="F188" s="33">
        <v>36</v>
      </c>
      <c r="G188" s="29">
        <f t="shared" si="6"/>
        <v>0</v>
      </c>
      <c r="H188" s="87">
        <f t="shared" si="7"/>
        <v>1.3766666666666667</v>
      </c>
      <c r="I188" s="11"/>
      <c r="J188" s="83">
        <f t="shared" si="8"/>
        <v>7.821969696969697E-3</v>
      </c>
      <c r="K188" s="83">
        <f t="shared" si="5"/>
        <v>0</v>
      </c>
      <c r="L188" s="83">
        <f t="shared" si="9"/>
        <v>0</v>
      </c>
      <c r="M188" s="35">
        <v>176</v>
      </c>
      <c r="N188" s="95"/>
    </row>
    <row r="189" spans="2:14" s="21" customFormat="1" x14ac:dyDescent="0.2">
      <c r="B189" s="51" t="s">
        <v>320</v>
      </c>
      <c r="C189" s="32">
        <v>1</v>
      </c>
      <c r="D189" s="32">
        <v>2010</v>
      </c>
      <c r="E189" s="29">
        <v>32.450000000000003</v>
      </c>
      <c r="F189" s="33">
        <v>36</v>
      </c>
      <c r="G189" s="29">
        <f t="shared" si="6"/>
        <v>0</v>
      </c>
      <c r="H189" s="87">
        <f t="shared" si="7"/>
        <v>0.90138888888888902</v>
      </c>
      <c r="I189" s="11"/>
      <c r="J189" s="83">
        <f t="shared" si="8"/>
        <v>5.1215277777777787E-3</v>
      </c>
      <c r="K189" s="83">
        <f t="shared" si="5"/>
        <v>0</v>
      </c>
      <c r="L189" s="83">
        <f t="shared" si="9"/>
        <v>0</v>
      </c>
      <c r="M189" s="35">
        <v>176</v>
      </c>
      <c r="N189" s="95"/>
    </row>
    <row r="190" spans="2:14" s="21" customFormat="1" x14ac:dyDescent="0.2">
      <c r="B190" s="51" t="s">
        <v>321</v>
      </c>
      <c r="C190" s="32">
        <v>1</v>
      </c>
      <c r="D190" s="32">
        <v>2010</v>
      </c>
      <c r="E190" s="29">
        <v>122.41</v>
      </c>
      <c r="F190" s="33">
        <v>36</v>
      </c>
      <c r="G190" s="29">
        <f t="shared" si="6"/>
        <v>0</v>
      </c>
      <c r="H190" s="87">
        <f t="shared" si="7"/>
        <v>3.4002777777777777</v>
      </c>
      <c r="I190" s="11"/>
      <c r="J190" s="83">
        <f t="shared" si="8"/>
        <v>1.9319760101010101E-2</v>
      </c>
      <c r="K190" s="83">
        <f t="shared" si="5"/>
        <v>0</v>
      </c>
      <c r="L190" s="83">
        <f t="shared" si="9"/>
        <v>0</v>
      </c>
      <c r="M190" s="35">
        <v>176</v>
      </c>
      <c r="N190" s="95"/>
    </row>
    <row r="191" spans="2:14" s="21" customFormat="1" x14ac:dyDescent="0.2">
      <c r="B191" s="51" t="s">
        <v>322</v>
      </c>
      <c r="C191" s="32">
        <v>1</v>
      </c>
      <c r="D191" s="32">
        <v>2010</v>
      </c>
      <c r="E191" s="29">
        <v>27.72</v>
      </c>
      <c r="F191" s="33">
        <v>36</v>
      </c>
      <c r="G191" s="29">
        <f t="shared" si="6"/>
        <v>0</v>
      </c>
      <c r="H191" s="87">
        <f t="shared" si="7"/>
        <v>0.77</v>
      </c>
      <c r="I191" s="11"/>
      <c r="J191" s="83">
        <f t="shared" si="8"/>
        <v>4.3750000000000004E-3</v>
      </c>
      <c r="K191" s="83">
        <f t="shared" si="5"/>
        <v>0</v>
      </c>
      <c r="L191" s="83">
        <f t="shared" si="9"/>
        <v>0</v>
      </c>
      <c r="M191" s="35">
        <v>176</v>
      </c>
      <c r="N191" s="95"/>
    </row>
    <row r="192" spans="2:14" s="21" customFormat="1" x14ac:dyDescent="0.2">
      <c r="B192" s="51"/>
      <c r="C192" s="32"/>
      <c r="D192" s="32"/>
      <c r="E192" s="29"/>
      <c r="F192" s="33"/>
      <c r="G192" s="29"/>
      <c r="H192" s="87"/>
      <c r="I192" s="29"/>
      <c r="J192" s="83"/>
      <c r="K192" s="83"/>
      <c r="L192" s="83"/>
      <c r="M192" s="35"/>
      <c r="N192" s="95"/>
    </row>
    <row r="193" spans="2:16" s="21" customFormat="1" x14ac:dyDescent="0.2">
      <c r="B193" s="31"/>
      <c r="D193" s="32"/>
      <c r="E193" s="29"/>
      <c r="F193" s="34"/>
      <c r="G193" s="29"/>
      <c r="H193" s="87"/>
      <c r="I193" s="29"/>
      <c r="J193" s="87"/>
      <c r="K193" s="87"/>
      <c r="L193" s="83"/>
      <c r="M193" s="35"/>
      <c r="N193" s="95"/>
    </row>
    <row r="194" spans="2:16" s="21" customFormat="1" x14ac:dyDescent="0.2">
      <c r="B194" s="392"/>
      <c r="C194" s="37"/>
      <c r="D194" s="38"/>
      <c r="E194" s="38"/>
      <c r="F194" s="38"/>
      <c r="G194" s="38"/>
      <c r="H194" s="114"/>
      <c r="I194" s="38"/>
      <c r="J194" s="114"/>
      <c r="K194" s="114"/>
      <c r="L194" s="115"/>
      <c r="M194" s="39"/>
    </row>
    <row r="195" spans="2:16" s="21" customFormat="1" x14ac:dyDescent="0.2">
      <c r="B195" s="32"/>
      <c r="D195" s="32"/>
      <c r="E195" s="32"/>
      <c r="F195" s="32"/>
      <c r="G195" s="32"/>
      <c r="H195" s="32"/>
      <c r="I195" s="32"/>
      <c r="J195" s="32"/>
    </row>
    <row r="196" spans="2:16" s="21" customFormat="1" x14ac:dyDescent="0.2">
      <c r="B196" s="32"/>
      <c r="C196" s="36"/>
      <c r="D196" s="32"/>
      <c r="E196" s="32"/>
      <c r="F196" s="32"/>
      <c r="G196" s="32"/>
      <c r="I196" s="32"/>
      <c r="J196" s="32"/>
    </row>
    <row r="197" spans="2:16" s="21" customFormat="1" x14ac:dyDescent="0.2">
      <c r="B197" s="68" t="s">
        <v>106</v>
      </c>
      <c r="C197" s="217"/>
      <c r="D197" s="217"/>
      <c r="E197" s="217"/>
      <c r="F197" s="217"/>
      <c r="G197" s="217"/>
      <c r="H197" s="217"/>
    </row>
    <row r="198" spans="2:16" s="21" customFormat="1" ht="25.5" x14ac:dyDescent="0.2">
      <c r="B198" s="191" t="s">
        <v>107</v>
      </c>
      <c r="C198" s="217"/>
      <c r="D198" s="40" t="s">
        <v>108</v>
      </c>
      <c r="E198" s="217"/>
      <c r="F198" s="40" t="s">
        <v>109</v>
      </c>
      <c r="G198" s="40" t="s">
        <v>59</v>
      </c>
      <c r="H198" s="40" t="s">
        <v>19</v>
      </c>
      <c r="I198" s="66" t="s">
        <v>110</v>
      </c>
      <c r="J198" s="217"/>
      <c r="K198" s="40" t="s">
        <v>111</v>
      </c>
    </row>
    <row r="199" spans="2:16" s="21" customFormat="1" x14ac:dyDescent="0.2">
      <c r="B199" s="217"/>
      <c r="C199" s="217"/>
      <c r="D199" s="217"/>
      <c r="E199" s="217"/>
      <c r="F199" s="217"/>
      <c r="G199" s="217"/>
      <c r="H199" s="217"/>
      <c r="I199" s="40" t="s">
        <v>101</v>
      </c>
      <c r="J199" s="40" t="s">
        <v>35</v>
      </c>
      <c r="K199" s="217"/>
    </row>
    <row r="200" spans="2:16" s="21" customFormat="1" x14ac:dyDescent="0.2">
      <c r="B200" s="105" t="s">
        <v>245</v>
      </c>
      <c r="C200" s="101"/>
      <c r="D200" s="102"/>
      <c r="E200" s="102"/>
      <c r="F200" s="102"/>
      <c r="G200" s="102"/>
      <c r="H200" s="102"/>
      <c r="I200" s="102"/>
      <c r="J200" s="102"/>
      <c r="K200" s="103">
        <f>SUM(K201:K203)</f>
        <v>0</v>
      </c>
    </row>
    <row r="201" spans="2:16" s="21" customFormat="1" x14ac:dyDescent="0.2">
      <c r="B201" s="104"/>
      <c r="C201" s="36"/>
      <c r="D201" s="36"/>
      <c r="E201" s="36"/>
      <c r="F201" s="32"/>
      <c r="G201" s="11"/>
      <c r="H201" s="32"/>
      <c r="I201" s="32"/>
      <c r="J201" s="32" t="s">
        <v>112</v>
      </c>
      <c r="K201" s="112">
        <v>0</v>
      </c>
      <c r="P201" s="119" t="s">
        <v>112</v>
      </c>
    </row>
    <row r="202" spans="2:16" s="21" customFormat="1" x14ac:dyDescent="0.2">
      <c r="B202" s="104"/>
      <c r="C202" s="36"/>
      <c r="D202" s="36"/>
      <c r="E202" s="36"/>
      <c r="F202" s="32"/>
      <c r="G202" s="11"/>
      <c r="H202" s="32"/>
      <c r="I202" s="32"/>
      <c r="J202" s="32" t="s">
        <v>145</v>
      </c>
      <c r="K202" s="112">
        <v>0</v>
      </c>
    </row>
    <row r="203" spans="2:16" s="21" customFormat="1" x14ac:dyDescent="0.2">
      <c r="B203" s="106"/>
      <c r="C203" s="107"/>
      <c r="D203" s="107"/>
      <c r="E203" s="107"/>
      <c r="F203" s="38"/>
      <c r="G203" s="120"/>
      <c r="H203" s="38"/>
      <c r="I203" s="38"/>
      <c r="J203" s="38"/>
      <c r="K203" s="113"/>
    </row>
    <row r="207" spans="2:16" s="302" customFormat="1" ht="15.75" x14ac:dyDescent="0.25">
      <c r="B207" s="379" t="s">
        <v>391</v>
      </c>
      <c r="C207" s="379" t="s">
        <v>392</v>
      </c>
      <c r="D207" s="379"/>
      <c r="E207" s="379"/>
    </row>
    <row r="208" spans="2:16" ht="15.75" x14ac:dyDescent="0.25">
      <c r="B208" s="381" t="s">
        <v>422</v>
      </c>
      <c r="C208" s="381"/>
      <c r="D208" s="381"/>
      <c r="E208" s="381"/>
    </row>
    <row r="209" spans="2:11" ht="15.75" x14ac:dyDescent="0.25">
      <c r="B209" s="381"/>
      <c r="C209" s="381"/>
      <c r="D209" s="381"/>
      <c r="E209" s="381"/>
    </row>
    <row r="211" spans="2:11" s="21" customFormat="1" x14ac:dyDescent="0.2">
      <c r="B211" s="143" t="s">
        <v>4</v>
      </c>
      <c r="C211" s="144" t="s">
        <v>35</v>
      </c>
      <c r="D211" s="144" t="s">
        <v>58</v>
      </c>
      <c r="E211" s="144" t="s">
        <v>105</v>
      </c>
      <c r="F211" s="144" t="s">
        <v>61</v>
      </c>
      <c r="G211" s="144" t="s">
        <v>62</v>
      </c>
    </row>
    <row r="212" spans="2:11" s="21" customFormat="1" x14ac:dyDescent="0.2">
      <c r="B212" s="51" t="s">
        <v>270</v>
      </c>
      <c r="C212" s="145" t="s">
        <v>185</v>
      </c>
      <c r="D212" s="118">
        <v>33.987314731789652</v>
      </c>
      <c r="E212" s="118"/>
      <c r="F212" s="116"/>
      <c r="G212" s="146"/>
      <c r="K212" s="59"/>
    </row>
    <row r="213" spans="2:11" s="21" customFormat="1" x14ac:dyDescent="0.2">
      <c r="B213" s="51" t="s">
        <v>271</v>
      </c>
      <c r="C213" s="11" t="s">
        <v>185</v>
      </c>
      <c r="D213" s="11">
        <v>30.471385621604515</v>
      </c>
      <c r="E213" s="11"/>
      <c r="F213" s="32"/>
      <c r="G213" s="43"/>
      <c r="K213" s="59"/>
    </row>
    <row r="214" spans="2:11" s="21" customFormat="1" x14ac:dyDescent="0.2">
      <c r="B214" s="51" t="s">
        <v>272</v>
      </c>
      <c r="C214" s="32" t="s">
        <v>185</v>
      </c>
      <c r="D214" s="11">
        <v>43.363125692283347</v>
      </c>
      <c r="E214" s="11"/>
      <c r="F214" s="32"/>
      <c r="G214" s="43"/>
      <c r="K214" s="59"/>
    </row>
    <row r="215" spans="2:11" s="21" customFormat="1" x14ac:dyDescent="0.2">
      <c r="B215" s="51" t="s">
        <v>273</v>
      </c>
      <c r="C215" s="32" t="s">
        <v>185</v>
      </c>
      <c r="D215" s="11">
        <v>26.955456511419378</v>
      </c>
      <c r="E215" s="11"/>
      <c r="F215" s="32"/>
      <c r="G215" s="43"/>
      <c r="K215" s="59"/>
    </row>
    <row r="216" spans="2:11" s="21" customFormat="1" x14ac:dyDescent="0.2">
      <c r="B216" s="51" t="s">
        <v>267</v>
      </c>
      <c r="C216" s="32" t="s">
        <v>35</v>
      </c>
      <c r="D216" s="11">
        <v>14.063716440740546</v>
      </c>
      <c r="E216" s="11"/>
      <c r="F216" s="32"/>
      <c r="G216" s="43"/>
      <c r="K216" s="59"/>
    </row>
    <row r="217" spans="2:11" s="21" customFormat="1" x14ac:dyDescent="0.2">
      <c r="B217" s="51" t="s">
        <v>268</v>
      </c>
      <c r="C217" s="32" t="s">
        <v>185</v>
      </c>
      <c r="D217" s="11">
        <v>23.439527401234241</v>
      </c>
      <c r="E217" s="11"/>
      <c r="F217" s="32"/>
      <c r="G217" s="43"/>
      <c r="K217" s="59"/>
    </row>
    <row r="218" spans="2:11" s="21" customFormat="1" x14ac:dyDescent="0.2">
      <c r="B218" s="51" t="s">
        <v>269</v>
      </c>
      <c r="C218" s="32" t="s">
        <v>185</v>
      </c>
      <c r="D218" s="11">
        <v>56.254865762962183</v>
      </c>
      <c r="E218" s="11"/>
      <c r="F218" s="32"/>
      <c r="G218" s="43"/>
      <c r="I218" s="11"/>
      <c r="K218" s="59"/>
    </row>
    <row r="219" spans="2:11" s="21" customFormat="1" x14ac:dyDescent="0.2">
      <c r="B219" s="51" t="s">
        <v>275</v>
      </c>
      <c r="C219" s="32" t="s">
        <v>274</v>
      </c>
      <c r="D219" s="11">
        <v>144.74</v>
      </c>
      <c r="E219" s="11"/>
      <c r="F219" s="32"/>
      <c r="G219" s="43"/>
    </row>
    <row r="220" spans="2:11" s="21" customFormat="1" x14ac:dyDescent="0.2">
      <c r="B220" s="48"/>
      <c r="C220" s="38"/>
      <c r="D220" s="120"/>
      <c r="E220" s="38"/>
      <c r="F220" s="38"/>
      <c r="G220" s="55"/>
    </row>
    <row r="221" spans="2:11" s="21" customFormat="1" x14ac:dyDescent="0.2">
      <c r="C221" s="32"/>
      <c r="D221" s="11"/>
      <c r="E221" s="32"/>
      <c r="F221" s="32"/>
      <c r="G221" s="32"/>
    </row>
    <row r="222" spans="2:11" s="21" customFormat="1" x14ac:dyDescent="0.2">
      <c r="C222" s="32"/>
      <c r="D222" s="11"/>
      <c r="E222" s="32"/>
      <c r="F222" s="32"/>
      <c r="G222" s="32"/>
    </row>
    <row r="223" spans="2:11" s="21" customFormat="1" x14ac:dyDescent="0.2">
      <c r="C223" s="32"/>
      <c r="D223" s="11"/>
      <c r="E223" s="11"/>
      <c r="F223" s="32"/>
      <c r="G223" s="32"/>
    </row>
    <row r="224" spans="2:11" s="302" customFormat="1" ht="15.75" x14ac:dyDescent="0.25">
      <c r="B224" s="379" t="s">
        <v>165</v>
      </c>
      <c r="C224" s="379" t="s">
        <v>394</v>
      </c>
    </row>
    <row r="225" spans="2:14" ht="15.75" x14ac:dyDescent="0.25">
      <c r="B225" s="381" t="s">
        <v>423</v>
      </c>
      <c r="C225" s="381"/>
    </row>
    <row r="226" spans="2:14" s="21" customFormat="1" ht="10.5" customHeight="1" x14ac:dyDescent="0.2">
      <c r="B226" s="68"/>
      <c r="C226" s="69"/>
      <c r="D226" s="32"/>
      <c r="E226" s="32"/>
      <c r="F226" s="32"/>
    </row>
    <row r="227" spans="2:14" s="21" customFormat="1" x14ac:dyDescent="0.2">
      <c r="B227" s="148" t="s">
        <v>4</v>
      </c>
      <c r="C227" s="66" t="s">
        <v>35</v>
      </c>
      <c r="D227" s="66" t="s">
        <v>58</v>
      </c>
      <c r="E227" s="66" t="s">
        <v>61</v>
      </c>
      <c r="F227" s="66" t="s">
        <v>62</v>
      </c>
    </row>
    <row r="228" spans="2:14" s="21" customFormat="1" x14ac:dyDescent="0.2">
      <c r="B228" s="128"/>
      <c r="C228" s="12"/>
      <c r="D228" s="11"/>
      <c r="E228" s="11"/>
      <c r="F228" s="43"/>
    </row>
    <row r="229" spans="2:14" s="21" customFormat="1" x14ac:dyDescent="0.2">
      <c r="B229" s="51" t="s">
        <v>246</v>
      </c>
      <c r="C229" s="174" t="s">
        <v>250</v>
      </c>
      <c r="D229" s="177">
        <v>1800</v>
      </c>
      <c r="E229" s="32" t="s">
        <v>247</v>
      </c>
      <c r="F229" s="43" t="s">
        <v>248</v>
      </c>
    </row>
    <row r="230" spans="2:14" s="21" customFormat="1" x14ac:dyDescent="0.2">
      <c r="B230" s="51" t="s">
        <v>249</v>
      </c>
      <c r="C230" s="174" t="s">
        <v>251</v>
      </c>
      <c r="D230" s="177">
        <v>49.524999999999999</v>
      </c>
      <c r="E230" s="32" t="s">
        <v>294</v>
      </c>
      <c r="F230" s="43" t="s">
        <v>248</v>
      </c>
    </row>
    <row r="231" spans="2:14" s="21" customFormat="1" x14ac:dyDescent="0.2">
      <c r="B231" s="48"/>
      <c r="C231" s="38"/>
      <c r="D231" s="149"/>
      <c r="E231" s="38"/>
      <c r="F231" s="55"/>
    </row>
    <row r="232" spans="2:14" s="21" customFormat="1" x14ac:dyDescent="0.2">
      <c r="C232" s="32"/>
      <c r="D232" s="11"/>
      <c r="E232" s="32"/>
      <c r="F232" s="32"/>
      <c r="G232" s="32"/>
    </row>
    <row r="233" spans="2:14" s="21" customFormat="1" x14ac:dyDescent="0.2">
      <c r="C233" s="32"/>
      <c r="D233" s="11"/>
      <c r="E233" s="32"/>
      <c r="F233" s="32"/>
      <c r="G233" s="32"/>
    </row>
    <row r="234" spans="2:14" s="21" customFormat="1" x14ac:dyDescent="0.2">
      <c r="C234" s="32"/>
      <c r="D234" s="11"/>
      <c r="E234" s="32"/>
      <c r="F234" s="32"/>
      <c r="G234" s="32"/>
    </row>
    <row r="235" spans="2:14" s="302" customFormat="1" ht="15.75" x14ac:dyDescent="0.25">
      <c r="B235" s="379" t="s">
        <v>395</v>
      </c>
      <c r="C235" s="379" t="s">
        <v>396</v>
      </c>
      <c r="D235" s="379"/>
      <c r="E235" s="379"/>
      <c r="F235" s="379"/>
      <c r="G235" s="379"/>
      <c r="H235" s="379"/>
    </row>
    <row r="236" spans="2:14" ht="15.75" x14ac:dyDescent="0.25">
      <c r="B236" s="381" t="s">
        <v>424</v>
      </c>
      <c r="C236" s="381"/>
      <c r="D236" s="381"/>
      <c r="E236" s="381"/>
      <c r="F236" s="381"/>
      <c r="G236" s="381"/>
      <c r="H236" s="381"/>
    </row>
    <row r="237" spans="2:14" ht="15.75" x14ac:dyDescent="0.25">
      <c r="B237" s="381" t="s">
        <v>397</v>
      </c>
      <c r="C237" s="381"/>
      <c r="D237" s="381"/>
      <c r="E237" s="381"/>
      <c r="F237" s="381"/>
      <c r="G237" s="381"/>
      <c r="H237" s="381"/>
    </row>
    <row r="239" spans="2:14" s="21" customFormat="1" x14ac:dyDescent="0.2">
      <c r="J239" s="130" t="s">
        <v>94</v>
      </c>
      <c r="K239" s="32"/>
      <c r="L239" s="32"/>
      <c r="M239" s="32"/>
      <c r="N239" s="32"/>
    </row>
    <row r="240" spans="2:14" s="21" customFormat="1" ht="9" customHeight="1" x14ac:dyDescent="0.2">
      <c r="B240" s="130"/>
      <c r="K240" s="32"/>
      <c r="L240" s="32"/>
      <c r="M240" s="32"/>
      <c r="N240" s="32"/>
    </row>
    <row r="241" spans="2:14" s="21" customFormat="1" ht="12.75" customHeight="1" x14ac:dyDescent="0.2">
      <c r="B241" s="193" t="s">
        <v>32</v>
      </c>
      <c r="C241" s="217"/>
      <c r="D241" s="217"/>
      <c r="E241" s="217"/>
      <c r="F241" s="217"/>
      <c r="G241" s="217"/>
      <c r="H241" s="189" t="s">
        <v>40</v>
      </c>
      <c r="J241" s="192" t="s">
        <v>103</v>
      </c>
      <c r="K241" s="192" t="s">
        <v>102</v>
      </c>
      <c r="L241" s="192" t="s">
        <v>188</v>
      </c>
      <c r="M241" s="192" t="s">
        <v>189</v>
      </c>
      <c r="N241" s="192" t="s">
        <v>190</v>
      </c>
    </row>
    <row r="242" spans="2:14" s="21" customFormat="1" x14ac:dyDescent="0.2">
      <c r="B242" s="217"/>
      <c r="C242" s="217"/>
      <c r="D242" s="217"/>
      <c r="E242" s="217"/>
      <c r="F242" s="217"/>
      <c r="G242" s="217"/>
      <c r="H242" s="217"/>
      <c r="J242" s="419"/>
      <c r="K242" s="418"/>
      <c r="L242" s="418"/>
      <c r="M242" s="418"/>
      <c r="N242" s="420"/>
    </row>
    <row r="243" spans="2:14" s="21" customFormat="1" x14ac:dyDescent="0.2">
      <c r="B243" s="150" t="s">
        <v>67</v>
      </c>
      <c r="C243" s="151"/>
      <c r="D243" s="152"/>
      <c r="E243" s="152"/>
      <c r="F243" s="152"/>
      <c r="G243" s="152"/>
      <c r="H243" s="153"/>
      <c r="J243" s="128" t="s">
        <v>295</v>
      </c>
      <c r="K243" s="82"/>
      <c r="L243" s="83">
        <f>$H$281*K243</f>
        <v>0</v>
      </c>
      <c r="M243" s="32">
        <v>1</v>
      </c>
      <c r="N243" s="112">
        <f>L243*M243</f>
        <v>0</v>
      </c>
    </row>
    <row r="244" spans="2:14" s="21" customFormat="1" x14ac:dyDescent="0.2">
      <c r="B244" s="51"/>
      <c r="D244" s="32" t="s">
        <v>49</v>
      </c>
      <c r="E244" s="95">
        <f>176</f>
        <v>176</v>
      </c>
      <c r="F244" s="83">
        <v>0</v>
      </c>
      <c r="G244" s="11"/>
      <c r="H244" s="112">
        <f>E244*F244</f>
        <v>0</v>
      </c>
      <c r="J244" s="51" t="s">
        <v>203</v>
      </c>
      <c r="K244" s="82"/>
      <c r="L244" s="83">
        <f>$H$281*K244</f>
        <v>0</v>
      </c>
      <c r="M244" s="32">
        <v>1</v>
      </c>
      <c r="N244" s="112">
        <f>L244*M244</f>
        <v>0</v>
      </c>
    </row>
    <row r="245" spans="2:14" s="21" customFormat="1" x14ac:dyDescent="0.2">
      <c r="B245" s="51"/>
      <c r="D245" s="32" t="s">
        <v>49</v>
      </c>
      <c r="E245" s="95">
        <f>176</f>
        <v>176</v>
      </c>
      <c r="F245" s="83">
        <v>0</v>
      </c>
      <c r="G245" s="11"/>
      <c r="H245" s="112">
        <f>E245*F245</f>
        <v>0</v>
      </c>
      <c r="J245" s="51" t="s">
        <v>204</v>
      </c>
      <c r="K245" s="82"/>
      <c r="L245" s="83">
        <f>$H$281*K245</f>
        <v>0</v>
      </c>
      <c r="M245" s="32">
        <v>1</v>
      </c>
      <c r="N245" s="112">
        <f>L245*M245</f>
        <v>0</v>
      </c>
    </row>
    <row r="246" spans="2:14" s="21" customFormat="1" x14ac:dyDescent="0.2">
      <c r="B246" s="51"/>
      <c r="D246" s="32" t="s">
        <v>49</v>
      </c>
      <c r="E246" s="95">
        <f>176</f>
        <v>176</v>
      </c>
      <c r="F246" s="83">
        <v>0</v>
      </c>
      <c r="G246" s="11"/>
      <c r="H246" s="112">
        <f t="shared" ref="H246:H252" si="10">E246*F246</f>
        <v>0</v>
      </c>
      <c r="J246" s="51" t="s">
        <v>205</v>
      </c>
      <c r="K246" s="82"/>
      <c r="L246" s="83">
        <f>$H$281*K246</f>
        <v>0</v>
      </c>
      <c r="M246" s="32">
        <v>1</v>
      </c>
      <c r="N246" s="112">
        <f>L246*M246</f>
        <v>0</v>
      </c>
    </row>
    <row r="247" spans="2:14" s="21" customFormat="1" x14ac:dyDescent="0.2">
      <c r="B247" s="51"/>
      <c r="D247" s="32" t="s">
        <v>49</v>
      </c>
      <c r="E247" s="95">
        <f>176</f>
        <v>176</v>
      </c>
      <c r="F247" s="83">
        <v>0</v>
      </c>
      <c r="G247" s="11"/>
      <c r="H247" s="112">
        <f t="shared" si="10"/>
        <v>0</v>
      </c>
      <c r="J247" s="51" t="s">
        <v>290</v>
      </c>
      <c r="K247" s="82"/>
      <c r="L247" s="83">
        <f>$H$281*K247</f>
        <v>0</v>
      </c>
      <c r="M247" s="32">
        <v>1</v>
      </c>
      <c r="N247" s="112">
        <f>L247*M247</f>
        <v>0</v>
      </c>
    </row>
    <row r="248" spans="2:14" s="21" customFormat="1" x14ac:dyDescent="0.2">
      <c r="B248" s="51"/>
      <c r="D248" s="32" t="s">
        <v>49</v>
      </c>
      <c r="E248" s="95">
        <f>176</f>
        <v>176</v>
      </c>
      <c r="F248" s="83">
        <v>0</v>
      </c>
      <c r="G248" s="11"/>
      <c r="H248" s="112">
        <f t="shared" si="10"/>
        <v>0</v>
      </c>
      <c r="J248" s="51" t="s">
        <v>291</v>
      </c>
      <c r="K248" s="82"/>
      <c r="L248" s="83"/>
      <c r="M248" s="32"/>
      <c r="N248" s="112"/>
    </row>
    <row r="249" spans="2:14" s="21" customFormat="1" x14ac:dyDescent="0.2">
      <c r="B249" s="51"/>
      <c r="D249" s="32" t="s">
        <v>49</v>
      </c>
      <c r="E249" s="95">
        <f>176</f>
        <v>176</v>
      </c>
      <c r="F249" s="83">
        <v>0</v>
      </c>
      <c r="G249" s="11"/>
      <c r="H249" s="112">
        <f t="shared" si="10"/>
        <v>0</v>
      </c>
      <c r="J249" s="51" t="s">
        <v>292</v>
      </c>
      <c r="K249" s="82"/>
      <c r="L249" s="83"/>
      <c r="M249" s="32"/>
      <c r="N249" s="112"/>
    </row>
    <row r="250" spans="2:14" s="21" customFormat="1" x14ac:dyDescent="0.2">
      <c r="B250" s="51"/>
      <c r="D250" s="32" t="s">
        <v>49</v>
      </c>
      <c r="E250" s="95">
        <f>176</f>
        <v>176</v>
      </c>
      <c r="F250" s="83">
        <v>0</v>
      </c>
      <c r="G250" s="11"/>
      <c r="H250" s="112">
        <f t="shared" si="10"/>
        <v>0</v>
      </c>
      <c r="J250" s="51" t="s">
        <v>215</v>
      </c>
      <c r="K250" s="82"/>
      <c r="L250" s="83"/>
      <c r="M250" s="32"/>
      <c r="N250" s="112"/>
    </row>
    <row r="251" spans="2:14" s="21" customFormat="1" x14ac:dyDescent="0.2">
      <c r="B251" s="51"/>
      <c r="D251" s="32" t="s">
        <v>49</v>
      </c>
      <c r="E251" s="95">
        <f>176</f>
        <v>176</v>
      </c>
      <c r="F251" s="83">
        <v>0</v>
      </c>
      <c r="G251" s="11"/>
      <c r="H251" s="112">
        <f t="shared" si="10"/>
        <v>0</v>
      </c>
      <c r="J251" s="51"/>
      <c r="K251" s="82"/>
      <c r="L251" s="83"/>
      <c r="M251" s="32"/>
      <c r="N251" s="112"/>
    </row>
    <row r="252" spans="2:14" s="21" customFormat="1" x14ac:dyDescent="0.2">
      <c r="B252" s="51"/>
      <c r="D252" s="32"/>
      <c r="E252" s="95"/>
      <c r="F252" s="83">
        <v>0</v>
      </c>
      <c r="G252" s="11"/>
      <c r="H252" s="112">
        <f t="shared" si="10"/>
        <v>0</v>
      </c>
      <c r="J252" s="51"/>
      <c r="K252" s="82"/>
      <c r="L252" s="83"/>
      <c r="M252" s="32"/>
      <c r="N252" s="112"/>
    </row>
    <row r="253" spans="2:14" s="21" customFormat="1" x14ac:dyDescent="0.2">
      <c r="B253" s="51"/>
      <c r="D253" s="32"/>
      <c r="E253" s="95"/>
      <c r="F253" s="83"/>
      <c r="G253" s="11"/>
      <c r="H253" s="112"/>
      <c r="J253" s="51"/>
      <c r="K253" s="82"/>
      <c r="L253" s="83"/>
      <c r="M253" s="32"/>
      <c r="N253" s="112"/>
    </row>
    <row r="254" spans="2:14" s="21" customFormat="1" x14ac:dyDescent="0.2">
      <c r="B254" s="51"/>
      <c r="D254" s="32"/>
      <c r="E254" s="95"/>
      <c r="F254" s="83"/>
      <c r="G254" s="11"/>
      <c r="H254" s="112"/>
      <c r="J254" s="51"/>
      <c r="K254" s="82"/>
      <c r="L254" s="83"/>
      <c r="M254" s="32"/>
      <c r="N254" s="112"/>
    </row>
    <row r="255" spans="2:14" s="21" customFormat="1" x14ac:dyDescent="0.2">
      <c r="B255" s="51"/>
      <c r="D255" s="32"/>
      <c r="E255" s="95"/>
      <c r="F255" s="83"/>
      <c r="G255" s="11"/>
      <c r="H255" s="112"/>
      <c r="J255" s="51"/>
      <c r="K255" s="82"/>
      <c r="L255" s="83"/>
      <c r="M255" s="32"/>
      <c r="N255" s="112"/>
    </row>
    <row r="256" spans="2:14" s="21" customFormat="1" x14ac:dyDescent="0.2">
      <c r="B256" s="51"/>
      <c r="D256" s="32"/>
      <c r="E256" s="95"/>
      <c r="F256" s="83"/>
      <c r="G256" s="11"/>
      <c r="H256" s="112"/>
      <c r="J256" s="51"/>
      <c r="K256" s="82"/>
      <c r="L256" s="83"/>
      <c r="M256" s="32"/>
      <c r="N256" s="112"/>
    </row>
    <row r="257" spans="2:14" s="21" customFormat="1" x14ac:dyDescent="0.2">
      <c r="B257" s="51"/>
      <c r="D257" s="32"/>
      <c r="E257" s="95"/>
      <c r="F257" s="83"/>
      <c r="G257" s="11"/>
      <c r="H257" s="112"/>
      <c r="J257" s="51"/>
      <c r="K257" s="82"/>
      <c r="L257" s="83"/>
      <c r="M257" s="32"/>
      <c r="N257" s="112"/>
    </row>
    <row r="258" spans="2:14" s="21" customFormat="1" x14ac:dyDescent="0.2">
      <c r="B258" s="51"/>
      <c r="D258" s="32"/>
      <c r="E258" s="95"/>
      <c r="F258" s="83"/>
      <c r="G258" s="11"/>
      <c r="H258" s="112"/>
      <c r="J258" s="51"/>
      <c r="K258" s="82"/>
      <c r="L258" s="83"/>
      <c r="M258" s="32"/>
      <c r="N258" s="112"/>
    </row>
    <row r="259" spans="2:14" s="21" customFormat="1" x14ac:dyDescent="0.2">
      <c r="B259" s="51"/>
      <c r="D259" s="32"/>
      <c r="E259" s="95"/>
      <c r="F259" s="83"/>
      <c r="G259" s="11"/>
      <c r="H259" s="112"/>
      <c r="J259" s="51"/>
      <c r="K259" s="82"/>
      <c r="L259" s="83"/>
      <c r="M259" s="32"/>
      <c r="N259" s="112"/>
    </row>
    <row r="260" spans="2:14" s="21" customFormat="1" x14ac:dyDescent="0.2">
      <c r="B260" s="51"/>
      <c r="D260" s="32"/>
      <c r="E260" s="95"/>
      <c r="F260" s="83"/>
      <c r="G260" s="11"/>
      <c r="H260" s="112"/>
      <c r="J260" s="51"/>
      <c r="K260" s="82"/>
      <c r="L260" s="83"/>
      <c r="M260" s="32"/>
      <c r="N260" s="112"/>
    </row>
    <row r="261" spans="2:14" s="21" customFormat="1" x14ac:dyDescent="0.2">
      <c r="B261" s="51"/>
      <c r="D261" s="32"/>
      <c r="E261" s="95"/>
      <c r="F261" s="83"/>
      <c r="G261" s="11"/>
      <c r="H261" s="112"/>
      <c r="J261" s="51"/>
      <c r="K261" s="82"/>
      <c r="L261" s="83"/>
      <c r="M261" s="32"/>
      <c r="N261" s="112"/>
    </row>
    <row r="262" spans="2:14" s="21" customFormat="1" x14ac:dyDescent="0.2">
      <c r="B262" s="51"/>
      <c r="D262" s="32"/>
      <c r="E262" s="95"/>
      <c r="F262" s="154"/>
      <c r="G262" s="81" t="s">
        <v>68</v>
      </c>
      <c r="H262" s="88">
        <f>SUM(H244:H261)</f>
        <v>0</v>
      </c>
      <c r="J262" s="51"/>
      <c r="K262" s="82"/>
      <c r="L262" s="83"/>
      <c r="M262" s="32"/>
      <c r="N262" s="112"/>
    </row>
    <row r="263" spans="2:14" s="21" customFormat="1" x14ac:dyDescent="0.2">
      <c r="B263" s="150" t="s">
        <v>65</v>
      </c>
      <c r="C263" s="151"/>
      <c r="D263" s="155" t="s">
        <v>23</v>
      </c>
      <c r="E263" s="155" t="s">
        <v>25</v>
      </c>
      <c r="F263" s="155" t="s">
        <v>30</v>
      </c>
      <c r="G263" s="155" t="s">
        <v>92</v>
      </c>
      <c r="H263" s="153"/>
      <c r="J263" s="51"/>
      <c r="K263" s="82"/>
      <c r="L263" s="83"/>
      <c r="M263" s="32"/>
      <c r="N263" s="112"/>
    </row>
    <row r="264" spans="2:14" s="21" customFormat="1" x14ac:dyDescent="0.2">
      <c r="B264" s="51"/>
      <c r="D264" s="29"/>
      <c r="E264" s="29"/>
      <c r="F264" s="95"/>
      <c r="G264" s="11"/>
      <c r="H264" s="41"/>
      <c r="J264" s="51"/>
      <c r="K264" s="82"/>
      <c r="L264" s="83"/>
      <c r="M264" s="32"/>
      <c r="N264" s="112"/>
    </row>
    <row r="265" spans="2:14" s="21" customFormat="1" x14ac:dyDescent="0.2">
      <c r="B265" s="51"/>
      <c r="D265" s="32"/>
      <c r="E265" s="95"/>
      <c r="F265" s="11"/>
      <c r="G265" s="81" t="s">
        <v>68</v>
      </c>
      <c r="H265" s="44">
        <f>SUM(H264:H264)</f>
        <v>0</v>
      </c>
      <c r="J265" s="128"/>
      <c r="K265" s="82"/>
      <c r="L265" s="83"/>
      <c r="M265" s="32"/>
      <c r="N265" s="112"/>
    </row>
    <row r="266" spans="2:14" s="21" customFormat="1" x14ac:dyDescent="0.2">
      <c r="B266" s="150" t="s">
        <v>93</v>
      </c>
      <c r="C266" s="151"/>
      <c r="D266" s="155" t="s">
        <v>23</v>
      </c>
      <c r="E266" s="155" t="s">
        <v>25</v>
      </c>
      <c r="F266" s="155" t="s">
        <v>30</v>
      </c>
      <c r="G266" s="155" t="s">
        <v>92</v>
      </c>
      <c r="H266" s="156"/>
      <c r="J266" s="51"/>
      <c r="K266" s="82"/>
      <c r="L266" s="83"/>
      <c r="M266" s="32"/>
      <c r="N266" s="112"/>
    </row>
    <row r="267" spans="2:14" s="21" customFormat="1" x14ac:dyDescent="0.2">
      <c r="B267" s="51"/>
      <c r="D267" s="29"/>
      <c r="E267" s="29"/>
      <c r="F267" s="95"/>
      <c r="G267" s="11"/>
      <c r="H267" s="41"/>
      <c r="J267" s="48"/>
      <c r="K267" s="435"/>
      <c r="L267" s="436"/>
      <c r="M267" s="38"/>
      <c r="N267" s="113"/>
    </row>
    <row r="268" spans="2:14" s="21" customFormat="1" x14ac:dyDescent="0.2">
      <c r="B268" s="51"/>
      <c r="D268" s="32"/>
      <c r="E268" s="95"/>
      <c r="F268" s="11"/>
      <c r="G268" s="81" t="s">
        <v>68</v>
      </c>
      <c r="H268" s="44">
        <f>SUM(H267:H267)</f>
        <v>0</v>
      </c>
      <c r="K268" s="32"/>
      <c r="L268" s="32"/>
      <c r="M268" s="32"/>
      <c r="N268" s="32"/>
    </row>
    <row r="269" spans="2:14" s="21" customFormat="1" x14ac:dyDescent="0.2">
      <c r="B269" s="150" t="s">
        <v>44</v>
      </c>
      <c r="C269" s="151"/>
      <c r="D269" s="155" t="s">
        <v>81</v>
      </c>
      <c r="E269" s="155" t="s">
        <v>82</v>
      </c>
      <c r="F269" s="155" t="s">
        <v>49</v>
      </c>
      <c r="G269" s="155" t="s">
        <v>78</v>
      </c>
      <c r="H269" s="153"/>
      <c r="K269" s="32"/>
      <c r="L269" s="32"/>
      <c r="M269" s="32"/>
      <c r="N269" s="32"/>
    </row>
    <row r="270" spans="2:14" s="21" customFormat="1" x14ac:dyDescent="0.2">
      <c r="B270" s="128"/>
      <c r="C270" s="130"/>
      <c r="D270" s="83"/>
      <c r="E270" s="83"/>
      <c r="F270" s="95"/>
      <c r="G270" s="95"/>
      <c r="H270" s="112"/>
      <c r="K270" s="32"/>
      <c r="L270" s="32"/>
      <c r="M270" s="32"/>
      <c r="N270" s="32"/>
    </row>
    <row r="271" spans="2:14" s="21" customFormat="1" x14ac:dyDescent="0.2">
      <c r="B271" s="128"/>
      <c r="C271" s="130"/>
      <c r="D271" s="87"/>
      <c r="E271" s="87"/>
      <c r="F271" s="29"/>
      <c r="G271" s="81" t="s">
        <v>68</v>
      </c>
      <c r="H271" s="88">
        <f>SUM(H270:H270)</f>
        <v>0</v>
      </c>
      <c r="K271" s="32"/>
      <c r="L271" s="32"/>
      <c r="M271" s="32"/>
      <c r="N271" s="32"/>
    </row>
    <row r="272" spans="2:14" s="21" customFormat="1" x14ac:dyDescent="0.2">
      <c r="B272" s="150" t="s">
        <v>53</v>
      </c>
      <c r="C272" s="151"/>
      <c r="D272" s="152"/>
      <c r="E272" s="152"/>
      <c r="F272" s="152"/>
      <c r="G272" s="152"/>
      <c r="H272" s="153"/>
      <c r="K272" s="32"/>
      <c r="L272" s="32"/>
      <c r="M272" s="32"/>
      <c r="N272" s="32"/>
    </row>
    <row r="273" spans="2:14" s="21" customFormat="1" x14ac:dyDescent="0.2">
      <c r="B273" s="128"/>
      <c r="C273" s="130"/>
      <c r="D273" s="29"/>
      <c r="E273" s="29"/>
      <c r="F273" s="29"/>
      <c r="G273" s="29"/>
      <c r="H273" s="41">
        <f>2099.45-1200</f>
        <v>899.44999999999982</v>
      </c>
      <c r="K273" s="32"/>
      <c r="L273" s="32"/>
      <c r="M273" s="32"/>
      <c r="N273" s="32"/>
    </row>
    <row r="274" spans="2:14" s="21" customFormat="1" x14ac:dyDescent="0.2">
      <c r="B274" s="128"/>
      <c r="C274" s="130"/>
      <c r="D274" s="29"/>
      <c r="E274" s="29"/>
      <c r="F274" s="29"/>
      <c r="G274" s="29"/>
      <c r="H274" s="41"/>
      <c r="K274" s="32"/>
      <c r="L274" s="32"/>
      <c r="M274" s="32"/>
      <c r="N274" s="32"/>
    </row>
    <row r="275" spans="2:14" s="21" customFormat="1" x14ac:dyDescent="0.2">
      <c r="B275" s="128"/>
      <c r="C275" s="130"/>
      <c r="D275" s="29"/>
      <c r="E275" s="29"/>
      <c r="F275" s="29"/>
      <c r="G275" s="29"/>
      <c r="H275" s="41"/>
      <c r="K275" s="32"/>
      <c r="L275" s="32"/>
      <c r="M275" s="32"/>
      <c r="N275" s="32"/>
    </row>
    <row r="276" spans="2:14" s="21" customFormat="1" x14ac:dyDescent="0.2">
      <c r="B276" s="128"/>
      <c r="C276" s="130"/>
      <c r="D276" s="29"/>
      <c r="E276" s="29"/>
      <c r="F276" s="29"/>
      <c r="G276" s="81" t="s">
        <v>68</v>
      </c>
      <c r="H276" s="44">
        <f>SUM(H273:H275)</f>
        <v>899.44999999999982</v>
      </c>
      <c r="K276" s="32"/>
      <c r="L276" s="32"/>
      <c r="M276" s="32"/>
      <c r="N276" s="32"/>
    </row>
    <row r="277" spans="2:14" s="21" customFormat="1" x14ac:dyDescent="0.2">
      <c r="B277" s="150" t="s">
        <v>37</v>
      </c>
      <c r="C277" s="151"/>
      <c r="D277" s="152"/>
      <c r="E277" s="152"/>
      <c r="F277" s="152"/>
      <c r="G277" s="152"/>
      <c r="H277" s="153"/>
      <c r="K277" s="32"/>
      <c r="L277" s="32"/>
      <c r="M277" s="32"/>
      <c r="N277" s="32"/>
    </row>
    <row r="278" spans="2:14" s="21" customFormat="1" x14ac:dyDescent="0.2">
      <c r="B278" s="128" t="s">
        <v>164</v>
      </c>
      <c r="C278" s="130"/>
      <c r="D278" s="29"/>
      <c r="E278" s="29"/>
      <c r="F278" s="29"/>
      <c r="G278" s="29"/>
      <c r="H278" s="41">
        <v>1200</v>
      </c>
      <c r="K278" s="32"/>
      <c r="L278" s="32"/>
      <c r="M278" s="32"/>
      <c r="N278" s="32"/>
    </row>
    <row r="279" spans="2:14" s="21" customFormat="1" x14ac:dyDescent="0.2">
      <c r="B279" s="128"/>
      <c r="C279" s="130"/>
      <c r="D279" s="29"/>
      <c r="E279" s="29"/>
      <c r="F279" s="29"/>
      <c r="G279" s="29"/>
      <c r="H279" s="41"/>
      <c r="K279" s="32"/>
      <c r="L279" s="32"/>
      <c r="M279" s="32"/>
      <c r="N279" s="32"/>
    </row>
    <row r="280" spans="2:14" s="21" customFormat="1" x14ac:dyDescent="0.2">
      <c r="B280" s="158"/>
      <c r="C280" s="130"/>
      <c r="D280" s="29"/>
      <c r="E280" s="29"/>
      <c r="F280" s="29"/>
      <c r="G280" s="81" t="s">
        <v>68</v>
      </c>
      <c r="H280" s="44">
        <f>SUM(H278:H279)</f>
        <v>1200</v>
      </c>
      <c r="K280" s="32"/>
      <c r="L280" s="32"/>
      <c r="M280" s="32"/>
      <c r="N280" s="32"/>
    </row>
    <row r="281" spans="2:14" s="21" customFormat="1" x14ac:dyDescent="0.2">
      <c r="B281" s="48"/>
      <c r="C281" s="37"/>
      <c r="D281" s="37"/>
      <c r="E281" s="37"/>
      <c r="F281" s="159" t="s">
        <v>5</v>
      </c>
      <c r="G281" s="159"/>
      <c r="H281" s="160">
        <f>SUM(H262,H265,H268,H271,H276,H280)</f>
        <v>2099.4499999999998</v>
      </c>
      <c r="K281" s="32"/>
      <c r="L281" s="32"/>
      <c r="M281" s="32"/>
      <c r="N281" s="32"/>
    </row>
    <row r="284" spans="2:14" ht="15.75" x14ac:dyDescent="0.25">
      <c r="B284" s="329" t="s">
        <v>411</v>
      </c>
      <c r="C284" s="330"/>
    </row>
    <row r="285" spans="2:14" ht="15" x14ac:dyDescent="0.2">
      <c r="B285" s="331" t="s">
        <v>412</v>
      </c>
      <c r="C285" s="330"/>
    </row>
    <row r="286" spans="2:14" x14ac:dyDescent="0.2">
      <c r="B286" s="217" t="s">
        <v>398</v>
      </c>
    </row>
    <row r="287" spans="2:14" s="302" customFormat="1" ht="15.75" x14ac:dyDescent="0.25">
      <c r="B287" s="379" t="s">
        <v>399</v>
      </c>
      <c r="C287" s="379" t="s">
        <v>400</v>
      </c>
      <c r="D287" s="379"/>
      <c r="E287" s="379"/>
      <c r="F287" s="379"/>
      <c r="G287" s="379"/>
    </row>
    <row r="288" spans="2:14" ht="15.75" x14ac:dyDescent="0.25">
      <c r="B288" s="381" t="s">
        <v>401</v>
      </c>
      <c r="C288" s="381"/>
      <c r="D288" s="381"/>
      <c r="E288" s="381"/>
      <c r="F288" s="381"/>
      <c r="G288" s="381"/>
    </row>
    <row r="289" spans="2:31" ht="15.75" x14ac:dyDescent="0.25">
      <c r="B289" s="381" t="s">
        <v>402</v>
      </c>
      <c r="C289" s="381"/>
      <c r="D289" s="381"/>
      <c r="E289" s="381"/>
      <c r="F289" s="381"/>
      <c r="G289" s="381"/>
    </row>
    <row r="290" spans="2:31" s="21" customFormat="1" ht="15.75" x14ac:dyDescent="0.25">
      <c r="B290" s="393"/>
      <c r="C290" s="393"/>
      <c r="D290" s="393"/>
      <c r="E290" s="393"/>
      <c r="F290" s="393"/>
      <c r="G290" s="393"/>
      <c r="H290" s="32"/>
      <c r="I290" s="32"/>
      <c r="J290" s="129"/>
      <c r="K290" s="129"/>
      <c r="L290" s="319"/>
      <c r="M290" s="217"/>
      <c r="N290" s="217"/>
      <c r="O290" s="217"/>
      <c r="P290" s="319"/>
      <c r="Q290" s="217"/>
      <c r="R290" s="217"/>
      <c r="S290" s="217"/>
      <c r="T290" s="217"/>
      <c r="U290" s="217"/>
      <c r="V290" s="131"/>
      <c r="W290" s="131"/>
      <c r="X290" s="129"/>
      <c r="Y290" s="320"/>
      <c r="Z290" s="129"/>
      <c r="AA290" s="129"/>
      <c r="AB290" s="129"/>
      <c r="AC290" s="129"/>
      <c r="AD290" s="129"/>
      <c r="AE290" s="129"/>
    </row>
    <row r="291" spans="2:31" s="21" customFormat="1" x14ac:dyDescent="0.2">
      <c r="B291" s="166" t="s">
        <v>4</v>
      </c>
      <c r="C291" s="217"/>
      <c r="D291" s="166" t="s">
        <v>35</v>
      </c>
      <c r="E291" s="61" t="s">
        <v>47</v>
      </c>
      <c r="F291" s="217"/>
      <c r="G291" s="61" t="s">
        <v>48</v>
      </c>
      <c r="H291" s="217"/>
      <c r="I291" s="166" t="s">
        <v>6</v>
      </c>
      <c r="J291" s="318"/>
      <c r="K291" s="131"/>
      <c r="L291" s="318"/>
      <c r="M291" s="217"/>
      <c r="N291" s="318"/>
      <c r="O291" s="217"/>
      <c r="P291" s="318"/>
      <c r="Q291" s="217"/>
      <c r="R291" s="318"/>
      <c r="S291" s="217"/>
      <c r="T291" s="318"/>
      <c r="U291" s="217"/>
      <c r="V291" s="318"/>
      <c r="W291" s="217"/>
      <c r="X291" s="318"/>
      <c r="Y291" s="318"/>
      <c r="Z291" s="318"/>
      <c r="AA291" s="318"/>
      <c r="AB291" s="318"/>
      <c r="AC291" s="129"/>
      <c r="AD291" s="129"/>
      <c r="AE291" s="129"/>
    </row>
    <row r="292" spans="2:31" s="21" customFormat="1" x14ac:dyDescent="0.2">
      <c r="B292" s="134"/>
      <c r="C292" s="65"/>
      <c r="D292" s="65"/>
      <c r="E292" s="65"/>
      <c r="F292" s="65"/>
      <c r="G292" s="65"/>
      <c r="H292" s="65"/>
      <c r="I292" s="65"/>
      <c r="J292" s="203"/>
      <c r="K292" s="131"/>
      <c r="L292" s="131"/>
      <c r="M292" s="131"/>
      <c r="N292" s="131"/>
      <c r="O292" s="131"/>
      <c r="P292" s="131"/>
      <c r="Q292" s="131"/>
      <c r="R292" s="131"/>
      <c r="S292" s="131"/>
      <c r="T292" s="131"/>
      <c r="U292" s="131"/>
      <c r="V292" s="131"/>
      <c r="W292" s="131"/>
      <c r="X292" s="131"/>
      <c r="Y292" s="129"/>
      <c r="Z292" s="129"/>
      <c r="AA292" s="129"/>
      <c r="AB292" s="131"/>
      <c r="AC292" s="129"/>
      <c r="AD292" s="129"/>
      <c r="AE292" s="129"/>
    </row>
    <row r="293" spans="2:31" s="21" customFormat="1" x14ac:dyDescent="0.2">
      <c r="B293" s="437" t="s">
        <v>54</v>
      </c>
      <c r="C293" s="438" t="s">
        <v>39</v>
      </c>
      <c r="D293" s="438"/>
      <c r="E293" s="116"/>
      <c r="F293" s="116"/>
      <c r="G293" s="116"/>
      <c r="H293" s="116"/>
      <c r="I293" s="146"/>
      <c r="J293" s="131"/>
      <c r="K293" s="131"/>
      <c r="L293" s="131"/>
      <c r="M293" s="131"/>
      <c r="N293" s="131"/>
      <c r="O293" s="131"/>
      <c r="P293" s="131"/>
      <c r="Q293" s="131"/>
      <c r="R293" s="131"/>
      <c r="S293" s="131"/>
      <c r="T293" s="131"/>
      <c r="U293" s="131"/>
      <c r="V293" s="131"/>
      <c r="W293" s="131"/>
      <c r="X293" s="131"/>
      <c r="Y293" s="129"/>
      <c r="Z293" s="129"/>
      <c r="AA293" s="129"/>
      <c r="AB293" s="131"/>
      <c r="AC293" s="129"/>
      <c r="AD293" s="129"/>
      <c r="AE293" s="129"/>
    </row>
    <row r="294" spans="2:31" s="21" customFormat="1" x14ac:dyDescent="0.2">
      <c r="B294" s="51" t="s">
        <v>208</v>
      </c>
      <c r="D294" s="32" t="s">
        <v>49</v>
      </c>
      <c r="E294" s="308" t="e">
        <v>#N/A</v>
      </c>
      <c r="F294" s="217"/>
      <c r="G294" s="190">
        <v>29.333333333333332</v>
      </c>
      <c r="H294" s="217"/>
      <c r="I294" s="309" t="e">
        <f>E294*G294</f>
        <v>#N/A</v>
      </c>
      <c r="J294" s="131"/>
      <c r="K294" s="131"/>
      <c r="L294" s="202"/>
      <c r="M294" s="131"/>
      <c r="N294" s="202"/>
      <c r="O294" s="131"/>
      <c r="P294" s="202"/>
      <c r="Q294" s="131"/>
      <c r="R294" s="202"/>
      <c r="S294" s="131"/>
      <c r="T294" s="202"/>
      <c r="U294" s="131"/>
      <c r="V294" s="202"/>
      <c r="W294" s="131"/>
      <c r="X294" s="202"/>
      <c r="Y294" s="202"/>
      <c r="Z294" s="202"/>
      <c r="AA294" s="202"/>
      <c r="AB294" s="202"/>
      <c r="AC294" s="129"/>
      <c r="AD294" s="129"/>
      <c r="AE294" s="129"/>
    </row>
    <row r="295" spans="2:31" s="21" customFormat="1" x14ac:dyDescent="0.2">
      <c r="B295" s="51" t="s">
        <v>209</v>
      </c>
      <c r="D295" s="32" t="s">
        <v>49</v>
      </c>
      <c r="E295" s="308" t="e">
        <v>#N/A</v>
      </c>
      <c r="F295" s="217"/>
      <c r="G295" s="190">
        <v>29.333333333333332</v>
      </c>
      <c r="H295" s="217"/>
      <c r="I295" s="309" t="e">
        <f>E295*G295</f>
        <v>#N/A</v>
      </c>
      <c r="J295" s="131"/>
      <c r="K295" s="131"/>
      <c r="L295" s="202"/>
      <c r="M295" s="131"/>
      <c r="N295" s="202"/>
      <c r="O295" s="131"/>
      <c r="P295" s="202"/>
      <c r="Q295" s="131"/>
      <c r="R295" s="202"/>
      <c r="S295" s="131"/>
      <c r="T295" s="202"/>
      <c r="U295" s="131"/>
      <c r="V295" s="202"/>
      <c r="W295" s="131"/>
      <c r="X295" s="202"/>
      <c r="Y295" s="202"/>
      <c r="Z295" s="202"/>
      <c r="AA295" s="202"/>
      <c r="AB295" s="202"/>
      <c r="AC295" s="129"/>
      <c r="AD295" s="129"/>
      <c r="AE295" s="129"/>
    </row>
    <row r="296" spans="2:31" s="21" customFormat="1" x14ac:dyDescent="0.2">
      <c r="B296" s="51" t="s">
        <v>210</v>
      </c>
      <c r="D296" s="32" t="s">
        <v>49</v>
      </c>
      <c r="E296" s="308" t="e">
        <v>#N/A</v>
      </c>
      <c r="F296" s="217"/>
      <c r="G296" s="190">
        <v>29.333333333333332</v>
      </c>
      <c r="H296" s="217"/>
      <c r="I296" s="309" t="e">
        <f>E296*G296</f>
        <v>#N/A</v>
      </c>
      <c r="J296" s="131"/>
      <c r="K296" s="131"/>
      <c r="L296" s="202"/>
      <c r="M296" s="131"/>
      <c r="N296" s="202"/>
      <c r="O296" s="131"/>
      <c r="P296" s="202"/>
      <c r="Q296" s="131"/>
      <c r="R296" s="202"/>
      <c r="S296" s="131"/>
      <c r="T296" s="202"/>
      <c r="U296" s="131"/>
      <c r="V296" s="202"/>
      <c r="W296" s="131"/>
      <c r="X296" s="202"/>
      <c r="Y296" s="202"/>
      <c r="Z296" s="202"/>
      <c r="AA296" s="202"/>
      <c r="AB296" s="202"/>
      <c r="AC296" s="129"/>
      <c r="AD296" s="129"/>
      <c r="AE296" s="129"/>
    </row>
    <row r="297" spans="2:31" s="21" customFormat="1" x14ac:dyDescent="0.2">
      <c r="B297" s="51" t="s">
        <v>211</v>
      </c>
      <c r="D297" s="32" t="s">
        <v>49</v>
      </c>
      <c r="E297" s="308" t="e">
        <v>#N/A</v>
      </c>
      <c r="F297" s="217"/>
      <c r="G297" s="190">
        <v>29.333333333333332</v>
      </c>
      <c r="H297" s="217"/>
      <c r="I297" s="309" t="e">
        <f>E297*G297</f>
        <v>#N/A</v>
      </c>
      <c r="J297" s="131"/>
      <c r="K297" s="131"/>
      <c r="L297" s="202"/>
      <c r="M297" s="131"/>
      <c r="N297" s="202"/>
      <c r="O297" s="131"/>
      <c r="P297" s="202"/>
      <c r="Q297" s="131"/>
      <c r="R297" s="202"/>
      <c r="S297" s="131"/>
      <c r="T297" s="202"/>
      <c r="U297" s="131"/>
      <c r="V297" s="202"/>
      <c r="W297" s="131"/>
      <c r="X297" s="202"/>
      <c r="Y297" s="202"/>
      <c r="Z297" s="202"/>
      <c r="AA297" s="202"/>
      <c r="AB297" s="202"/>
    </row>
    <row r="298" spans="2:31" s="21" customFormat="1" x14ac:dyDescent="0.2">
      <c r="B298" s="51" t="s">
        <v>212</v>
      </c>
      <c r="D298" s="32" t="s">
        <v>49</v>
      </c>
      <c r="E298" s="308" t="e">
        <v>#N/A</v>
      </c>
      <c r="F298" s="217"/>
      <c r="G298" s="190">
        <v>29.333333333333332</v>
      </c>
      <c r="H298" s="217"/>
      <c r="I298" s="309" t="e">
        <f t="shared" ref="I298:I313" si="11">E298*G298</f>
        <v>#N/A</v>
      </c>
      <c r="J298" s="131"/>
      <c r="K298" s="131"/>
      <c r="L298" s="202"/>
      <c r="M298" s="131"/>
      <c r="N298" s="202"/>
      <c r="O298" s="131"/>
      <c r="P298" s="202"/>
      <c r="Q298" s="131"/>
      <c r="R298" s="202"/>
      <c r="S298" s="131"/>
      <c r="T298" s="202"/>
      <c r="U298" s="131"/>
      <c r="V298" s="202"/>
      <c r="W298" s="131"/>
      <c r="X298" s="202"/>
      <c r="Y298" s="202"/>
      <c r="Z298" s="202"/>
      <c r="AA298" s="202"/>
      <c r="AB298" s="202"/>
    </row>
    <row r="299" spans="2:31" s="21" customFormat="1" x14ac:dyDescent="0.2">
      <c r="B299" s="51" t="s">
        <v>213</v>
      </c>
      <c r="D299" s="32" t="s">
        <v>49</v>
      </c>
      <c r="E299" s="308" t="e">
        <v>#N/A</v>
      </c>
      <c r="F299" s="217"/>
      <c r="G299" s="190">
        <v>29.333333333333332</v>
      </c>
      <c r="H299" s="217"/>
      <c r="I299" s="309" t="e">
        <f t="shared" si="11"/>
        <v>#N/A</v>
      </c>
      <c r="J299" s="131"/>
      <c r="K299" s="131"/>
      <c r="L299" s="131"/>
      <c r="M299" s="131"/>
      <c r="N299" s="131"/>
      <c r="O299" s="131"/>
      <c r="P299" s="131"/>
      <c r="Q299" s="131"/>
      <c r="R299" s="131"/>
      <c r="S299" s="131"/>
      <c r="T299" s="131"/>
      <c r="U299" s="131"/>
      <c r="V299" s="131"/>
      <c r="W299" s="131"/>
      <c r="X299" s="131"/>
      <c r="Y299" s="202"/>
      <c r="Z299" s="202"/>
      <c r="AA299" s="202"/>
      <c r="AB299" s="202"/>
    </row>
    <row r="300" spans="2:31" s="21" customFormat="1" x14ac:dyDescent="0.2">
      <c r="B300" s="51" t="s">
        <v>214</v>
      </c>
      <c r="D300" s="32" t="s">
        <v>49</v>
      </c>
      <c r="E300" s="308" t="e">
        <v>#N/A</v>
      </c>
      <c r="F300" s="217"/>
      <c r="G300" s="190">
        <v>29.333333333333332</v>
      </c>
      <c r="H300" s="217"/>
      <c r="I300" s="309" t="e">
        <f t="shared" si="11"/>
        <v>#N/A</v>
      </c>
      <c r="J300" s="131"/>
      <c r="K300" s="131"/>
      <c r="L300" s="131"/>
      <c r="M300" s="131"/>
      <c r="N300" s="131"/>
      <c r="O300" s="131"/>
      <c r="P300" s="131"/>
      <c r="Q300" s="131"/>
      <c r="R300" s="131"/>
      <c r="S300" s="131"/>
      <c r="T300" s="131"/>
      <c r="U300" s="131"/>
      <c r="V300" s="131"/>
      <c r="W300" s="131"/>
      <c r="X300" s="131"/>
      <c r="Y300" s="202"/>
      <c r="Z300" s="202"/>
      <c r="AA300" s="202"/>
      <c r="AB300" s="202"/>
    </row>
    <row r="301" spans="2:31" s="21" customFormat="1" x14ac:dyDescent="0.2">
      <c r="B301" s="51" t="s">
        <v>208</v>
      </c>
      <c r="D301" s="32" t="s">
        <v>49</v>
      </c>
      <c r="E301" s="308" t="e">
        <v>#N/A</v>
      </c>
      <c r="F301" s="217"/>
      <c r="G301" s="190">
        <v>29.333333333333332</v>
      </c>
      <c r="H301" s="217"/>
      <c r="I301" s="309" t="e">
        <f>E301*G301</f>
        <v>#N/A</v>
      </c>
      <c r="J301" s="131"/>
      <c r="K301" s="131"/>
      <c r="L301" s="131"/>
      <c r="M301" s="131"/>
      <c r="N301" s="131"/>
      <c r="O301" s="131"/>
      <c r="P301" s="131"/>
      <c r="Q301" s="131"/>
      <c r="R301" s="131"/>
      <c r="S301" s="131"/>
      <c r="T301" s="131"/>
      <c r="U301" s="131"/>
      <c r="V301" s="131"/>
      <c r="W301" s="131"/>
      <c r="X301" s="131"/>
      <c r="Y301" s="202"/>
      <c r="Z301" s="202"/>
      <c r="AA301" s="202"/>
      <c r="AB301" s="202"/>
    </row>
    <row r="302" spans="2:31" s="21" customFormat="1" x14ac:dyDescent="0.2">
      <c r="B302" s="51" t="s">
        <v>219</v>
      </c>
      <c r="D302" s="32" t="s">
        <v>49</v>
      </c>
      <c r="E302" s="308" t="e">
        <v>#N/A</v>
      </c>
      <c r="F302" s="217"/>
      <c r="G302" s="190">
        <v>5.3333333333333339</v>
      </c>
      <c r="H302" s="217"/>
      <c r="I302" s="309" t="e">
        <f t="shared" si="11"/>
        <v>#N/A</v>
      </c>
      <c r="J302" s="131"/>
      <c r="K302" s="131"/>
      <c r="L302" s="131"/>
      <c r="M302" s="131"/>
      <c r="N302" s="131"/>
      <c r="O302" s="131"/>
      <c r="P302" s="131"/>
      <c r="Q302" s="131"/>
      <c r="R302" s="131"/>
      <c r="S302" s="131"/>
      <c r="T302" s="131"/>
      <c r="U302" s="131"/>
      <c r="V302" s="131"/>
      <c r="W302" s="131"/>
      <c r="X302" s="131"/>
      <c r="Y302" s="202"/>
      <c r="Z302" s="202"/>
      <c r="AA302" s="202"/>
      <c r="AB302" s="131"/>
    </row>
    <row r="303" spans="2:31" s="21" customFormat="1" x14ac:dyDescent="0.2">
      <c r="B303" s="51" t="s">
        <v>220</v>
      </c>
      <c r="D303" s="32" t="s">
        <v>49</v>
      </c>
      <c r="E303" s="308" t="e">
        <v>#N/A</v>
      </c>
      <c r="F303" s="217"/>
      <c r="G303" s="190">
        <v>5.3333333333333339</v>
      </c>
      <c r="H303" s="217"/>
      <c r="I303" s="309" t="e">
        <f t="shared" si="11"/>
        <v>#N/A</v>
      </c>
      <c r="J303" s="131"/>
      <c r="K303" s="131"/>
      <c r="L303" s="131"/>
      <c r="M303" s="131"/>
      <c r="N303" s="131"/>
      <c r="O303" s="131"/>
      <c r="P303" s="131"/>
      <c r="Q303" s="131"/>
      <c r="R303" s="131"/>
      <c r="S303" s="131"/>
      <c r="T303" s="131"/>
      <c r="U303" s="131"/>
      <c r="V303" s="131"/>
      <c r="W303" s="131"/>
      <c r="X303" s="131"/>
      <c r="Y303" s="202"/>
      <c r="Z303" s="202"/>
      <c r="AA303" s="202"/>
      <c r="AB303" s="131"/>
    </row>
    <row r="304" spans="2:31" s="21" customFormat="1" x14ac:dyDescent="0.2">
      <c r="B304" s="51" t="s">
        <v>221</v>
      </c>
      <c r="D304" s="32" t="s">
        <v>49</v>
      </c>
      <c r="E304" s="308" t="e">
        <v>#N/A</v>
      </c>
      <c r="F304" s="217"/>
      <c r="G304" s="190">
        <v>5.3333333333333339</v>
      </c>
      <c r="H304" s="217"/>
      <c r="I304" s="309" t="e">
        <f t="shared" si="11"/>
        <v>#N/A</v>
      </c>
      <c r="J304" s="131"/>
      <c r="K304" s="131"/>
      <c r="L304" s="131"/>
      <c r="M304" s="131"/>
      <c r="N304" s="131"/>
      <c r="O304" s="131"/>
      <c r="P304" s="131"/>
      <c r="Q304" s="131"/>
      <c r="R304" s="131"/>
      <c r="S304" s="131"/>
      <c r="T304" s="131"/>
      <c r="U304" s="131"/>
      <c r="V304" s="131"/>
      <c r="W304" s="131"/>
      <c r="X304" s="131"/>
      <c r="Y304" s="202"/>
      <c r="Z304" s="202"/>
      <c r="AA304" s="202"/>
      <c r="AB304" s="131"/>
    </row>
    <row r="305" spans="2:28" s="21" customFormat="1" x14ac:dyDescent="0.2">
      <c r="B305" s="51" t="s">
        <v>222</v>
      </c>
      <c r="D305" s="32" t="s">
        <v>49</v>
      </c>
      <c r="E305" s="308" t="e">
        <v>#N/A</v>
      </c>
      <c r="F305" s="217"/>
      <c r="G305" s="190">
        <v>5.3333333333333339</v>
      </c>
      <c r="H305" s="217"/>
      <c r="I305" s="309" t="e">
        <f t="shared" si="11"/>
        <v>#N/A</v>
      </c>
      <c r="J305" s="131"/>
      <c r="K305" s="131"/>
      <c r="L305" s="131"/>
      <c r="M305" s="131"/>
      <c r="N305" s="131"/>
      <c r="O305" s="131"/>
      <c r="P305" s="131"/>
      <c r="Q305" s="131"/>
      <c r="R305" s="131"/>
      <c r="S305" s="131"/>
      <c r="T305" s="131"/>
      <c r="U305" s="131"/>
      <c r="V305" s="131"/>
      <c r="W305" s="131"/>
      <c r="X305" s="131"/>
      <c r="Y305" s="202"/>
      <c r="Z305" s="202"/>
      <c r="AA305" s="202"/>
      <c r="AB305" s="131"/>
    </row>
    <row r="306" spans="2:28" s="21" customFormat="1" x14ac:dyDescent="0.2">
      <c r="B306" s="51" t="s">
        <v>223</v>
      </c>
      <c r="D306" s="32" t="s">
        <v>49</v>
      </c>
      <c r="E306" s="308" t="e">
        <v>#N/A</v>
      </c>
      <c r="F306" s="217"/>
      <c r="G306" s="190">
        <v>5.3333333333333339</v>
      </c>
      <c r="H306" s="217"/>
      <c r="I306" s="309" t="e">
        <f t="shared" si="11"/>
        <v>#N/A</v>
      </c>
      <c r="J306" s="131"/>
      <c r="K306" s="131"/>
      <c r="L306" s="131"/>
      <c r="M306" s="131"/>
      <c r="N306" s="131"/>
      <c r="O306" s="131"/>
      <c r="P306" s="131"/>
      <c r="Q306" s="131"/>
      <c r="R306" s="131"/>
      <c r="S306" s="131"/>
      <c r="T306" s="131"/>
      <c r="U306" s="131"/>
      <c r="V306" s="131"/>
      <c r="W306" s="131"/>
      <c r="X306" s="131"/>
      <c r="Y306" s="202"/>
      <c r="Z306" s="202"/>
      <c r="AA306" s="202"/>
      <c r="AB306" s="131"/>
    </row>
    <row r="307" spans="2:28" s="21" customFormat="1" x14ac:dyDescent="0.2">
      <c r="B307" s="51" t="s">
        <v>224</v>
      </c>
      <c r="D307" s="32" t="s">
        <v>49</v>
      </c>
      <c r="E307" s="308" t="e">
        <v>#N/A</v>
      </c>
      <c r="F307" s="217"/>
      <c r="G307" s="190">
        <v>5.3333333333333339</v>
      </c>
      <c r="H307" s="217"/>
      <c r="I307" s="309" t="e">
        <f t="shared" si="11"/>
        <v>#N/A</v>
      </c>
      <c r="J307" s="131"/>
      <c r="K307" s="131"/>
      <c r="L307" s="131"/>
      <c r="M307" s="131"/>
      <c r="N307" s="131"/>
      <c r="O307" s="131"/>
      <c r="P307" s="131"/>
      <c r="Q307" s="131"/>
      <c r="R307" s="131"/>
      <c r="S307" s="131"/>
      <c r="T307" s="131"/>
      <c r="U307" s="131"/>
      <c r="V307" s="131"/>
      <c r="W307" s="131"/>
      <c r="X307" s="131"/>
      <c r="Y307" s="202"/>
      <c r="Z307" s="202"/>
      <c r="AA307" s="202"/>
      <c r="AB307" s="131"/>
    </row>
    <row r="308" spans="2:28" s="21" customFormat="1" x14ac:dyDescent="0.2">
      <c r="B308" s="51" t="s">
        <v>225</v>
      </c>
      <c r="D308" s="32" t="s">
        <v>49</v>
      </c>
      <c r="E308" s="308" t="e">
        <v>#N/A</v>
      </c>
      <c r="F308" s="217"/>
      <c r="G308" s="190">
        <v>5.3333333333333339</v>
      </c>
      <c r="H308" s="217"/>
      <c r="I308" s="309" t="e">
        <f t="shared" si="11"/>
        <v>#N/A</v>
      </c>
      <c r="J308" s="131"/>
      <c r="K308" s="131"/>
      <c r="L308" s="131"/>
      <c r="M308" s="131"/>
      <c r="N308" s="131"/>
      <c r="O308" s="131"/>
      <c r="P308" s="131"/>
      <c r="Q308" s="131"/>
      <c r="R308" s="131"/>
      <c r="S308" s="131"/>
      <c r="T308" s="131"/>
      <c r="U308" s="131"/>
      <c r="V308" s="131"/>
      <c r="W308" s="131"/>
      <c r="X308" s="131"/>
      <c r="Y308" s="202"/>
      <c r="Z308" s="202"/>
      <c r="AA308" s="202"/>
      <c r="AB308" s="131"/>
    </row>
    <row r="309" spans="2:28" s="21" customFormat="1" x14ac:dyDescent="0.2">
      <c r="B309" s="51" t="s">
        <v>226</v>
      </c>
      <c r="D309" s="32" t="s">
        <v>49</v>
      </c>
      <c r="E309" s="308" t="e">
        <v>#N/A</v>
      </c>
      <c r="F309" s="217"/>
      <c r="G309" s="190">
        <v>5.3333333333333339</v>
      </c>
      <c r="H309" s="217"/>
      <c r="I309" s="309" t="e">
        <f t="shared" si="11"/>
        <v>#N/A</v>
      </c>
      <c r="J309" s="131"/>
      <c r="K309" s="131"/>
      <c r="L309" s="131"/>
      <c r="M309" s="131"/>
      <c r="N309" s="131"/>
      <c r="O309" s="131"/>
      <c r="P309" s="131"/>
      <c r="Q309" s="131"/>
      <c r="R309" s="131"/>
      <c r="S309" s="131"/>
      <c r="T309" s="131"/>
      <c r="U309" s="131"/>
      <c r="V309" s="131"/>
      <c r="W309" s="131"/>
      <c r="X309" s="131"/>
      <c r="Y309" s="202"/>
      <c r="Z309" s="202"/>
      <c r="AA309" s="202"/>
      <c r="AB309" s="131"/>
    </row>
    <row r="310" spans="2:28" s="21" customFormat="1" x14ac:dyDescent="0.2">
      <c r="B310" s="51" t="s">
        <v>227</v>
      </c>
      <c r="D310" s="32" t="s">
        <v>49</v>
      </c>
      <c r="E310" s="308" t="e">
        <v>#N/A</v>
      </c>
      <c r="F310" s="217"/>
      <c r="G310" s="190">
        <v>5.3333333333333339</v>
      </c>
      <c r="H310" s="217"/>
      <c r="I310" s="309" t="e">
        <f t="shared" si="11"/>
        <v>#N/A</v>
      </c>
      <c r="J310" s="131"/>
      <c r="K310" s="131"/>
      <c r="L310" s="131"/>
      <c r="M310" s="131"/>
      <c r="N310" s="131"/>
      <c r="O310" s="131"/>
      <c r="P310" s="131"/>
      <c r="Q310" s="131"/>
      <c r="R310" s="131"/>
      <c r="S310" s="131"/>
      <c r="T310" s="131"/>
      <c r="U310" s="131"/>
      <c r="V310" s="131"/>
      <c r="W310" s="131"/>
      <c r="X310" s="131"/>
      <c r="Y310" s="202"/>
      <c r="Z310" s="202"/>
      <c r="AA310" s="202"/>
      <c r="AB310" s="131"/>
    </row>
    <row r="311" spans="2:28" s="21" customFormat="1" x14ac:dyDescent="0.2">
      <c r="B311" s="51" t="s">
        <v>228</v>
      </c>
      <c r="D311" s="32" t="s">
        <v>49</v>
      </c>
      <c r="E311" s="308" t="e">
        <v>#N/A</v>
      </c>
      <c r="F311" s="217"/>
      <c r="G311" s="190">
        <v>5.3333333333333339</v>
      </c>
      <c r="H311" s="217"/>
      <c r="I311" s="309" t="e">
        <f t="shared" si="11"/>
        <v>#N/A</v>
      </c>
      <c r="J311" s="131"/>
      <c r="K311" s="131"/>
      <c r="L311" s="131"/>
      <c r="M311" s="131"/>
      <c r="N311" s="131"/>
      <c r="O311" s="131"/>
      <c r="P311" s="131"/>
      <c r="Q311" s="131"/>
      <c r="R311" s="131"/>
      <c r="S311" s="131"/>
      <c r="T311" s="131"/>
      <c r="U311" s="131"/>
      <c r="V311" s="131"/>
      <c r="W311" s="131"/>
      <c r="X311" s="131"/>
      <c r="Y311" s="202"/>
      <c r="Z311" s="202"/>
      <c r="AA311" s="202"/>
      <c r="AB311" s="131"/>
    </row>
    <row r="312" spans="2:28" s="21" customFormat="1" x14ac:dyDescent="0.2">
      <c r="B312" s="51" t="s">
        <v>233</v>
      </c>
      <c r="D312" s="32" t="s">
        <v>49</v>
      </c>
      <c r="E312" s="308" t="e">
        <v>#N/A</v>
      </c>
      <c r="F312" s="217"/>
      <c r="G312" s="190">
        <v>5.3333333333333339</v>
      </c>
      <c r="H312" s="217"/>
      <c r="I312" s="309" t="e">
        <f t="shared" si="11"/>
        <v>#N/A</v>
      </c>
      <c r="J312" s="131"/>
      <c r="K312" s="131"/>
      <c r="L312" s="131"/>
      <c r="M312" s="131"/>
      <c r="N312" s="131"/>
      <c r="O312" s="131"/>
      <c r="P312" s="131"/>
      <c r="Q312" s="131"/>
      <c r="R312" s="131"/>
      <c r="S312" s="131"/>
      <c r="T312" s="131"/>
      <c r="U312" s="131"/>
      <c r="V312" s="131"/>
      <c r="W312" s="131"/>
      <c r="X312" s="131"/>
      <c r="Y312" s="202"/>
      <c r="Z312" s="202"/>
      <c r="AA312" s="202"/>
      <c r="AB312" s="131"/>
    </row>
    <row r="313" spans="2:28" s="21" customFormat="1" x14ac:dyDescent="0.2">
      <c r="B313" s="48" t="s">
        <v>234</v>
      </c>
      <c r="C313" s="37"/>
      <c r="D313" s="38" t="s">
        <v>49</v>
      </c>
      <c r="E313" s="439" t="e">
        <v>#N/A</v>
      </c>
      <c r="F313" s="388"/>
      <c r="G313" s="190">
        <v>5.3333333333333339</v>
      </c>
      <c r="H313" s="388"/>
      <c r="I313" s="440" t="e">
        <f t="shared" si="11"/>
        <v>#N/A</v>
      </c>
      <c r="J313" s="131"/>
      <c r="K313" s="131"/>
      <c r="L313" s="131"/>
      <c r="M313" s="131"/>
      <c r="N313" s="131"/>
      <c r="O313" s="131"/>
      <c r="P313" s="131"/>
      <c r="Q313" s="131"/>
      <c r="R313" s="131"/>
      <c r="S313" s="131"/>
      <c r="T313" s="131"/>
      <c r="U313" s="131"/>
      <c r="V313" s="131"/>
      <c r="W313" s="131"/>
      <c r="X313" s="131"/>
      <c r="Y313" s="202"/>
      <c r="Z313" s="202"/>
      <c r="AA313" s="202"/>
      <c r="AB313" s="131"/>
    </row>
    <row r="314" spans="2:28" s="21" customFormat="1" x14ac:dyDescent="0.2">
      <c r="D314" s="32"/>
      <c r="E314" s="11"/>
      <c r="F314" s="217"/>
      <c r="G314" s="32"/>
      <c r="H314" s="217"/>
      <c r="I314" s="11"/>
      <c r="J314" s="131"/>
      <c r="K314" s="131"/>
      <c r="L314" s="131"/>
      <c r="M314" s="131"/>
      <c r="N314" s="131"/>
      <c r="O314" s="131"/>
      <c r="P314" s="131"/>
      <c r="Q314" s="131"/>
      <c r="R314" s="131"/>
      <c r="S314" s="131"/>
      <c r="T314" s="131"/>
      <c r="U314" s="131"/>
      <c r="V314" s="131"/>
      <c r="W314" s="131"/>
      <c r="X314" s="131"/>
      <c r="Y314" s="129"/>
      <c r="Z314" s="129"/>
      <c r="AA314" s="129"/>
      <c r="AB314" s="131"/>
    </row>
    <row r="315" spans="2:28" s="21" customFormat="1" x14ac:dyDescent="0.2">
      <c r="D315" s="32"/>
      <c r="E315" s="11"/>
      <c r="F315" s="217"/>
      <c r="G315" s="32"/>
      <c r="H315" s="217"/>
      <c r="I315" s="11"/>
      <c r="J315" s="131"/>
      <c r="K315" s="131"/>
      <c r="L315" s="131"/>
      <c r="M315" s="131"/>
      <c r="N315" s="131"/>
      <c r="O315" s="131"/>
      <c r="P315" s="131"/>
      <c r="Q315" s="131"/>
      <c r="R315" s="131"/>
      <c r="S315" s="131"/>
      <c r="T315" s="131"/>
      <c r="U315" s="131"/>
      <c r="V315" s="131"/>
      <c r="W315" s="131"/>
      <c r="X315" s="131"/>
      <c r="Y315" s="129"/>
      <c r="Z315" s="129"/>
      <c r="AA315" s="129"/>
      <c r="AB315" s="131"/>
    </row>
    <row r="316" spans="2:28" s="21" customFormat="1" x14ac:dyDescent="0.2">
      <c r="B316" s="130" t="s">
        <v>125</v>
      </c>
      <c r="C316" s="138" t="s">
        <v>39</v>
      </c>
      <c r="D316" s="32"/>
      <c r="E316" s="59"/>
      <c r="F316" s="59"/>
      <c r="I316" s="11"/>
      <c r="J316" s="131"/>
      <c r="K316" s="131"/>
      <c r="L316" s="131"/>
      <c r="M316" s="131"/>
      <c r="N316" s="131"/>
      <c r="O316" s="131"/>
      <c r="P316" s="131"/>
      <c r="Q316" s="131"/>
      <c r="R316" s="131"/>
      <c r="S316" s="131"/>
      <c r="T316" s="131"/>
      <c r="U316" s="131"/>
      <c r="V316" s="131"/>
      <c r="W316" s="131"/>
      <c r="X316" s="131"/>
      <c r="Y316" s="129"/>
      <c r="Z316" s="129"/>
      <c r="AA316" s="129"/>
      <c r="AB316" s="131"/>
    </row>
    <row r="317" spans="2:28" s="21" customFormat="1" x14ac:dyDescent="0.2">
      <c r="D317" s="32"/>
      <c r="E317" s="59">
        <v>0</v>
      </c>
      <c r="F317" s="59"/>
      <c r="G317" s="137">
        <v>0</v>
      </c>
      <c r="H317" s="217"/>
      <c r="I317" s="11">
        <f>E317*G317</f>
        <v>0</v>
      </c>
      <c r="J317" s="131"/>
      <c r="K317" s="131"/>
      <c r="L317" s="131"/>
      <c r="M317" s="131"/>
      <c r="N317" s="131"/>
      <c r="O317" s="131"/>
      <c r="P317" s="131"/>
      <c r="Q317" s="131"/>
      <c r="R317" s="131"/>
      <c r="S317" s="131"/>
      <c r="T317" s="131"/>
      <c r="U317" s="131"/>
      <c r="V317" s="131"/>
      <c r="W317" s="131"/>
      <c r="X317" s="131"/>
      <c r="Y317" s="129"/>
      <c r="Z317" s="129"/>
      <c r="AA317" s="129"/>
      <c r="AB317" s="131"/>
    </row>
    <row r="318" spans="2:28" s="21" customFormat="1" x14ac:dyDescent="0.2">
      <c r="D318" s="32"/>
      <c r="E318" s="59">
        <v>0</v>
      </c>
      <c r="F318" s="59"/>
      <c r="G318" s="32"/>
      <c r="H318" s="217"/>
      <c r="I318" s="11">
        <f>E318*G318</f>
        <v>0</v>
      </c>
      <c r="J318" s="131"/>
      <c r="K318" s="131"/>
      <c r="L318" s="131"/>
      <c r="M318" s="131"/>
      <c r="N318" s="131"/>
      <c r="O318" s="131"/>
      <c r="P318" s="131"/>
      <c r="Q318" s="131"/>
      <c r="R318" s="131"/>
      <c r="S318" s="131"/>
      <c r="T318" s="131"/>
      <c r="U318" s="131"/>
      <c r="V318" s="131"/>
      <c r="W318" s="131"/>
      <c r="X318" s="131"/>
      <c r="Y318" s="129"/>
      <c r="Z318" s="129"/>
      <c r="AA318" s="129"/>
      <c r="AB318" s="131"/>
    </row>
    <row r="319" spans="2:28" s="21" customFormat="1" x14ac:dyDescent="0.2">
      <c r="D319" s="32"/>
      <c r="E319" s="59">
        <v>0</v>
      </c>
      <c r="F319" s="59"/>
      <c r="G319" s="32"/>
      <c r="H319" s="217"/>
      <c r="I319" s="11">
        <f>E319*G319</f>
        <v>0</v>
      </c>
      <c r="J319" s="131"/>
      <c r="K319" s="131"/>
      <c r="L319" s="131"/>
      <c r="M319" s="131"/>
      <c r="N319" s="131"/>
      <c r="O319" s="131"/>
      <c r="P319" s="131"/>
      <c r="Q319" s="131"/>
      <c r="R319" s="131"/>
      <c r="S319" s="131"/>
      <c r="T319" s="131"/>
      <c r="U319" s="131"/>
      <c r="V319" s="131"/>
      <c r="W319" s="131"/>
      <c r="X319" s="131"/>
      <c r="Y319" s="129"/>
      <c r="Z319" s="129"/>
      <c r="AA319" s="129"/>
      <c r="AB319" s="131"/>
    </row>
    <row r="320" spans="2:28" s="21" customFormat="1" x14ac:dyDescent="0.2">
      <c r="D320" s="32"/>
      <c r="E320" s="59">
        <v>0</v>
      </c>
      <c r="F320" s="11"/>
      <c r="G320" s="32"/>
      <c r="H320" s="217"/>
      <c r="I320" s="11">
        <f>E320*G320</f>
        <v>0</v>
      </c>
      <c r="J320" s="131"/>
      <c r="K320" s="131"/>
      <c r="L320" s="131"/>
      <c r="M320" s="131"/>
      <c r="N320" s="131"/>
      <c r="O320" s="131"/>
      <c r="P320" s="131"/>
      <c r="Q320" s="131"/>
      <c r="R320" s="131"/>
      <c r="S320" s="131"/>
      <c r="T320" s="131"/>
      <c r="U320" s="131"/>
      <c r="V320" s="131"/>
      <c r="W320" s="131"/>
      <c r="X320" s="131"/>
      <c r="Y320" s="129"/>
      <c r="Z320" s="129"/>
      <c r="AA320" s="129"/>
      <c r="AB320" s="131"/>
    </row>
    <row r="321" spans="2:30" s="21" customFormat="1" x14ac:dyDescent="0.2">
      <c r="C321" s="139" t="s">
        <v>43</v>
      </c>
      <c r="D321" s="140"/>
      <c r="E321" s="137"/>
      <c r="F321" s="217"/>
      <c r="G321" s="441">
        <f>SUM(G294:G320)</f>
        <v>298.66666666666657</v>
      </c>
      <c r="H321" s="217"/>
      <c r="I321" s="160" t="e">
        <f>(SUM(I294:I320))+(SUM(X294:X320))</f>
        <v>#N/A</v>
      </c>
      <c r="J321" s="321"/>
      <c r="K321" s="131"/>
      <c r="L321" s="131"/>
      <c r="M321" s="131"/>
      <c r="N321" s="131"/>
      <c r="O321" s="131"/>
      <c r="P321" s="131"/>
      <c r="Q321" s="131"/>
      <c r="R321" s="131"/>
      <c r="S321" s="131"/>
      <c r="T321" s="131"/>
      <c r="U321" s="131"/>
      <c r="V321" s="131"/>
      <c r="W321" s="131"/>
      <c r="X321" s="131"/>
      <c r="Y321" s="317"/>
      <c r="Z321" s="317"/>
      <c r="AA321" s="317"/>
      <c r="AB321" s="317"/>
      <c r="AD321" s="59"/>
    </row>
    <row r="322" spans="2:30" s="21" customFormat="1" x14ac:dyDescent="0.2">
      <c r="B322" s="96"/>
      <c r="E322" s="11"/>
      <c r="F322" s="11"/>
      <c r="G322" s="32"/>
      <c r="H322" s="32"/>
      <c r="I322" s="11"/>
      <c r="J322" s="131"/>
      <c r="K322" s="131"/>
      <c r="L322" s="131"/>
      <c r="M322" s="131"/>
      <c r="N322" s="131"/>
      <c r="O322" s="131"/>
      <c r="P322" s="131"/>
      <c r="Q322" s="131"/>
      <c r="R322" s="131"/>
      <c r="S322" s="131"/>
      <c r="T322" s="131"/>
      <c r="U322" s="131"/>
      <c r="V322" s="131"/>
      <c r="W322" s="131"/>
      <c r="X322" s="131"/>
      <c r="Y322" s="129"/>
      <c r="Z322" s="129"/>
      <c r="AA322" s="131"/>
      <c r="AB322" s="131"/>
      <c r="AD322" s="59"/>
    </row>
    <row r="323" spans="2:30" s="21" customFormat="1" x14ac:dyDescent="0.2">
      <c r="B323" s="130" t="s">
        <v>44</v>
      </c>
      <c r="C323" s="135" t="s">
        <v>39</v>
      </c>
      <c r="D323" s="135"/>
      <c r="E323" s="66" t="s">
        <v>81</v>
      </c>
      <c r="F323" s="66" t="s">
        <v>82</v>
      </c>
      <c r="G323" s="60" t="s">
        <v>49</v>
      </c>
      <c r="H323" s="60" t="s">
        <v>78</v>
      </c>
      <c r="J323" s="131"/>
      <c r="K323" s="131"/>
      <c r="L323" s="131"/>
      <c r="M323" s="131"/>
      <c r="N323" s="131"/>
      <c r="O323" s="131"/>
      <c r="P323" s="131"/>
      <c r="Q323" s="131"/>
      <c r="R323" s="131"/>
      <c r="S323" s="131"/>
      <c r="T323" s="131"/>
      <c r="U323" s="131"/>
      <c r="V323" s="131"/>
      <c r="W323" s="131"/>
      <c r="X323" s="131"/>
      <c r="Y323" s="129"/>
      <c r="Z323" s="129"/>
      <c r="AA323" s="131"/>
      <c r="AB323" s="131"/>
      <c r="AD323" s="59"/>
    </row>
    <row r="324" spans="2:30" s="21" customFormat="1" x14ac:dyDescent="0.2">
      <c r="B324" s="21" t="s">
        <v>296</v>
      </c>
      <c r="C324" s="135"/>
      <c r="D324" s="32"/>
      <c r="E324" s="308" t="e">
        <v>#N/A</v>
      </c>
      <c r="F324" s="308" t="e">
        <v>#N/A</v>
      </c>
      <c r="G324" s="137">
        <v>176</v>
      </c>
      <c r="H324" s="137"/>
      <c r="I324" s="308" t="e">
        <f>(E324*G324)+(F324*H324)</f>
        <v>#N/A</v>
      </c>
      <c r="J324" s="131"/>
      <c r="K324" s="131"/>
      <c r="L324" s="131"/>
      <c r="M324" s="131"/>
      <c r="N324" s="131"/>
      <c r="O324" s="131"/>
      <c r="P324" s="131"/>
      <c r="Q324" s="131"/>
      <c r="R324" s="131"/>
      <c r="S324" s="131"/>
      <c r="T324" s="131"/>
      <c r="U324" s="131"/>
      <c r="V324" s="131"/>
      <c r="W324" s="131"/>
      <c r="X324" s="131"/>
      <c r="Y324" s="202"/>
      <c r="Z324" s="202"/>
      <c r="AA324" s="131"/>
      <c r="AB324" s="202"/>
      <c r="AD324" s="59"/>
    </row>
    <row r="325" spans="2:30" s="21" customFormat="1" x14ac:dyDescent="0.2">
      <c r="B325" s="21" t="s">
        <v>297</v>
      </c>
      <c r="C325" s="135"/>
      <c r="D325" s="32"/>
      <c r="E325" s="308" t="e">
        <v>#N/A</v>
      </c>
      <c r="F325" s="308" t="e">
        <v>#N/A</v>
      </c>
      <c r="G325" s="137">
        <v>176</v>
      </c>
      <c r="H325" s="137"/>
      <c r="I325" s="308" t="e">
        <f>(E325*G325)+(F325*H325)</f>
        <v>#N/A</v>
      </c>
      <c r="J325" s="131"/>
      <c r="K325" s="131"/>
      <c r="L325" s="131"/>
      <c r="M325" s="131"/>
      <c r="N325" s="131"/>
      <c r="O325" s="131"/>
      <c r="P325" s="131"/>
      <c r="Q325" s="131"/>
      <c r="R325" s="131"/>
      <c r="S325" s="131"/>
      <c r="T325" s="131"/>
      <c r="U325" s="131"/>
      <c r="V325" s="131"/>
      <c r="W325" s="131"/>
      <c r="X325" s="131"/>
      <c r="Y325" s="202"/>
      <c r="Z325" s="202"/>
      <c r="AA325" s="131"/>
      <c r="AB325" s="202"/>
      <c r="AD325" s="59"/>
    </row>
    <row r="326" spans="2:30" s="21" customFormat="1" x14ac:dyDescent="0.2">
      <c r="B326" s="21" t="s">
        <v>298</v>
      </c>
      <c r="C326" s="135"/>
      <c r="D326" s="32"/>
      <c r="E326" s="308" t="e">
        <v>#N/A</v>
      </c>
      <c r="F326" s="308" t="e">
        <v>#N/A</v>
      </c>
      <c r="G326" s="137">
        <v>205.33920000000001</v>
      </c>
      <c r="H326" s="137">
        <v>8166.9</v>
      </c>
      <c r="I326" s="308" t="e">
        <f>(E326*G326)+(F326*H326)</f>
        <v>#N/A</v>
      </c>
      <c r="J326" s="131"/>
      <c r="K326" s="131"/>
      <c r="L326" s="131"/>
      <c r="M326" s="131"/>
      <c r="N326" s="131"/>
      <c r="O326" s="131"/>
      <c r="P326" s="131"/>
      <c r="Q326" s="131"/>
      <c r="R326" s="131"/>
      <c r="S326" s="131"/>
      <c r="T326" s="131"/>
      <c r="U326" s="131"/>
      <c r="V326" s="131"/>
      <c r="W326" s="131"/>
      <c r="X326" s="131"/>
      <c r="Y326" s="202"/>
      <c r="Z326" s="202"/>
      <c r="AA326" s="131"/>
      <c r="AB326" s="202"/>
      <c r="AD326" s="59"/>
    </row>
    <row r="327" spans="2:30" s="21" customFormat="1" x14ac:dyDescent="0.2">
      <c r="C327" s="135"/>
      <c r="D327" s="32"/>
      <c r="E327" s="11">
        <v>0</v>
      </c>
      <c r="F327" s="11">
        <v>0</v>
      </c>
      <c r="G327" s="32"/>
      <c r="H327" s="32"/>
      <c r="I327" s="11">
        <f>(E327*G327)+(F327*H327)</f>
        <v>0</v>
      </c>
      <c r="J327" s="131"/>
      <c r="K327" s="131"/>
      <c r="L327" s="131"/>
      <c r="M327" s="131"/>
      <c r="N327" s="131"/>
      <c r="O327" s="131"/>
      <c r="P327" s="131"/>
      <c r="Q327" s="131"/>
      <c r="R327" s="131"/>
      <c r="S327" s="131"/>
      <c r="T327" s="131"/>
      <c r="U327" s="131"/>
      <c r="V327" s="131"/>
      <c r="W327" s="131"/>
      <c r="X327" s="131"/>
      <c r="Y327" s="202"/>
      <c r="Z327" s="202"/>
      <c r="AA327" s="131"/>
      <c r="AB327" s="202"/>
      <c r="AD327" s="59"/>
    </row>
    <row r="328" spans="2:30" s="21" customFormat="1" x14ac:dyDescent="0.2">
      <c r="C328" s="135"/>
      <c r="D328" s="32"/>
      <c r="E328" s="11">
        <v>0</v>
      </c>
      <c r="F328" s="11">
        <v>0</v>
      </c>
      <c r="G328" s="32"/>
      <c r="H328" s="32"/>
      <c r="I328" s="11">
        <f>(E328*G328)+(F328*H328)</f>
        <v>0</v>
      </c>
      <c r="J328" s="131"/>
      <c r="K328" s="131"/>
      <c r="L328" s="131"/>
      <c r="M328" s="131"/>
      <c r="N328" s="131"/>
      <c r="O328" s="131"/>
      <c r="P328" s="131"/>
      <c r="Q328" s="131"/>
      <c r="R328" s="131"/>
      <c r="S328" s="131"/>
      <c r="T328" s="131"/>
      <c r="U328" s="131"/>
      <c r="V328" s="131"/>
      <c r="W328" s="131"/>
      <c r="X328" s="131"/>
      <c r="Y328" s="202"/>
      <c r="Z328" s="202"/>
      <c r="AA328" s="131"/>
      <c r="AB328" s="202"/>
      <c r="AD328" s="59"/>
    </row>
    <row r="329" spans="2:30" s="21" customFormat="1" x14ac:dyDescent="0.2">
      <c r="C329" s="139" t="s">
        <v>89</v>
      </c>
      <c r="D329" s="140"/>
      <c r="E329" s="71"/>
      <c r="F329" s="217"/>
      <c r="G329" s="442"/>
      <c r="H329" s="217"/>
      <c r="I329" s="160" t="e">
        <f>SUM(I324:I328)</f>
        <v>#N/A</v>
      </c>
      <c r="J329" s="321"/>
      <c r="K329" s="131"/>
      <c r="L329" s="131"/>
      <c r="M329" s="131"/>
      <c r="N329" s="131"/>
      <c r="O329" s="131"/>
      <c r="P329" s="131"/>
      <c r="Q329" s="131"/>
      <c r="R329" s="131"/>
      <c r="S329" s="131"/>
      <c r="T329" s="131"/>
      <c r="U329" s="131"/>
      <c r="V329" s="131"/>
      <c r="W329" s="131"/>
      <c r="X329" s="131"/>
      <c r="Y329" s="317"/>
      <c r="Z329" s="317"/>
      <c r="AA329" s="317"/>
      <c r="AB329" s="317"/>
      <c r="AD329" s="59"/>
    </row>
    <row r="330" spans="2:30" s="21" customFormat="1" x14ac:dyDescent="0.2">
      <c r="B330" s="130"/>
      <c r="E330" s="11"/>
      <c r="F330" s="11"/>
      <c r="G330" s="32"/>
      <c r="H330" s="32"/>
      <c r="I330" s="11"/>
      <c r="J330" s="131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AA330" s="32"/>
      <c r="AB330" s="32"/>
      <c r="AD330" s="59"/>
    </row>
    <row r="331" spans="2:30" s="21" customFormat="1" x14ac:dyDescent="0.2">
      <c r="B331" s="130" t="s">
        <v>158</v>
      </c>
      <c r="C331" s="138" t="s">
        <v>39</v>
      </c>
      <c r="D331" s="135"/>
      <c r="E331" s="66" t="s">
        <v>186</v>
      </c>
      <c r="F331" s="66" t="s">
        <v>187</v>
      </c>
      <c r="G331" s="60" t="s">
        <v>122</v>
      </c>
      <c r="H331" s="60" t="s">
        <v>123</v>
      </c>
      <c r="I331" s="11"/>
      <c r="J331" s="131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AA331" s="11"/>
      <c r="AB331" s="32"/>
      <c r="AD331" s="59"/>
    </row>
    <row r="332" spans="2:30" s="21" customFormat="1" x14ac:dyDescent="0.2">
      <c r="B332" s="21" t="s">
        <v>299</v>
      </c>
      <c r="D332" s="32" t="s">
        <v>49</v>
      </c>
      <c r="E332" s="303" t="e">
        <v>#N/A</v>
      </c>
      <c r="F332" s="304" t="e">
        <v>#N/A</v>
      </c>
      <c r="G332" s="137">
        <v>176</v>
      </c>
      <c r="H332" s="137">
        <v>30</v>
      </c>
      <c r="I332" s="308" t="e">
        <f>(E332*G332)+(F332*H332)</f>
        <v>#N/A</v>
      </c>
      <c r="J332" s="131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59"/>
      <c r="Z332" s="59" t="e">
        <f t="shared" ref="Z332:Z356" si="12">+I332</f>
        <v>#N/A</v>
      </c>
      <c r="AA332" s="11"/>
      <c r="AB332" s="32"/>
      <c r="AD332" s="59"/>
    </row>
    <row r="333" spans="2:30" s="21" customFormat="1" x14ac:dyDescent="0.2">
      <c r="B333" s="21" t="s">
        <v>300</v>
      </c>
      <c r="D333" s="32" t="s">
        <v>49</v>
      </c>
      <c r="E333" s="303" t="e">
        <v>#N/A</v>
      </c>
      <c r="F333" s="304" t="e">
        <v>#N/A</v>
      </c>
      <c r="G333" s="137">
        <v>176</v>
      </c>
      <c r="H333" s="137">
        <v>30</v>
      </c>
      <c r="I333" s="308" t="e">
        <f t="shared" ref="I333:I356" si="13">(E333*G333)+(F333*H333)</f>
        <v>#N/A</v>
      </c>
      <c r="J333" s="131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59"/>
      <c r="Z333" s="59" t="e">
        <f t="shared" si="12"/>
        <v>#N/A</v>
      </c>
      <c r="AA333" s="32"/>
      <c r="AB333" s="32"/>
      <c r="AD333" s="59"/>
    </row>
    <row r="334" spans="2:30" s="21" customFormat="1" x14ac:dyDescent="0.2">
      <c r="B334" s="21" t="s">
        <v>301</v>
      </c>
      <c r="D334" s="32" t="s">
        <v>49</v>
      </c>
      <c r="E334" s="303" t="e">
        <v>#N/A</v>
      </c>
      <c r="F334" s="304" t="e">
        <v>#N/A</v>
      </c>
      <c r="G334" s="137">
        <v>176</v>
      </c>
      <c r="H334" s="137">
        <v>30</v>
      </c>
      <c r="I334" s="308" t="e">
        <f t="shared" si="13"/>
        <v>#N/A</v>
      </c>
      <c r="J334" s="131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59"/>
      <c r="Z334" s="59" t="e">
        <f t="shared" si="12"/>
        <v>#N/A</v>
      </c>
      <c r="AA334" s="32"/>
      <c r="AB334" s="32"/>
      <c r="AD334" s="59"/>
    </row>
    <row r="335" spans="2:30" s="21" customFormat="1" x14ac:dyDescent="0.2">
      <c r="B335" s="21" t="s">
        <v>302</v>
      </c>
      <c r="D335" s="32" t="s">
        <v>49</v>
      </c>
      <c r="E335" s="303" t="e">
        <v>#N/A</v>
      </c>
      <c r="F335" s="304" t="e">
        <v>#N/A</v>
      </c>
      <c r="G335" s="137">
        <v>176</v>
      </c>
      <c r="H335" s="137">
        <v>30</v>
      </c>
      <c r="I335" s="308" t="e">
        <f t="shared" si="13"/>
        <v>#N/A</v>
      </c>
      <c r="J335" s="131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59"/>
      <c r="Z335" s="59" t="e">
        <f t="shared" si="12"/>
        <v>#N/A</v>
      </c>
      <c r="AA335" s="32"/>
      <c r="AB335" s="32"/>
      <c r="AD335" s="59"/>
    </row>
    <row r="336" spans="2:30" s="21" customFormat="1" x14ac:dyDescent="0.2">
      <c r="B336" s="21" t="s">
        <v>303</v>
      </c>
      <c r="D336" s="32" t="s">
        <v>49</v>
      </c>
      <c r="E336" s="303" t="e">
        <v>#N/A</v>
      </c>
      <c r="F336" s="304" t="e">
        <v>#N/A</v>
      </c>
      <c r="G336" s="137">
        <v>176</v>
      </c>
      <c r="H336" s="137">
        <v>30</v>
      </c>
      <c r="I336" s="308" t="e">
        <f t="shared" si="13"/>
        <v>#N/A</v>
      </c>
      <c r="J336" s="131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59"/>
      <c r="Z336" s="59" t="e">
        <f t="shared" si="12"/>
        <v>#N/A</v>
      </c>
      <c r="AA336" s="32"/>
      <c r="AB336" s="32"/>
      <c r="AD336" s="59"/>
    </row>
    <row r="337" spans="2:30" s="21" customFormat="1" x14ac:dyDescent="0.2">
      <c r="B337" s="21" t="s">
        <v>304</v>
      </c>
      <c r="D337" s="32" t="s">
        <v>49</v>
      </c>
      <c r="E337" s="303" t="e">
        <v>#N/A</v>
      </c>
      <c r="F337" s="304" t="e">
        <v>#N/A</v>
      </c>
      <c r="G337" s="137">
        <v>176</v>
      </c>
      <c r="H337" s="137">
        <v>30</v>
      </c>
      <c r="I337" s="308" t="e">
        <f t="shared" si="13"/>
        <v>#N/A</v>
      </c>
      <c r="J337" s="131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59"/>
      <c r="Z337" s="59" t="e">
        <f t="shared" si="12"/>
        <v>#N/A</v>
      </c>
      <c r="AA337" s="32"/>
      <c r="AB337" s="32"/>
      <c r="AD337" s="59"/>
    </row>
    <row r="338" spans="2:30" s="21" customFormat="1" x14ac:dyDescent="0.2">
      <c r="B338" s="21" t="s">
        <v>305</v>
      </c>
      <c r="D338" s="32" t="s">
        <v>49</v>
      </c>
      <c r="E338" s="303" t="e">
        <v>#N/A</v>
      </c>
      <c r="F338" s="304" t="e">
        <v>#N/A</v>
      </c>
      <c r="G338" s="137">
        <v>176</v>
      </c>
      <c r="H338" s="137">
        <v>30</v>
      </c>
      <c r="I338" s="308" t="e">
        <f t="shared" si="13"/>
        <v>#N/A</v>
      </c>
      <c r="J338" s="131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59"/>
      <c r="Z338" s="59" t="e">
        <f t="shared" si="12"/>
        <v>#N/A</v>
      </c>
      <c r="AA338" s="32"/>
      <c r="AB338" s="32"/>
      <c r="AD338" s="59"/>
    </row>
    <row r="339" spans="2:30" s="21" customFormat="1" x14ac:dyDescent="0.2">
      <c r="B339" s="21" t="s">
        <v>306</v>
      </c>
      <c r="D339" s="32" t="s">
        <v>49</v>
      </c>
      <c r="E339" s="303" t="e">
        <v>#N/A</v>
      </c>
      <c r="F339" s="304" t="e">
        <v>#N/A</v>
      </c>
      <c r="G339" s="137">
        <v>176</v>
      </c>
      <c r="H339" s="137">
        <v>30</v>
      </c>
      <c r="I339" s="308" t="e">
        <f t="shared" si="13"/>
        <v>#N/A</v>
      </c>
      <c r="J339" s="131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59"/>
      <c r="Z339" s="59" t="e">
        <f t="shared" si="12"/>
        <v>#N/A</v>
      </c>
      <c r="AA339" s="32"/>
      <c r="AB339" s="32"/>
      <c r="AD339" s="59"/>
    </row>
    <row r="340" spans="2:30" s="21" customFormat="1" x14ac:dyDescent="0.2">
      <c r="B340" s="21" t="s">
        <v>307</v>
      </c>
      <c r="D340" s="32" t="s">
        <v>49</v>
      </c>
      <c r="E340" s="303" t="e">
        <v>#N/A</v>
      </c>
      <c r="F340" s="304" t="e">
        <v>#N/A</v>
      </c>
      <c r="G340" s="137">
        <v>176</v>
      </c>
      <c r="H340" s="137">
        <v>30</v>
      </c>
      <c r="I340" s="308" t="e">
        <f t="shared" si="13"/>
        <v>#N/A</v>
      </c>
      <c r="J340" s="131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59"/>
      <c r="Z340" s="59" t="e">
        <f t="shared" si="12"/>
        <v>#N/A</v>
      </c>
      <c r="AA340" s="32"/>
      <c r="AB340" s="32"/>
      <c r="AD340" s="59"/>
    </row>
    <row r="341" spans="2:30" s="21" customFormat="1" x14ac:dyDescent="0.2">
      <c r="B341" s="21" t="s">
        <v>308</v>
      </c>
      <c r="D341" s="32" t="s">
        <v>49</v>
      </c>
      <c r="E341" s="303" t="e">
        <v>#N/A</v>
      </c>
      <c r="F341" s="304" t="e">
        <v>#N/A</v>
      </c>
      <c r="G341" s="137">
        <v>176</v>
      </c>
      <c r="H341" s="137">
        <v>30</v>
      </c>
      <c r="I341" s="308" t="e">
        <f t="shared" si="13"/>
        <v>#N/A</v>
      </c>
      <c r="J341" s="131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59"/>
      <c r="Z341" s="59" t="e">
        <f t="shared" si="12"/>
        <v>#N/A</v>
      </c>
      <c r="AA341" s="32"/>
      <c r="AB341" s="32"/>
      <c r="AD341" s="59"/>
    </row>
    <row r="342" spans="2:30" s="21" customFormat="1" x14ac:dyDescent="0.2">
      <c r="B342" s="21" t="s">
        <v>309</v>
      </c>
      <c r="D342" s="32" t="s">
        <v>49</v>
      </c>
      <c r="E342" s="303" t="e">
        <v>#N/A</v>
      </c>
      <c r="F342" s="304" t="e">
        <v>#N/A</v>
      </c>
      <c r="G342" s="137">
        <v>176</v>
      </c>
      <c r="H342" s="137">
        <v>30</v>
      </c>
      <c r="I342" s="308" t="e">
        <f t="shared" si="13"/>
        <v>#N/A</v>
      </c>
      <c r="J342" s="131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59"/>
      <c r="Z342" s="59" t="e">
        <f t="shared" si="12"/>
        <v>#N/A</v>
      </c>
      <c r="AA342" s="32"/>
      <c r="AB342" s="32"/>
      <c r="AD342" s="59"/>
    </row>
    <row r="343" spans="2:30" s="21" customFormat="1" x14ac:dyDescent="0.2">
      <c r="B343" s="21" t="s">
        <v>310</v>
      </c>
      <c r="D343" s="32" t="s">
        <v>49</v>
      </c>
      <c r="E343" s="303" t="e">
        <v>#N/A</v>
      </c>
      <c r="F343" s="304" t="e">
        <v>#N/A</v>
      </c>
      <c r="G343" s="137">
        <v>176</v>
      </c>
      <c r="H343" s="137">
        <v>30</v>
      </c>
      <c r="I343" s="308" t="e">
        <f t="shared" si="13"/>
        <v>#N/A</v>
      </c>
      <c r="J343" s="131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59"/>
      <c r="Z343" s="59" t="e">
        <f t="shared" si="12"/>
        <v>#N/A</v>
      </c>
      <c r="AA343" s="32"/>
      <c r="AB343" s="32"/>
      <c r="AD343" s="59"/>
    </row>
    <row r="344" spans="2:30" s="21" customFormat="1" x14ac:dyDescent="0.2">
      <c r="B344" s="21" t="s">
        <v>311</v>
      </c>
      <c r="D344" s="32" t="s">
        <v>49</v>
      </c>
      <c r="E344" s="303" t="e">
        <v>#N/A</v>
      </c>
      <c r="F344" s="304" t="e">
        <v>#N/A</v>
      </c>
      <c r="G344" s="137">
        <v>176</v>
      </c>
      <c r="H344" s="137">
        <v>30</v>
      </c>
      <c r="I344" s="308" t="e">
        <f t="shared" si="13"/>
        <v>#N/A</v>
      </c>
      <c r="J344" s="131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59"/>
      <c r="Z344" s="59" t="e">
        <f t="shared" si="12"/>
        <v>#N/A</v>
      </c>
      <c r="AA344" s="32"/>
      <c r="AB344" s="32"/>
      <c r="AD344" s="59"/>
    </row>
    <row r="345" spans="2:30" s="21" customFormat="1" x14ac:dyDescent="0.2">
      <c r="B345" s="21" t="s">
        <v>312</v>
      </c>
      <c r="D345" s="32" t="s">
        <v>49</v>
      </c>
      <c r="E345" s="303" t="e">
        <v>#N/A</v>
      </c>
      <c r="F345" s="304" t="e">
        <v>#N/A</v>
      </c>
      <c r="G345" s="137">
        <v>176</v>
      </c>
      <c r="H345" s="137">
        <v>30</v>
      </c>
      <c r="I345" s="308" t="e">
        <f t="shared" si="13"/>
        <v>#N/A</v>
      </c>
      <c r="J345" s="131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59"/>
      <c r="Z345" s="59" t="e">
        <f t="shared" si="12"/>
        <v>#N/A</v>
      </c>
      <c r="AA345" s="32"/>
      <c r="AB345" s="32"/>
      <c r="AD345" s="59"/>
    </row>
    <row r="346" spans="2:30" s="21" customFormat="1" x14ac:dyDescent="0.2">
      <c r="B346" s="21" t="s">
        <v>313</v>
      </c>
      <c r="D346" s="32" t="s">
        <v>49</v>
      </c>
      <c r="E346" s="303" t="e">
        <v>#N/A</v>
      </c>
      <c r="F346" s="304" t="e">
        <v>#N/A</v>
      </c>
      <c r="G346" s="137">
        <v>176</v>
      </c>
      <c r="H346" s="137">
        <v>30</v>
      </c>
      <c r="I346" s="308" t="e">
        <f t="shared" si="13"/>
        <v>#N/A</v>
      </c>
      <c r="J346" s="131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59"/>
      <c r="Z346" s="59" t="e">
        <f t="shared" si="12"/>
        <v>#N/A</v>
      </c>
      <c r="AA346" s="32"/>
      <c r="AB346" s="32"/>
      <c r="AD346" s="59"/>
    </row>
    <row r="347" spans="2:30" s="21" customFormat="1" x14ac:dyDescent="0.2">
      <c r="B347" s="21" t="s">
        <v>314</v>
      </c>
      <c r="D347" s="32" t="s">
        <v>49</v>
      </c>
      <c r="E347" s="303" t="e">
        <v>#N/A</v>
      </c>
      <c r="F347" s="304" t="e">
        <v>#N/A</v>
      </c>
      <c r="G347" s="137">
        <v>176</v>
      </c>
      <c r="H347" s="137">
        <v>30</v>
      </c>
      <c r="I347" s="308" t="e">
        <f t="shared" si="13"/>
        <v>#N/A</v>
      </c>
      <c r="J347" s="131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59"/>
      <c r="Z347" s="59" t="e">
        <f t="shared" si="12"/>
        <v>#N/A</v>
      </c>
      <c r="AA347" s="32"/>
      <c r="AB347" s="32"/>
      <c r="AD347" s="59"/>
    </row>
    <row r="348" spans="2:30" s="21" customFormat="1" x14ac:dyDescent="0.2">
      <c r="B348" s="21" t="s">
        <v>315</v>
      </c>
      <c r="D348" s="32" t="s">
        <v>49</v>
      </c>
      <c r="E348" s="303" t="e">
        <v>#N/A</v>
      </c>
      <c r="F348" s="304" t="e">
        <v>#N/A</v>
      </c>
      <c r="G348" s="137">
        <v>176</v>
      </c>
      <c r="H348" s="137">
        <v>30</v>
      </c>
      <c r="I348" s="308" t="e">
        <f t="shared" si="13"/>
        <v>#N/A</v>
      </c>
      <c r="J348" s="131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59"/>
      <c r="Z348" s="59" t="e">
        <f t="shared" si="12"/>
        <v>#N/A</v>
      </c>
      <c r="AA348" s="32"/>
      <c r="AB348" s="32"/>
      <c r="AD348" s="59"/>
    </row>
    <row r="349" spans="2:30" s="21" customFormat="1" x14ac:dyDescent="0.2">
      <c r="B349" s="21" t="s">
        <v>316</v>
      </c>
      <c r="D349" s="32" t="s">
        <v>49</v>
      </c>
      <c r="E349" s="303" t="e">
        <v>#N/A</v>
      </c>
      <c r="F349" s="304" t="e">
        <v>#N/A</v>
      </c>
      <c r="G349" s="137">
        <v>176</v>
      </c>
      <c r="H349" s="137">
        <v>30</v>
      </c>
      <c r="I349" s="308" t="e">
        <f t="shared" si="13"/>
        <v>#N/A</v>
      </c>
      <c r="J349" s="131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59"/>
      <c r="Z349" s="59" t="e">
        <f t="shared" si="12"/>
        <v>#N/A</v>
      </c>
      <c r="AA349" s="11"/>
      <c r="AB349" s="32"/>
      <c r="AD349" s="59"/>
    </row>
    <row r="350" spans="2:30" s="21" customFormat="1" x14ac:dyDescent="0.2">
      <c r="B350" s="21" t="s">
        <v>317</v>
      </c>
      <c r="D350" s="32" t="s">
        <v>49</v>
      </c>
      <c r="E350" s="303" t="e">
        <v>#N/A</v>
      </c>
      <c r="F350" s="304" t="e">
        <v>#N/A</v>
      </c>
      <c r="G350" s="137">
        <v>176</v>
      </c>
      <c r="H350" s="137">
        <v>30</v>
      </c>
      <c r="I350" s="308" t="e">
        <f t="shared" si="13"/>
        <v>#N/A</v>
      </c>
      <c r="J350" s="131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59"/>
      <c r="Z350" s="59" t="e">
        <f t="shared" si="12"/>
        <v>#N/A</v>
      </c>
      <c r="AA350" s="32"/>
      <c r="AB350" s="32"/>
      <c r="AD350" s="59"/>
    </row>
    <row r="351" spans="2:30" s="21" customFormat="1" x14ac:dyDescent="0.2">
      <c r="B351" s="21" t="s">
        <v>318</v>
      </c>
      <c r="D351" s="32" t="s">
        <v>49</v>
      </c>
      <c r="E351" s="303" t="e">
        <v>#N/A</v>
      </c>
      <c r="F351" s="304" t="e">
        <v>#N/A</v>
      </c>
      <c r="G351" s="137">
        <v>176</v>
      </c>
      <c r="H351" s="137">
        <v>30</v>
      </c>
      <c r="I351" s="308" t="e">
        <f t="shared" si="13"/>
        <v>#N/A</v>
      </c>
      <c r="J351" s="131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59"/>
      <c r="Z351" s="59" t="e">
        <f t="shared" si="12"/>
        <v>#N/A</v>
      </c>
      <c r="AB351" s="32"/>
      <c r="AD351" s="59"/>
    </row>
    <row r="352" spans="2:30" s="21" customFormat="1" x14ac:dyDescent="0.2">
      <c r="B352" s="21" t="s">
        <v>319</v>
      </c>
      <c r="D352" s="32" t="s">
        <v>49</v>
      </c>
      <c r="E352" s="303" t="e">
        <v>#N/A</v>
      </c>
      <c r="F352" s="304" t="e">
        <v>#N/A</v>
      </c>
      <c r="G352" s="137">
        <v>176</v>
      </c>
      <c r="H352" s="137">
        <v>30</v>
      </c>
      <c r="I352" s="308" t="e">
        <f t="shared" si="13"/>
        <v>#N/A</v>
      </c>
      <c r="J352" s="131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59"/>
      <c r="Z352" s="59" t="e">
        <f t="shared" si="12"/>
        <v>#N/A</v>
      </c>
      <c r="AB352" s="32"/>
      <c r="AD352" s="59"/>
    </row>
    <row r="353" spans="2:30" s="21" customFormat="1" x14ac:dyDescent="0.2">
      <c r="B353" s="21" t="s">
        <v>289</v>
      </c>
      <c r="D353" s="32" t="s">
        <v>49</v>
      </c>
      <c r="E353" s="303" t="e">
        <v>#N/A</v>
      </c>
      <c r="F353" s="304" t="e">
        <v>#N/A</v>
      </c>
      <c r="G353" s="137">
        <v>176</v>
      </c>
      <c r="H353" s="137">
        <v>30</v>
      </c>
      <c r="I353" s="308" t="e">
        <f t="shared" si="13"/>
        <v>#N/A</v>
      </c>
      <c r="J353" s="131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59"/>
      <c r="Z353" s="59" t="e">
        <f t="shared" si="12"/>
        <v>#N/A</v>
      </c>
      <c r="AB353" s="32"/>
      <c r="AD353" s="59"/>
    </row>
    <row r="354" spans="2:30" s="21" customFormat="1" x14ac:dyDescent="0.2">
      <c r="B354" s="21" t="s">
        <v>320</v>
      </c>
      <c r="D354" s="32" t="s">
        <v>49</v>
      </c>
      <c r="E354" s="303" t="e">
        <v>#N/A</v>
      </c>
      <c r="F354" s="304" t="e">
        <v>#N/A</v>
      </c>
      <c r="G354" s="137">
        <v>176</v>
      </c>
      <c r="H354" s="137">
        <v>30</v>
      </c>
      <c r="I354" s="308" t="e">
        <f t="shared" si="13"/>
        <v>#N/A</v>
      </c>
      <c r="J354" s="131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59"/>
      <c r="Z354" s="59" t="e">
        <f t="shared" si="12"/>
        <v>#N/A</v>
      </c>
      <c r="AB354" s="32"/>
      <c r="AD354" s="59"/>
    </row>
    <row r="355" spans="2:30" s="21" customFormat="1" x14ac:dyDescent="0.2">
      <c r="B355" s="21" t="s">
        <v>321</v>
      </c>
      <c r="D355" s="32" t="s">
        <v>49</v>
      </c>
      <c r="E355" s="303" t="e">
        <v>#N/A</v>
      </c>
      <c r="F355" s="304" t="e">
        <v>#N/A</v>
      </c>
      <c r="G355" s="137">
        <v>176</v>
      </c>
      <c r="H355" s="137">
        <v>30</v>
      </c>
      <c r="I355" s="308" t="e">
        <f t="shared" si="13"/>
        <v>#N/A</v>
      </c>
      <c r="J355" s="131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59"/>
      <c r="Z355" s="59" t="e">
        <f t="shared" si="12"/>
        <v>#N/A</v>
      </c>
      <c r="AB355" s="32"/>
      <c r="AD355" s="59"/>
    </row>
    <row r="356" spans="2:30" s="21" customFormat="1" x14ac:dyDescent="0.2">
      <c r="B356" s="21" t="s">
        <v>322</v>
      </c>
      <c r="D356" s="32" t="s">
        <v>49</v>
      </c>
      <c r="E356" s="305" t="e">
        <v>#N/A</v>
      </c>
      <c r="F356" s="306" t="e">
        <v>#N/A</v>
      </c>
      <c r="G356" s="137">
        <v>176</v>
      </c>
      <c r="H356" s="137">
        <v>30</v>
      </c>
      <c r="I356" s="308" t="e">
        <f t="shared" si="13"/>
        <v>#N/A</v>
      </c>
      <c r="J356" s="131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59"/>
      <c r="Z356" s="59" t="e">
        <f t="shared" si="12"/>
        <v>#N/A</v>
      </c>
      <c r="AB356" s="32"/>
      <c r="AD356" s="59"/>
    </row>
    <row r="357" spans="2:30" s="21" customFormat="1" x14ac:dyDescent="0.2">
      <c r="B357" s="96"/>
      <c r="D357" s="32"/>
      <c r="E357" s="11"/>
      <c r="F357" s="11"/>
      <c r="G357" s="32"/>
      <c r="H357" s="32"/>
      <c r="I357" s="11"/>
      <c r="J357" s="131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59"/>
      <c r="Z357" s="59"/>
      <c r="AB357" s="32"/>
      <c r="AD357" s="59"/>
    </row>
    <row r="358" spans="2:30" s="21" customFormat="1" x14ac:dyDescent="0.2">
      <c r="B358" s="96"/>
      <c r="D358" s="32"/>
      <c r="E358" s="11">
        <v>0</v>
      </c>
      <c r="F358" s="11">
        <v>0</v>
      </c>
      <c r="G358" s="32"/>
      <c r="H358" s="32"/>
      <c r="I358" s="11">
        <f>(E358*G358)+(F358*H358)</f>
        <v>0</v>
      </c>
      <c r="J358" s="131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59"/>
      <c r="Z358" s="59"/>
      <c r="AB358" s="32"/>
      <c r="AD358" s="59"/>
    </row>
    <row r="359" spans="2:30" s="21" customFormat="1" x14ac:dyDescent="0.2">
      <c r="B359" s="130"/>
      <c r="C359" s="139" t="s">
        <v>45</v>
      </c>
      <c r="D359" s="140"/>
      <c r="E359" s="71"/>
      <c r="F359" s="217"/>
      <c r="G359" s="442"/>
      <c r="H359" s="217"/>
      <c r="I359" s="160" t="e">
        <f>SUM(I332:I358)</f>
        <v>#N/A</v>
      </c>
      <c r="J359" s="321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160">
        <f>SUM(Y332:Y358)</f>
        <v>0</v>
      </c>
      <c r="Z359" s="160" t="e">
        <f>SUM(Z332:Z358)</f>
        <v>#N/A</v>
      </c>
      <c r="AA359" s="160">
        <f>SUM(AA332:AA358)</f>
        <v>0</v>
      </c>
      <c r="AB359" s="160">
        <f>SUM(AB332:AB358)</f>
        <v>0</v>
      </c>
      <c r="AD359" s="59"/>
    </row>
    <row r="360" spans="2:30" s="21" customFormat="1" x14ac:dyDescent="0.2">
      <c r="B360" s="130"/>
      <c r="E360" s="32"/>
      <c r="F360" s="32"/>
      <c r="G360" s="32"/>
      <c r="H360" s="32"/>
      <c r="I360" s="11"/>
      <c r="J360" s="131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AA360" s="32"/>
      <c r="AB360" s="32"/>
      <c r="AD360" s="59"/>
    </row>
    <row r="361" spans="2:30" s="21" customFormat="1" x14ac:dyDescent="0.2">
      <c r="B361" s="130" t="s">
        <v>50</v>
      </c>
      <c r="C361" s="135" t="s">
        <v>39</v>
      </c>
      <c r="E361" s="32"/>
      <c r="F361" s="32"/>
      <c r="G361" s="32"/>
      <c r="H361" s="32"/>
      <c r="I361" s="32"/>
      <c r="J361" s="131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AB361" s="32"/>
      <c r="AD361" s="59"/>
    </row>
    <row r="362" spans="2:30" s="21" customFormat="1" x14ac:dyDescent="0.2">
      <c r="B362" s="96"/>
      <c r="D362" s="32">
        <v>0</v>
      </c>
      <c r="E362" s="11">
        <v>0</v>
      </c>
      <c r="F362" s="217"/>
      <c r="G362" s="70"/>
      <c r="H362" s="217"/>
      <c r="I362" s="11">
        <f>E362*G362</f>
        <v>0</v>
      </c>
      <c r="J362" s="131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59"/>
      <c r="Z362" s="59"/>
      <c r="AB362" s="32"/>
      <c r="AD362" s="59"/>
    </row>
    <row r="363" spans="2:30" s="21" customFormat="1" x14ac:dyDescent="0.2">
      <c r="B363" s="96"/>
      <c r="D363" s="32">
        <v>0</v>
      </c>
      <c r="E363" s="11">
        <v>0</v>
      </c>
      <c r="F363" s="217"/>
      <c r="G363" s="70"/>
      <c r="H363" s="217"/>
      <c r="I363" s="11">
        <f t="shared" ref="I363:I368" si="14">E363*G363</f>
        <v>0</v>
      </c>
      <c r="J363" s="131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AB363" s="32"/>
      <c r="AD363" s="59"/>
    </row>
    <row r="364" spans="2:30" s="21" customFormat="1" x14ac:dyDescent="0.2">
      <c r="B364" s="96"/>
      <c r="D364" s="32">
        <v>0</v>
      </c>
      <c r="E364" s="11">
        <v>0</v>
      </c>
      <c r="F364" s="217"/>
      <c r="G364" s="70"/>
      <c r="H364" s="217"/>
      <c r="I364" s="11">
        <f t="shared" si="14"/>
        <v>0</v>
      </c>
      <c r="J364" s="131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AB364" s="32"/>
      <c r="AD364" s="59"/>
    </row>
    <row r="365" spans="2:30" s="21" customFormat="1" x14ac:dyDescent="0.2">
      <c r="B365" s="96"/>
      <c r="D365" s="32">
        <v>0</v>
      </c>
      <c r="E365" s="11">
        <v>0</v>
      </c>
      <c r="F365" s="217"/>
      <c r="G365" s="70"/>
      <c r="H365" s="217"/>
      <c r="I365" s="11">
        <f t="shared" si="14"/>
        <v>0</v>
      </c>
      <c r="J365" s="131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AB365" s="32"/>
      <c r="AD365" s="59"/>
    </row>
    <row r="366" spans="2:30" s="21" customFormat="1" x14ac:dyDescent="0.2">
      <c r="B366" s="96"/>
      <c r="D366" s="32">
        <v>0</v>
      </c>
      <c r="E366" s="11">
        <v>0</v>
      </c>
      <c r="F366" s="217"/>
      <c r="G366" s="70"/>
      <c r="H366" s="217"/>
      <c r="I366" s="11">
        <f t="shared" si="14"/>
        <v>0</v>
      </c>
      <c r="J366" s="131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AB366" s="32"/>
      <c r="AD366" s="59"/>
    </row>
    <row r="367" spans="2:30" s="21" customFormat="1" x14ac:dyDescent="0.2">
      <c r="B367" s="96"/>
      <c r="D367" s="32">
        <v>0</v>
      </c>
      <c r="E367" s="11">
        <v>0</v>
      </c>
      <c r="F367" s="217"/>
      <c r="G367" s="70"/>
      <c r="H367" s="217"/>
      <c r="I367" s="11">
        <f t="shared" si="14"/>
        <v>0</v>
      </c>
      <c r="J367" s="131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AB367" s="32"/>
      <c r="AD367" s="59"/>
    </row>
    <row r="368" spans="2:30" s="21" customFormat="1" x14ac:dyDescent="0.2">
      <c r="B368" s="96"/>
      <c r="D368" s="32">
        <v>0</v>
      </c>
      <c r="E368" s="11">
        <v>0</v>
      </c>
      <c r="F368" s="217"/>
      <c r="G368" s="70"/>
      <c r="H368" s="217"/>
      <c r="I368" s="11">
        <f t="shared" si="14"/>
        <v>0</v>
      </c>
      <c r="J368" s="131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AB368" s="32"/>
      <c r="AD368" s="59"/>
    </row>
    <row r="369" spans="2:30" s="21" customFormat="1" x14ac:dyDescent="0.2">
      <c r="B369" s="96"/>
      <c r="D369" s="32">
        <v>0</v>
      </c>
      <c r="E369" s="11">
        <v>0</v>
      </c>
      <c r="F369" s="217"/>
      <c r="G369" s="70"/>
      <c r="H369" s="217"/>
      <c r="I369" s="11">
        <f>E369*G369</f>
        <v>0</v>
      </c>
      <c r="J369" s="131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AB369" s="32"/>
      <c r="AD369" s="59"/>
    </row>
    <row r="370" spans="2:30" s="21" customFormat="1" x14ac:dyDescent="0.2">
      <c r="B370" s="96"/>
      <c r="D370" s="32">
        <v>0</v>
      </c>
      <c r="E370" s="11">
        <v>0</v>
      </c>
      <c r="F370" s="217"/>
      <c r="G370" s="32"/>
      <c r="H370" s="217"/>
      <c r="I370" s="11">
        <f>E370*G370</f>
        <v>0</v>
      </c>
      <c r="J370" s="131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AB370" s="32"/>
      <c r="AD370" s="59"/>
    </row>
    <row r="371" spans="2:30" s="21" customFormat="1" x14ac:dyDescent="0.2">
      <c r="B371" s="96"/>
      <c r="D371" s="32">
        <v>0</v>
      </c>
      <c r="E371" s="11">
        <v>0</v>
      </c>
      <c r="F371" s="217"/>
      <c r="G371" s="32"/>
      <c r="H371" s="217"/>
      <c r="I371" s="11">
        <f>E371*G371</f>
        <v>0</v>
      </c>
      <c r="J371" s="131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AB371" s="32"/>
      <c r="AD371" s="59"/>
    </row>
    <row r="372" spans="2:30" s="21" customFormat="1" x14ac:dyDescent="0.2">
      <c r="B372" s="130"/>
      <c r="C372" s="139" t="s">
        <v>46</v>
      </c>
      <c r="D372" s="140"/>
      <c r="E372" s="71"/>
      <c r="F372" s="217"/>
      <c r="G372" s="442"/>
      <c r="H372" s="217"/>
      <c r="I372" s="160">
        <f>SUM(I362:I371)</f>
        <v>0</v>
      </c>
      <c r="J372" s="321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160">
        <f>SUM(Y362:Y371)</f>
        <v>0</v>
      </c>
      <c r="Z372" s="160">
        <f>SUM(Z362:Z371)</f>
        <v>0</v>
      </c>
      <c r="AA372" s="160">
        <f>SUM(AA362:AA371)</f>
        <v>0</v>
      </c>
      <c r="AB372" s="160">
        <f>SUM(AB362:AB371)</f>
        <v>0</v>
      </c>
      <c r="AD372" s="59"/>
    </row>
    <row r="373" spans="2:30" s="21" customFormat="1" x14ac:dyDescent="0.2">
      <c r="B373" s="130"/>
      <c r="E373" s="32"/>
      <c r="F373" s="32"/>
      <c r="G373" s="32"/>
      <c r="H373" s="32"/>
      <c r="I373" s="11"/>
      <c r="J373" s="321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AB373" s="32"/>
      <c r="AD373" s="59"/>
    </row>
    <row r="374" spans="2:30" s="21" customFormat="1" x14ac:dyDescent="0.2">
      <c r="B374" s="130" t="s">
        <v>118</v>
      </c>
      <c r="C374" s="135" t="s">
        <v>39</v>
      </c>
      <c r="E374" s="32"/>
      <c r="F374" s="32"/>
      <c r="G374" s="32"/>
      <c r="H374" s="32"/>
      <c r="I374" s="32"/>
      <c r="J374" s="131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AB374" s="32"/>
      <c r="AD374" s="59"/>
    </row>
    <row r="375" spans="2:30" s="21" customFormat="1" x14ac:dyDescent="0.2">
      <c r="B375" s="96" t="s">
        <v>246</v>
      </c>
      <c r="D375" s="175" t="e">
        <v>#N/A</v>
      </c>
      <c r="E375" s="307" t="e">
        <v>#N/A</v>
      </c>
      <c r="F375" s="217"/>
      <c r="G375" s="190">
        <f>+G321/176</f>
        <v>1.6969696969696964</v>
      </c>
      <c r="H375" s="217"/>
      <c r="I375" s="308" t="e">
        <f t="shared" ref="I375:I381" si="15">E375*G375</f>
        <v>#N/A</v>
      </c>
      <c r="J375" s="131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59"/>
      <c r="Z375" s="59" t="e">
        <f>+I375</f>
        <v>#N/A</v>
      </c>
      <c r="AB375" s="32"/>
      <c r="AD375" s="59"/>
    </row>
    <row r="376" spans="2:30" s="21" customFormat="1" x14ac:dyDescent="0.2">
      <c r="B376" s="96" t="s">
        <v>249</v>
      </c>
      <c r="D376" s="175" t="e">
        <v>#N/A</v>
      </c>
      <c r="E376" s="307" t="e">
        <v>#N/A</v>
      </c>
      <c r="F376" s="217"/>
      <c r="G376" s="190">
        <f>+G375</f>
        <v>1.6969696969696964</v>
      </c>
      <c r="H376" s="217"/>
      <c r="I376" s="308" t="e">
        <f t="shared" si="15"/>
        <v>#N/A</v>
      </c>
      <c r="J376" s="131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59"/>
      <c r="Z376" s="59" t="e">
        <f>+I376</f>
        <v>#N/A</v>
      </c>
      <c r="AB376" s="32"/>
      <c r="AD376" s="59"/>
    </row>
    <row r="377" spans="2:30" s="21" customFormat="1" x14ac:dyDescent="0.2">
      <c r="B377" s="96"/>
      <c r="D377" s="11">
        <v>0</v>
      </c>
      <c r="E377" s="11">
        <v>0</v>
      </c>
      <c r="F377" s="217"/>
      <c r="G377" s="32"/>
      <c r="H377" s="217"/>
      <c r="I377" s="11">
        <f t="shared" si="15"/>
        <v>0</v>
      </c>
      <c r="J377" s="131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AB377" s="32"/>
      <c r="AD377" s="59"/>
    </row>
    <row r="378" spans="2:30" s="21" customFormat="1" x14ac:dyDescent="0.2">
      <c r="B378" s="96"/>
      <c r="D378" s="11">
        <v>0</v>
      </c>
      <c r="E378" s="11">
        <v>0</v>
      </c>
      <c r="F378" s="217"/>
      <c r="G378" s="32"/>
      <c r="H378" s="217"/>
      <c r="I378" s="11">
        <f t="shared" si="15"/>
        <v>0</v>
      </c>
      <c r="J378" s="131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AB378" s="32"/>
      <c r="AD378" s="59"/>
    </row>
    <row r="379" spans="2:30" s="21" customFormat="1" x14ac:dyDescent="0.2">
      <c r="B379" s="96"/>
      <c r="D379" s="11">
        <v>0</v>
      </c>
      <c r="E379" s="11">
        <v>0</v>
      </c>
      <c r="F379" s="217"/>
      <c r="G379" s="32"/>
      <c r="H379" s="217"/>
      <c r="I379" s="11">
        <f t="shared" si="15"/>
        <v>0</v>
      </c>
      <c r="J379" s="131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AB379" s="32"/>
      <c r="AD379" s="59"/>
    </row>
    <row r="380" spans="2:30" s="21" customFormat="1" x14ac:dyDescent="0.2">
      <c r="B380" s="96"/>
      <c r="D380" s="11">
        <v>0</v>
      </c>
      <c r="E380" s="11">
        <v>0</v>
      </c>
      <c r="F380" s="217"/>
      <c r="G380" s="32"/>
      <c r="H380" s="217"/>
      <c r="I380" s="11">
        <f t="shared" si="15"/>
        <v>0</v>
      </c>
      <c r="J380" s="131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59"/>
      <c r="Z380" s="59"/>
      <c r="AB380" s="32"/>
      <c r="AD380" s="59"/>
    </row>
    <row r="381" spans="2:30" s="21" customFormat="1" x14ac:dyDescent="0.2">
      <c r="B381" s="96"/>
      <c r="D381" s="11">
        <v>0</v>
      </c>
      <c r="E381" s="11">
        <v>0</v>
      </c>
      <c r="F381" s="217"/>
      <c r="G381" s="32"/>
      <c r="H381" s="217"/>
      <c r="I381" s="11">
        <f t="shared" si="15"/>
        <v>0</v>
      </c>
      <c r="J381" s="131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AB381" s="32"/>
      <c r="AD381" s="59"/>
    </row>
    <row r="382" spans="2:30" s="21" customFormat="1" x14ac:dyDescent="0.2">
      <c r="B382" s="130"/>
      <c r="C382" s="139" t="s">
        <v>146</v>
      </c>
      <c r="D382" s="140"/>
      <c r="E382" s="140"/>
      <c r="F382" s="142"/>
      <c r="G382" s="442"/>
      <c r="H382" s="217"/>
      <c r="I382" s="160" t="e">
        <f>SUM(I375:I381)</f>
        <v>#N/A</v>
      </c>
      <c r="J382" s="321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160">
        <f>SUM(Y375:Y381)</f>
        <v>0</v>
      </c>
      <c r="Z382" s="160" t="e">
        <f>SUM(Z375:Z381)</f>
        <v>#N/A</v>
      </c>
      <c r="AA382" s="160">
        <f>SUM(AA375:AA381)</f>
        <v>0</v>
      </c>
      <c r="AB382" s="160">
        <f>SUM(AB375:AB381)</f>
        <v>0</v>
      </c>
      <c r="AD382" s="59"/>
    </row>
    <row r="383" spans="2:30" s="21" customFormat="1" x14ac:dyDescent="0.2">
      <c r="E383" s="32"/>
      <c r="F383" s="32"/>
      <c r="G383" s="32"/>
      <c r="H383" s="32"/>
      <c r="I383" s="32"/>
      <c r="J383" s="131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D383" s="59"/>
    </row>
    <row r="384" spans="2:30" s="21" customFormat="1" x14ac:dyDescent="0.2">
      <c r="E384" s="32"/>
      <c r="F384" s="32"/>
      <c r="G384" s="32"/>
      <c r="H384" s="32"/>
      <c r="I384" s="32"/>
      <c r="J384" s="131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D384" s="59"/>
    </row>
    <row r="385" spans="2:30" s="21" customFormat="1" x14ac:dyDescent="0.2">
      <c r="B385" s="130" t="s">
        <v>66</v>
      </c>
      <c r="C385" s="138" t="s">
        <v>39</v>
      </c>
      <c r="D385" s="11"/>
      <c r="E385" s="11"/>
      <c r="F385" s="217"/>
      <c r="G385" s="32"/>
      <c r="H385" s="217"/>
      <c r="I385" s="160">
        <v>2099.4499999999998</v>
      </c>
      <c r="J385" s="321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160" t="e">
        <f>+$G$106*#REF!</f>
        <v>#REF!</v>
      </c>
      <c r="Z385" s="160" t="e">
        <f>+$G$106*#REF!</f>
        <v>#REF!</v>
      </c>
      <c r="AA385" s="160" t="e">
        <f>+$G$106*#REF!</f>
        <v>#REF!</v>
      </c>
      <c r="AB385" s="160" t="e">
        <f>+$G$106*#REF!</f>
        <v>#REF!</v>
      </c>
      <c r="AD385" s="59"/>
    </row>
    <row r="386" spans="2:30" s="21" customFormat="1" x14ac:dyDescent="0.2">
      <c r="E386" s="32"/>
      <c r="F386" s="32"/>
      <c r="G386" s="32"/>
      <c r="H386" s="32"/>
      <c r="I386" s="32"/>
      <c r="J386" s="131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D386" s="59"/>
    </row>
    <row r="387" spans="2:30" s="21" customFormat="1" x14ac:dyDescent="0.2">
      <c r="B387" s="49" t="s">
        <v>51</v>
      </c>
      <c r="C387" s="50"/>
      <c r="D387" s="50"/>
      <c r="E387" s="168"/>
      <c r="F387" s="168"/>
      <c r="G387" s="168"/>
      <c r="H387" s="217"/>
      <c r="I387" s="169" t="e">
        <f>I321+I329+I359+I372+I382+I385</f>
        <v>#N/A</v>
      </c>
      <c r="J387" s="321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169" t="e">
        <f>+#REF!+Y385</f>
        <v>#REF!</v>
      </c>
      <c r="Z387" s="169" t="e">
        <f>+#REF!+Z385</f>
        <v>#REF!</v>
      </c>
      <c r="AA387" s="169" t="e">
        <f>+#REF!+AA385</f>
        <v>#REF!</v>
      </c>
      <c r="AB387" s="169" t="e">
        <f>+#REF!+AB385</f>
        <v>#REF!</v>
      </c>
      <c r="AD387" s="59"/>
    </row>
    <row r="388" spans="2:30" s="21" customFormat="1" x14ac:dyDescent="0.2">
      <c r="C388" s="32"/>
      <c r="E388" s="32"/>
      <c r="F388" s="32"/>
      <c r="G388" s="32"/>
      <c r="H388" s="32"/>
      <c r="I388" s="32"/>
      <c r="J388" s="131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D388" s="59"/>
    </row>
    <row r="389" spans="2:30" s="21" customFormat="1" x14ac:dyDescent="0.2">
      <c r="B389" s="130" t="s">
        <v>52</v>
      </c>
      <c r="C389" s="74">
        <v>0.1669465</v>
      </c>
      <c r="E389" s="32"/>
      <c r="F389" s="32"/>
      <c r="G389" s="32"/>
      <c r="H389" s="32"/>
      <c r="I389" s="160">
        <v>9636.863297861426</v>
      </c>
      <c r="J389" s="321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160" t="e">
        <f>+Y387*#REF!</f>
        <v>#REF!</v>
      </c>
      <c r="Z389" s="160" t="e">
        <f>+Z387*#REF!</f>
        <v>#REF!</v>
      </c>
      <c r="AA389" s="160" t="e">
        <f>+AA387*#REF!</f>
        <v>#REF!</v>
      </c>
      <c r="AB389" s="160" t="e">
        <f>+AB387*#REF!</f>
        <v>#REF!</v>
      </c>
      <c r="AD389" s="59"/>
    </row>
    <row r="390" spans="2:30" s="21" customFormat="1" x14ac:dyDescent="0.2">
      <c r="B390" s="130"/>
      <c r="C390" s="183"/>
      <c r="G390" s="32"/>
      <c r="H390" s="32"/>
      <c r="J390" s="131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AD390" s="59"/>
    </row>
    <row r="391" spans="2:30" s="21" customFormat="1" x14ac:dyDescent="0.2">
      <c r="B391" s="320" t="s">
        <v>378</v>
      </c>
      <c r="C391" s="322">
        <v>2.9676348547717842E-2</v>
      </c>
      <c r="D391" s="129"/>
      <c r="E391" s="129"/>
      <c r="F391" s="129"/>
      <c r="G391" s="131"/>
      <c r="H391" s="131"/>
      <c r="I391" s="317">
        <v>1713.0452817761695</v>
      </c>
      <c r="J391" s="321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160" t="e">
        <f>+$C$109*#REF!</f>
        <v>#REF!</v>
      </c>
      <c r="Z391" s="160" t="e">
        <f>+$C$109*#REF!</f>
        <v>#REF!</v>
      </c>
      <c r="AA391" s="160" t="e">
        <f>+$C$109*#REF!</f>
        <v>#REF!</v>
      </c>
      <c r="AB391" s="160" t="e">
        <f>+$C$109*#REF!</f>
        <v>#REF!</v>
      </c>
      <c r="AD391" s="59"/>
    </row>
    <row r="392" spans="2:30" s="21" customFormat="1" x14ac:dyDescent="0.2">
      <c r="B392" s="320"/>
      <c r="C392" s="323"/>
      <c r="D392" s="129"/>
      <c r="E392" s="129"/>
      <c r="F392" s="129"/>
      <c r="G392" s="131"/>
      <c r="H392" s="131"/>
      <c r="I392" s="129"/>
      <c r="J392" s="131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AD392" s="59"/>
    </row>
    <row r="393" spans="2:30" s="21" customFormat="1" x14ac:dyDescent="0.2">
      <c r="B393" s="320" t="s">
        <v>379</v>
      </c>
      <c r="C393" s="321">
        <v>1.2E-2</v>
      </c>
      <c r="D393" s="129"/>
      <c r="E393" s="129"/>
      <c r="F393" s="129"/>
      <c r="G393" s="131"/>
      <c r="H393" s="131"/>
      <c r="I393" s="317">
        <v>692.69112904036388</v>
      </c>
      <c r="J393" s="321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160" t="e">
        <f>+$C$111*#REF!</f>
        <v>#REF!</v>
      </c>
      <c r="Z393" s="160" t="e">
        <f>+$C$111*#REF!</f>
        <v>#REF!</v>
      </c>
      <c r="AA393" s="160" t="e">
        <f>+$C$111*#REF!</f>
        <v>#REF!</v>
      </c>
      <c r="AB393" s="160" t="e">
        <f>+$C$111*#REF!</f>
        <v>#REF!</v>
      </c>
      <c r="AD393" s="59"/>
    </row>
    <row r="394" spans="2:30" s="21" customFormat="1" x14ac:dyDescent="0.2">
      <c r="B394" s="129"/>
      <c r="C394" s="323"/>
      <c r="D394" s="129"/>
      <c r="E394" s="129"/>
      <c r="F394" s="129"/>
      <c r="G394" s="131"/>
      <c r="H394" s="131"/>
      <c r="I394" s="131"/>
      <c r="J394" s="131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D394" s="59"/>
    </row>
    <row r="395" spans="2:30" s="21" customFormat="1" x14ac:dyDescent="0.2">
      <c r="B395" s="320" t="s">
        <v>354</v>
      </c>
      <c r="C395" s="321">
        <v>6.0000000000000001E-3</v>
      </c>
      <c r="D395" s="129"/>
      <c r="E395" s="129"/>
      <c r="F395" s="129"/>
      <c r="G395" s="131"/>
      <c r="H395" s="131"/>
      <c r="I395" s="317">
        <v>346.34556452018194</v>
      </c>
      <c r="J395" s="321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160" t="e">
        <f>+$C$113*#REF!</f>
        <v>#REF!</v>
      </c>
      <c r="Z395" s="160" t="e">
        <f>+$C$113*#REF!</f>
        <v>#REF!</v>
      </c>
      <c r="AA395" s="160" t="e">
        <f>+$C$113*#REF!</f>
        <v>#REF!</v>
      </c>
      <c r="AB395" s="160" t="e">
        <f>+$C$113*#REF!</f>
        <v>#REF!</v>
      </c>
      <c r="AD395" s="59"/>
    </row>
    <row r="396" spans="2:30" s="21" customFormat="1" x14ac:dyDescent="0.2">
      <c r="B396" s="130"/>
      <c r="G396" s="32"/>
      <c r="H396" s="32"/>
      <c r="J396" s="131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AD396" s="59"/>
    </row>
    <row r="397" spans="2:30" s="21" customFormat="1" x14ac:dyDescent="0.2">
      <c r="B397" s="49" t="s">
        <v>359</v>
      </c>
      <c r="C397" s="50"/>
      <c r="D397" s="50"/>
      <c r="E397" s="168"/>
      <c r="F397" s="168"/>
      <c r="G397" s="168"/>
      <c r="H397" s="217"/>
      <c r="I397" s="169" t="e">
        <f>+I387+I389+I391+I393+I395</f>
        <v>#N/A</v>
      </c>
      <c r="J397" s="321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169" t="e">
        <f>+#REF!+Y391+Y393+Y395</f>
        <v>#REF!</v>
      </c>
      <c r="Z397" s="169" t="e">
        <f>+#REF!+Z391+Z393+Z395</f>
        <v>#REF!</v>
      </c>
      <c r="AA397" s="169" t="e">
        <f>+#REF!+AA391+AA393+AA395</f>
        <v>#REF!</v>
      </c>
      <c r="AB397" s="169" t="e">
        <f>+#REF!+AB391+AB393+AB395</f>
        <v>#REF!</v>
      </c>
      <c r="AD397" s="59"/>
    </row>
  </sheetData>
  <customSheetViews>
    <customSheetView guid="{1DB1CDF8-B399-46E9-9F00-21524E82CD13}" scale="75" showGridLines="0" showRuler="0" topLeftCell="A208">
      <selection activeCell="I7" sqref="I7"/>
      <pageMargins left="0.75" right="0.75" top="1" bottom="1" header="0" footer="0"/>
      <pageSetup orientation="portrait" r:id="rId1"/>
      <headerFooter alignWithMargins="0"/>
    </customSheetView>
    <customSheetView guid="{FD728909-0D0B-441A-8E6A-F7FBB3EE0FF4}" scale="75" showGridLines="0" topLeftCell="A19">
      <selection activeCell="B34" sqref="B34"/>
      <pageMargins left="0.75" right="0.75" top="1" bottom="1" header="0" footer="0"/>
      <pageSetup orientation="portrait" r:id="rId2"/>
      <headerFooter alignWithMargins="0"/>
    </customSheetView>
    <customSheetView guid="{3E10442F-E643-4030-87D8-6F3C29ED4323}" scale="85" showGridLines="0" showRuler="0">
      <pageMargins left="0.75" right="0.75" top="1" bottom="1" header="0" footer="0"/>
      <pageSetup orientation="portrait" r:id="rId3"/>
      <headerFooter alignWithMargins="0"/>
    </customSheetView>
    <customSheetView guid="{62D5B631-A5F0-449E-B42C-AE7ECEC2A7D1}" scale="75" showGridLines="0" topLeftCell="A208">
      <selection activeCell="I7" sqref="I7"/>
      <pageMargins left="0.75" right="0.75" top="1" bottom="1" header="0" footer="0"/>
      <pageSetup orientation="portrait" r:id="rId4"/>
      <headerFooter alignWithMargins="0"/>
    </customSheetView>
    <customSheetView guid="{F95940C3-2AB4-49FF-ABAA-F9CFD2FCC6F5}" scale="75" showGridLines="0" topLeftCell="A208">
      <selection activeCell="I7" sqref="I7"/>
      <pageMargins left="0.75" right="0.75" top="1" bottom="1" header="0" footer="0"/>
      <pageSetup orientation="portrait" r:id="rId5"/>
      <headerFooter alignWithMargins="0"/>
    </customSheetView>
  </customSheetViews>
  <phoneticPr fontId="22" type="noConversion"/>
  <pageMargins left="0.75" right="0.75" top="1" bottom="1" header="0" footer="0"/>
  <pageSetup orientation="portrait" r:id="rId6"/>
  <headerFooter alignWithMargins="0"/>
  <legacy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1EDC-A710-491B-8EBD-BCCCFB98D50B}">
  <dimension ref="B1:GH17"/>
  <sheetViews>
    <sheetView zoomScale="110" zoomScaleNormal="110" workbookViewId="0">
      <selection activeCell="EU15" activeCellId="5" sqref="D1:F1 DS1 EU1 D9:F15 DS9:DS15 EU9:EU15"/>
    </sheetView>
  </sheetViews>
  <sheetFormatPr baseColWidth="10" defaultRowHeight="12.75" x14ac:dyDescent="0.2"/>
  <cols>
    <col min="1" max="1" width="2.28515625" customWidth="1"/>
    <col min="2" max="3" width="3" customWidth="1"/>
    <col min="4" max="4" width="8.7109375" customWidth="1"/>
    <col min="5" max="6" width="3" customWidth="1"/>
    <col min="7" max="42" width="3" hidden="1" customWidth="1"/>
    <col min="43" max="43" width="4.42578125" hidden="1" customWidth="1"/>
    <col min="44" max="122" width="3" hidden="1" customWidth="1"/>
    <col min="123" max="123" width="5.7109375" customWidth="1"/>
    <col min="124" max="127" width="3" hidden="1" customWidth="1"/>
    <col min="128" max="128" width="8.5703125" hidden="1" customWidth="1"/>
    <col min="129" max="150" width="3" hidden="1" customWidth="1"/>
    <col min="151" max="151" width="4.7109375" customWidth="1"/>
    <col min="152" max="157" width="3" customWidth="1"/>
    <col min="158" max="158" width="4.140625" customWidth="1"/>
    <col min="159" max="188" width="3" customWidth="1"/>
    <col min="189" max="189" width="4.7109375" customWidth="1"/>
    <col min="190" max="190" width="3.85546875" customWidth="1"/>
  </cols>
  <sheetData>
    <row r="1" spans="2:190" s="581" customFormat="1" ht="177" customHeight="1" x14ac:dyDescent="0.2">
      <c r="B1" s="575" t="s">
        <v>528</v>
      </c>
      <c r="C1" s="575" t="s">
        <v>529</v>
      </c>
      <c r="D1" s="575" t="s">
        <v>530</v>
      </c>
      <c r="E1" s="575" t="s">
        <v>531</v>
      </c>
      <c r="F1" s="575" t="s">
        <v>532</v>
      </c>
      <c r="G1" s="575" t="s">
        <v>533</v>
      </c>
      <c r="H1" s="575" t="s">
        <v>534</v>
      </c>
      <c r="I1" s="575" t="s">
        <v>535</v>
      </c>
      <c r="J1" s="575" t="s">
        <v>536</v>
      </c>
      <c r="K1" s="575" t="s">
        <v>537</v>
      </c>
      <c r="L1" s="575" t="s">
        <v>538</v>
      </c>
      <c r="M1" s="575" t="s">
        <v>539</v>
      </c>
      <c r="N1" s="575" t="s">
        <v>540</v>
      </c>
      <c r="O1" s="575" t="s">
        <v>541</v>
      </c>
      <c r="P1" s="575" t="s">
        <v>542</v>
      </c>
      <c r="Q1" s="575" t="s">
        <v>543</v>
      </c>
      <c r="R1" s="575" t="s">
        <v>544</v>
      </c>
      <c r="S1" s="575" t="s">
        <v>545</v>
      </c>
      <c r="T1" s="575" t="s">
        <v>546</v>
      </c>
      <c r="U1" s="575" t="s">
        <v>547</v>
      </c>
      <c r="V1" s="575" t="s">
        <v>548</v>
      </c>
      <c r="W1" s="575" t="s">
        <v>549</v>
      </c>
      <c r="X1" s="575" t="s">
        <v>550</v>
      </c>
      <c r="Y1" s="575" t="s">
        <v>551</v>
      </c>
      <c r="Z1" s="575" t="s">
        <v>552</v>
      </c>
      <c r="AA1" s="575" t="s">
        <v>553</v>
      </c>
      <c r="AB1" s="575" t="s">
        <v>554</v>
      </c>
      <c r="AC1" s="575" t="s">
        <v>555</v>
      </c>
      <c r="AD1" s="575" t="s">
        <v>556</v>
      </c>
      <c r="AE1" s="575" t="s">
        <v>557</v>
      </c>
      <c r="AF1" s="575" t="s">
        <v>558</v>
      </c>
      <c r="AG1" s="575" t="s">
        <v>559</v>
      </c>
      <c r="AH1" s="575" t="s">
        <v>560</v>
      </c>
      <c r="AI1" s="575" t="s">
        <v>561</v>
      </c>
      <c r="AJ1" s="575" t="s">
        <v>562</v>
      </c>
      <c r="AK1" s="575" t="s">
        <v>563</v>
      </c>
      <c r="AL1" s="575" t="s">
        <v>564</v>
      </c>
      <c r="AM1" s="575" t="s">
        <v>565</v>
      </c>
      <c r="AN1" s="575" t="s">
        <v>566</v>
      </c>
      <c r="AO1" s="575" t="s">
        <v>567</v>
      </c>
      <c r="AP1" s="575" t="s">
        <v>568</v>
      </c>
      <c r="AQ1" s="575" t="s">
        <v>569</v>
      </c>
      <c r="AR1" s="575" t="s">
        <v>570</v>
      </c>
      <c r="AS1" s="575" t="s">
        <v>571</v>
      </c>
      <c r="AT1" s="575" t="s">
        <v>572</v>
      </c>
      <c r="AU1" s="575" t="s">
        <v>573</v>
      </c>
      <c r="AV1" s="575" t="s">
        <v>574</v>
      </c>
      <c r="AW1" s="575" t="s">
        <v>575</v>
      </c>
      <c r="AX1" s="575" t="s">
        <v>576</v>
      </c>
      <c r="AY1" s="575" t="s">
        <v>577</v>
      </c>
      <c r="AZ1" s="575" t="s">
        <v>578</v>
      </c>
      <c r="BA1" s="575" t="s">
        <v>579</v>
      </c>
      <c r="BB1" s="575" t="s">
        <v>580</v>
      </c>
      <c r="BC1" s="575" t="s">
        <v>581</v>
      </c>
      <c r="BD1" s="575" t="s">
        <v>582</v>
      </c>
      <c r="BE1" s="575" t="s">
        <v>583</v>
      </c>
      <c r="BF1" s="575" t="s">
        <v>584</v>
      </c>
      <c r="BG1" s="575" t="s">
        <v>585</v>
      </c>
      <c r="BH1" s="575" t="s">
        <v>586</v>
      </c>
      <c r="BI1" s="575" t="s">
        <v>587</v>
      </c>
      <c r="BJ1" s="575" t="s">
        <v>588</v>
      </c>
      <c r="BK1" s="575" t="s">
        <v>589</v>
      </c>
      <c r="BL1" s="575" t="s">
        <v>590</v>
      </c>
      <c r="BM1" s="575" t="s">
        <v>591</v>
      </c>
      <c r="BN1" s="575" t="s">
        <v>592</v>
      </c>
      <c r="BO1" s="575" t="s">
        <v>593</v>
      </c>
      <c r="BP1" s="575" t="s">
        <v>594</v>
      </c>
      <c r="BQ1" s="575" t="s">
        <v>595</v>
      </c>
      <c r="BR1" s="575" t="s">
        <v>596</v>
      </c>
      <c r="BS1" s="575" t="s">
        <v>597</v>
      </c>
      <c r="BT1" s="575" t="s">
        <v>598</v>
      </c>
      <c r="BU1" s="575" t="s">
        <v>599</v>
      </c>
      <c r="BV1" s="575" t="s">
        <v>600</v>
      </c>
      <c r="BW1" s="575" t="s">
        <v>601</v>
      </c>
      <c r="BX1" s="575" t="s">
        <v>602</v>
      </c>
      <c r="BY1" s="575" t="s">
        <v>603</v>
      </c>
      <c r="BZ1" s="575" t="s">
        <v>604</v>
      </c>
      <c r="CA1" s="575" t="s">
        <v>605</v>
      </c>
      <c r="CB1" s="575" t="s">
        <v>606</v>
      </c>
      <c r="CC1" s="575" t="s">
        <v>607</v>
      </c>
      <c r="CD1" s="575" t="s">
        <v>608</v>
      </c>
      <c r="CE1" s="575" t="s">
        <v>609</v>
      </c>
      <c r="CF1" s="575" t="s">
        <v>610</v>
      </c>
      <c r="CG1" s="575" t="s">
        <v>611</v>
      </c>
      <c r="CH1" s="575" t="s">
        <v>612</v>
      </c>
      <c r="CI1" s="575" t="s">
        <v>613</v>
      </c>
      <c r="CJ1" s="575" t="s">
        <v>614</v>
      </c>
      <c r="CK1" s="575" t="s">
        <v>615</v>
      </c>
      <c r="CL1" s="575" t="s">
        <v>616</v>
      </c>
      <c r="CM1" s="575" t="s">
        <v>617</v>
      </c>
      <c r="CN1" s="575" t="s">
        <v>618</v>
      </c>
      <c r="CO1" s="575" t="s">
        <v>619</v>
      </c>
      <c r="CP1" s="575" t="s">
        <v>620</v>
      </c>
      <c r="CQ1" s="575" t="s">
        <v>621</v>
      </c>
      <c r="CR1" s="575" t="s">
        <v>622</v>
      </c>
      <c r="CS1" s="575" t="s">
        <v>623</v>
      </c>
      <c r="CT1" s="575" t="s">
        <v>624</v>
      </c>
      <c r="CU1" s="575" t="s">
        <v>625</v>
      </c>
      <c r="CV1" s="575" t="s">
        <v>626</v>
      </c>
      <c r="CW1" s="575" t="s">
        <v>627</v>
      </c>
      <c r="CX1" s="575" t="s">
        <v>628</v>
      </c>
      <c r="CY1" s="575" t="s">
        <v>629</v>
      </c>
      <c r="CZ1" s="575" t="s">
        <v>630</v>
      </c>
      <c r="DA1" s="575" t="s">
        <v>631</v>
      </c>
      <c r="DB1" s="575" t="s">
        <v>632</v>
      </c>
      <c r="DC1" s="575" t="s">
        <v>633</v>
      </c>
      <c r="DD1" s="575" t="s">
        <v>634</v>
      </c>
      <c r="DE1" s="575" t="s">
        <v>635</v>
      </c>
      <c r="DF1" s="575" t="s">
        <v>636</v>
      </c>
      <c r="DG1" s="575" t="s">
        <v>637</v>
      </c>
      <c r="DH1" s="575" t="s">
        <v>638</v>
      </c>
      <c r="DI1" s="575" t="s">
        <v>639</v>
      </c>
      <c r="DJ1" s="575" t="s">
        <v>640</v>
      </c>
      <c r="DK1" s="575" t="s">
        <v>641</v>
      </c>
      <c r="DL1" s="575" t="s">
        <v>642</v>
      </c>
      <c r="DM1" s="575" t="s">
        <v>643</v>
      </c>
      <c r="DN1" s="575" t="s">
        <v>644</v>
      </c>
      <c r="DO1" s="575" t="s">
        <v>645</v>
      </c>
      <c r="DP1" s="575" t="s">
        <v>646</v>
      </c>
      <c r="DQ1" s="575" t="s">
        <v>647</v>
      </c>
      <c r="DR1" s="575" t="s">
        <v>648</v>
      </c>
      <c r="DS1" s="576" t="s">
        <v>649</v>
      </c>
      <c r="DT1" s="575" t="s">
        <v>650</v>
      </c>
      <c r="DU1" s="575" t="s">
        <v>651</v>
      </c>
      <c r="DV1" s="575" t="s">
        <v>652</v>
      </c>
      <c r="DW1" s="575" t="s">
        <v>653</v>
      </c>
      <c r="DX1" s="575" t="s">
        <v>654</v>
      </c>
      <c r="DY1" s="575" t="s">
        <v>655</v>
      </c>
      <c r="DZ1" s="575" t="s">
        <v>656</v>
      </c>
      <c r="EA1" s="575" t="s">
        <v>657</v>
      </c>
      <c r="EB1" s="575" t="s">
        <v>658</v>
      </c>
      <c r="EC1" s="575" t="s">
        <v>659</v>
      </c>
      <c r="ED1" s="575" t="s">
        <v>660</v>
      </c>
      <c r="EE1" s="575" t="s">
        <v>661</v>
      </c>
      <c r="EF1" s="575" t="s">
        <v>662</v>
      </c>
      <c r="EG1" s="575" t="s">
        <v>663</v>
      </c>
      <c r="EH1" s="575" t="s">
        <v>664</v>
      </c>
      <c r="EI1" s="575" t="s">
        <v>665</v>
      </c>
      <c r="EJ1" s="575" t="s">
        <v>666</v>
      </c>
      <c r="EK1" s="575" t="s">
        <v>667</v>
      </c>
      <c r="EL1" s="575" t="s">
        <v>668</v>
      </c>
      <c r="EM1" s="575" t="s">
        <v>669</v>
      </c>
      <c r="EN1" s="575" t="s">
        <v>670</v>
      </c>
      <c r="EO1" s="575" t="s">
        <v>671</v>
      </c>
      <c r="EP1" s="575" t="s">
        <v>672</v>
      </c>
      <c r="EQ1" s="575" t="s">
        <v>673</v>
      </c>
      <c r="ER1" s="575" t="s">
        <v>674</v>
      </c>
      <c r="ES1" s="575" t="s">
        <v>675</v>
      </c>
      <c r="ET1" s="577" t="s">
        <v>676</v>
      </c>
      <c r="EU1" s="578" t="s">
        <v>677</v>
      </c>
      <c r="EV1" s="575" t="s">
        <v>739</v>
      </c>
      <c r="EW1" s="575" t="s">
        <v>740</v>
      </c>
      <c r="EX1" s="575" t="s">
        <v>741</v>
      </c>
      <c r="EY1" s="575" t="s">
        <v>742</v>
      </c>
      <c r="EZ1" s="575" t="s">
        <v>743</v>
      </c>
      <c r="FA1" s="575" t="s">
        <v>744</v>
      </c>
      <c r="FB1" s="575" t="s">
        <v>745</v>
      </c>
      <c r="FC1" s="575" t="s">
        <v>746</v>
      </c>
      <c r="FD1" s="575" t="s">
        <v>747</v>
      </c>
      <c r="FE1" s="575" t="s">
        <v>748</v>
      </c>
      <c r="FF1" s="575" t="s">
        <v>749</v>
      </c>
      <c r="FG1" s="575" t="s">
        <v>750</v>
      </c>
      <c r="FH1" s="575" t="s">
        <v>751</v>
      </c>
      <c r="FI1" s="575" t="s">
        <v>752</v>
      </c>
      <c r="FJ1" s="575" t="s">
        <v>753</v>
      </c>
      <c r="FK1" s="575" t="s">
        <v>754</v>
      </c>
      <c r="FL1" s="575" t="s">
        <v>755</v>
      </c>
      <c r="FM1" s="575" t="s">
        <v>756</v>
      </c>
      <c r="FN1" s="575" t="s">
        <v>757</v>
      </c>
      <c r="FO1" s="575" t="s">
        <v>758</v>
      </c>
      <c r="FP1" s="575" t="s">
        <v>759</v>
      </c>
      <c r="FQ1" s="575" t="s">
        <v>760</v>
      </c>
      <c r="FR1" s="575" t="s">
        <v>761</v>
      </c>
      <c r="FS1" s="575" t="s">
        <v>762</v>
      </c>
      <c r="FT1" s="575" t="s">
        <v>763</v>
      </c>
      <c r="FU1" s="575" t="s">
        <v>764</v>
      </c>
      <c r="FV1" s="588" t="s">
        <v>765</v>
      </c>
      <c r="FW1" s="575" t="s">
        <v>766</v>
      </c>
      <c r="FX1" s="575" t="s">
        <v>767</v>
      </c>
      <c r="FY1" s="575" t="s">
        <v>768</v>
      </c>
      <c r="FZ1" s="575" t="s">
        <v>769</v>
      </c>
      <c r="GA1" s="575" t="s">
        <v>770</v>
      </c>
      <c r="GB1" s="575" t="s">
        <v>771</v>
      </c>
      <c r="GC1" s="575" t="s">
        <v>772</v>
      </c>
      <c r="GD1" s="575" t="s">
        <v>773</v>
      </c>
      <c r="GE1" s="579"/>
      <c r="GF1" s="579"/>
      <c r="GG1" s="579" t="s">
        <v>774</v>
      </c>
      <c r="GH1" s="580" t="s">
        <v>5</v>
      </c>
    </row>
    <row r="2" spans="2:190" hidden="1" x14ac:dyDescent="0.2">
      <c r="B2" t="s">
        <v>678</v>
      </c>
      <c r="C2" t="s">
        <v>679</v>
      </c>
      <c r="D2" t="s">
        <v>680</v>
      </c>
      <c r="E2" t="s">
        <v>681</v>
      </c>
      <c r="F2" t="s">
        <v>682</v>
      </c>
      <c r="G2" t="s">
        <v>683</v>
      </c>
      <c r="K2" t="s">
        <v>684</v>
      </c>
      <c r="L2" t="s">
        <v>685</v>
      </c>
      <c r="M2" t="s">
        <v>686</v>
      </c>
      <c r="N2" t="s">
        <v>687</v>
      </c>
      <c r="O2" t="s">
        <v>688</v>
      </c>
      <c r="P2" t="s">
        <v>689</v>
      </c>
      <c r="Q2" t="s">
        <v>690</v>
      </c>
      <c r="R2" t="s">
        <v>691</v>
      </c>
      <c r="S2" s="555">
        <v>0</v>
      </c>
      <c r="T2" s="555">
        <v>0</v>
      </c>
      <c r="U2" s="555">
        <v>97888</v>
      </c>
      <c r="V2" s="555">
        <v>0</v>
      </c>
      <c r="W2" s="555">
        <v>0</v>
      </c>
      <c r="X2" s="555">
        <v>0</v>
      </c>
      <c r="Y2" s="555">
        <v>97888</v>
      </c>
      <c r="Z2" s="555">
        <v>0</v>
      </c>
      <c r="AA2" s="555">
        <v>0</v>
      </c>
      <c r="AB2" s="555">
        <v>61591.3</v>
      </c>
      <c r="AC2" s="555">
        <v>10885.15</v>
      </c>
      <c r="AD2" s="555">
        <v>253344.09</v>
      </c>
      <c r="AE2" s="555">
        <v>0</v>
      </c>
      <c r="AF2" s="555">
        <v>44773.97</v>
      </c>
      <c r="AG2" s="555">
        <v>0</v>
      </c>
      <c r="AH2" s="555">
        <v>280484.14</v>
      </c>
      <c r="AI2" s="555">
        <v>0</v>
      </c>
      <c r="AJ2" s="555">
        <v>49570.48</v>
      </c>
      <c r="AK2" s="555">
        <v>0</v>
      </c>
      <c r="AL2" s="555">
        <v>0.56999999999999995</v>
      </c>
      <c r="AM2" s="555">
        <v>0</v>
      </c>
      <c r="AN2" s="555">
        <v>0</v>
      </c>
      <c r="AO2" s="555">
        <v>0</v>
      </c>
      <c r="AP2" s="555">
        <v>0</v>
      </c>
      <c r="AQ2" s="555">
        <v>240795</v>
      </c>
      <c r="AR2" s="555">
        <v>0</v>
      </c>
      <c r="AS2" s="555">
        <v>0</v>
      </c>
      <c r="AT2" s="555">
        <v>0</v>
      </c>
      <c r="AU2" s="555">
        <v>0</v>
      </c>
      <c r="AV2" s="555">
        <v>0</v>
      </c>
      <c r="AW2" s="555">
        <v>0</v>
      </c>
      <c r="AX2" s="555">
        <v>0</v>
      </c>
      <c r="AY2" s="555">
        <v>0</v>
      </c>
      <c r="AZ2" s="555">
        <v>0</v>
      </c>
      <c r="BA2" s="555">
        <v>0</v>
      </c>
      <c r="BB2" s="555">
        <v>0</v>
      </c>
      <c r="BC2" s="555">
        <v>0</v>
      </c>
      <c r="BD2" s="555">
        <v>0</v>
      </c>
      <c r="BE2" s="555">
        <v>0</v>
      </c>
      <c r="BF2" s="555">
        <v>0</v>
      </c>
      <c r="BG2" s="555">
        <v>0</v>
      </c>
      <c r="BH2" s="555">
        <v>0</v>
      </c>
      <c r="BI2" s="555">
        <v>0</v>
      </c>
      <c r="BJ2" s="555">
        <v>0</v>
      </c>
      <c r="BK2" s="555">
        <v>192636</v>
      </c>
      <c r="BL2" s="555">
        <v>0</v>
      </c>
      <c r="BM2" s="555">
        <v>9875</v>
      </c>
      <c r="BN2" s="555">
        <v>52974.9</v>
      </c>
      <c r="BO2" s="555">
        <v>0</v>
      </c>
      <c r="BP2" s="555">
        <v>28768</v>
      </c>
      <c r="BQ2" s="555">
        <v>0</v>
      </c>
      <c r="BR2" s="555">
        <v>0</v>
      </c>
      <c r="BS2" s="555">
        <v>0</v>
      </c>
      <c r="BT2" s="555">
        <v>0</v>
      </c>
      <c r="BU2" s="555">
        <v>0</v>
      </c>
      <c r="BV2" s="555">
        <v>303103.2</v>
      </c>
      <c r="BW2" s="555">
        <v>0</v>
      </c>
      <c r="BX2" s="555">
        <v>0</v>
      </c>
      <c r="BY2" s="555">
        <v>0</v>
      </c>
      <c r="BZ2" s="555">
        <v>62703.24</v>
      </c>
      <c r="CA2" s="555">
        <v>0</v>
      </c>
      <c r="CB2" s="555">
        <v>82308</v>
      </c>
      <c r="CC2" s="555">
        <v>0</v>
      </c>
      <c r="CD2" s="555">
        <v>46107</v>
      </c>
      <c r="CE2" s="555">
        <v>0</v>
      </c>
      <c r="CF2" s="555">
        <v>46107</v>
      </c>
      <c r="CG2" s="555">
        <v>42379.92</v>
      </c>
      <c r="CH2" s="555">
        <v>0</v>
      </c>
      <c r="CI2" s="555">
        <v>0</v>
      </c>
      <c r="CJ2" s="555">
        <v>0</v>
      </c>
      <c r="CK2" s="555">
        <v>0</v>
      </c>
      <c r="CL2" s="555">
        <v>0</v>
      </c>
      <c r="CM2" s="555">
        <v>0</v>
      </c>
      <c r="CN2" s="555">
        <v>0</v>
      </c>
      <c r="CO2" s="555">
        <v>0</v>
      </c>
      <c r="CP2" s="555">
        <v>0</v>
      </c>
      <c r="CQ2" s="555">
        <v>0</v>
      </c>
      <c r="CR2" s="555">
        <v>0</v>
      </c>
      <c r="CS2" s="555">
        <v>0</v>
      </c>
      <c r="CT2" s="555">
        <v>0</v>
      </c>
      <c r="CU2" s="555">
        <v>0</v>
      </c>
      <c r="CV2" s="555">
        <v>322612.73</v>
      </c>
      <c r="CW2" s="555">
        <v>0</v>
      </c>
      <c r="CX2" s="555">
        <v>0</v>
      </c>
      <c r="CY2" s="555">
        <v>0</v>
      </c>
      <c r="CZ2" s="555">
        <v>36168.129999999997</v>
      </c>
      <c r="DA2" s="555">
        <v>0</v>
      </c>
      <c r="DB2" s="555">
        <v>36168.129999999997</v>
      </c>
      <c r="DC2" s="555">
        <v>0</v>
      </c>
      <c r="DD2" s="555">
        <v>60125.47</v>
      </c>
      <c r="DE2" s="555">
        <v>0</v>
      </c>
      <c r="DF2" s="555">
        <v>0</v>
      </c>
      <c r="DG2" s="555">
        <v>0</v>
      </c>
      <c r="DH2" s="555">
        <v>0</v>
      </c>
      <c r="DI2" s="555">
        <v>0</v>
      </c>
      <c r="DJ2" s="555">
        <v>121853.3</v>
      </c>
      <c r="DK2" s="555">
        <v>0</v>
      </c>
      <c r="DL2" s="555">
        <v>33232.720000000001</v>
      </c>
      <c r="DM2" s="555">
        <v>0</v>
      </c>
      <c r="DN2" s="555">
        <v>33232.720000000001</v>
      </c>
      <c r="DO2" s="555">
        <v>0</v>
      </c>
      <c r="DP2" s="555">
        <v>0</v>
      </c>
      <c r="DQ2" s="555">
        <v>0</v>
      </c>
      <c r="DR2" s="555">
        <v>10915.76</v>
      </c>
      <c r="DS2" s="556">
        <v>2004182.9599999997</v>
      </c>
      <c r="DT2" s="555">
        <v>33897.370000000003</v>
      </c>
      <c r="DU2" s="555">
        <v>0</v>
      </c>
      <c r="DV2" s="555">
        <v>27430.61</v>
      </c>
      <c r="DW2" s="555">
        <v>552</v>
      </c>
      <c r="DX2" s="555">
        <v>118551.16</v>
      </c>
      <c r="DY2" s="555">
        <v>0</v>
      </c>
      <c r="DZ2" s="555">
        <v>51735.42</v>
      </c>
      <c r="EA2" s="555">
        <v>0</v>
      </c>
      <c r="EB2" s="555">
        <v>10347.08</v>
      </c>
      <c r="EC2" s="555">
        <v>0</v>
      </c>
      <c r="ED2" s="555">
        <v>17501.98</v>
      </c>
      <c r="EE2" s="555">
        <v>0</v>
      </c>
      <c r="EF2" s="555">
        <v>66465.440000000002</v>
      </c>
      <c r="EG2" s="555">
        <v>0</v>
      </c>
      <c r="EH2" s="555">
        <v>71548.98</v>
      </c>
      <c r="EI2" s="555">
        <v>0</v>
      </c>
      <c r="EJ2" s="555">
        <v>0</v>
      </c>
      <c r="EK2" s="555">
        <v>78.36</v>
      </c>
      <c r="EL2" s="555">
        <v>22155.16</v>
      </c>
      <c r="EM2" s="555">
        <v>94268</v>
      </c>
      <c r="EN2" s="555">
        <v>0</v>
      </c>
      <c r="EO2" s="555">
        <v>42038.95</v>
      </c>
      <c r="EP2" s="555">
        <v>22155.15</v>
      </c>
      <c r="EQ2" s="555">
        <v>0</v>
      </c>
      <c r="ER2" s="555">
        <v>0</v>
      </c>
      <c r="ES2" s="555">
        <v>0</v>
      </c>
      <c r="ET2" s="557">
        <v>578725.65999999992</v>
      </c>
      <c r="EU2" s="558">
        <v>2582908.6199999996</v>
      </c>
      <c r="EV2" s="555">
        <v>16494.55</v>
      </c>
      <c r="EW2" s="555">
        <v>41970.75</v>
      </c>
      <c r="EX2" s="555">
        <v>80454.97</v>
      </c>
      <c r="EY2" s="555">
        <v>155490.75</v>
      </c>
      <c r="EZ2" s="555">
        <v>2251.52</v>
      </c>
      <c r="FA2" s="555">
        <v>0</v>
      </c>
      <c r="FB2" s="555">
        <v>0</v>
      </c>
      <c r="FC2" s="555">
        <v>0</v>
      </c>
      <c r="FD2" s="555">
        <v>0</v>
      </c>
      <c r="FE2" s="555">
        <v>0</v>
      </c>
      <c r="FF2" s="555">
        <v>0</v>
      </c>
      <c r="FG2" s="555">
        <v>0</v>
      </c>
      <c r="FH2" s="555">
        <v>41602.33</v>
      </c>
      <c r="FI2" s="555">
        <v>0</v>
      </c>
      <c r="FJ2" s="555">
        <v>8320.4599999999991</v>
      </c>
      <c r="FK2" s="555">
        <v>0</v>
      </c>
      <c r="FL2" s="555">
        <v>30532.18</v>
      </c>
      <c r="FM2" s="555">
        <v>0</v>
      </c>
      <c r="FN2" s="555">
        <v>8621</v>
      </c>
      <c r="FO2" s="555">
        <v>1272.74</v>
      </c>
      <c r="FP2" s="555">
        <v>4827.3</v>
      </c>
      <c r="FQ2" s="555">
        <v>752.43</v>
      </c>
      <c r="FR2" s="555">
        <v>3762.18</v>
      </c>
      <c r="FS2" s="555">
        <v>2461.92</v>
      </c>
      <c r="FT2" s="555">
        <v>14408.36</v>
      </c>
      <c r="FU2" s="555">
        <v>5203.0200000000004</v>
      </c>
      <c r="FV2" s="555">
        <v>155490.75</v>
      </c>
      <c r="FW2" s="555">
        <v>16683.490000000002</v>
      </c>
      <c r="FX2" s="555">
        <v>2463.0300000000002</v>
      </c>
      <c r="FY2" s="555">
        <v>9329.4500000000007</v>
      </c>
      <c r="FZ2" s="555">
        <v>1456.12</v>
      </c>
      <c r="GA2" s="555">
        <v>7280.64</v>
      </c>
      <c r="GB2" s="555">
        <v>4758.0200000000004</v>
      </c>
      <c r="GC2" s="555">
        <v>27883.279999999999</v>
      </c>
      <c r="GD2" s="555">
        <v>10068.959999999999</v>
      </c>
      <c r="GE2" s="217"/>
      <c r="GF2" s="217"/>
      <c r="GG2" s="573">
        <v>653840.19999999995</v>
      </c>
      <c r="GH2" s="574">
        <v>3236748.8199999994</v>
      </c>
    </row>
    <row r="3" spans="2:190" hidden="1" x14ac:dyDescent="0.2">
      <c r="B3" t="s">
        <v>678</v>
      </c>
      <c r="C3" t="s">
        <v>692</v>
      </c>
      <c r="D3" t="s">
        <v>693</v>
      </c>
      <c r="E3" t="s">
        <v>694</v>
      </c>
      <c r="F3" t="s">
        <v>695</v>
      </c>
      <c r="G3" t="s">
        <v>683</v>
      </c>
      <c r="K3" t="s">
        <v>684</v>
      </c>
      <c r="L3" t="s">
        <v>696</v>
      </c>
      <c r="M3" t="s">
        <v>697</v>
      </c>
      <c r="N3" t="s">
        <v>687</v>
      </c>
      <c r="O3" t="s">
        <v>688</v>
      </c>
      <c r="P3" t="s">
        <v>689</v>
      </c>
      <c r="Q3" t="s">
        <v>698</v>
      </c>
      <c r="R3" t="s">
        <v>691</v>
      </c>
      <c r="S3" s="555">
        <v>0</v>
      </c>
      <c r="T3" s="555">
        <v>0</v>
      </c>
      <c r="U3" s="555">
        <v>128478</v>
      </c>
      <c r="V3" s="555">
        <v>0</v>
      </c>
      <c r="W3" s="555">
        <v>0</v>
      </c>
      <c r="X3" s="555">
        <v>0</v>
      </c>
      <c r="Y3" s="555">
        <v>128478</v>
      </c>
      <c r="Z3" s="555">
        <v>0</v>
      </c>
      <c r="AA3" s="555">
        <v>0</v>
      </c>
      <c r="AB3" s="555">
        <v>65341.58</v>
      </c>
      <c r="AC3" s="555">
        <v>14286.75</v>
      </c>
      <c r="AD3" s="555">
        <v>268770.12</v>
      </c>
      <c r="AE3" s="555">
        <v>0</v>
      </c>
      <c r="AF3" s="555">
        <v>58765.84</v>
      </c>
      <c r="AG3" s="555">
        <v>0</v>
      </c>
      <c r="AH3" s="555">
        <v>297562.73</v>
      </c>
      <c r="AI3" s="555">
        <v>0</v>
      </c>
      <c r="AJ3" s="555">
        <v>65061.26</v>
      </c>
      <c r="AK3" s="555">
        <v>0</v>
      </c>
      <c r="AL3" s="555">
        <v>0.56000000000000005</v>
      </c>
      <c r="AM3" s="555">
        <v>0</v>
      </c>
      <c r="AN3" s="555">
        <v>0</v>
      </c>
      <c r="AO3" s="555">
        <v>0</v>
      </c>
      <c r="AP3" s="555">
        <v>0</v>
      </c>
      <c r="AQ3" s="555">
        <v>240795</v>
      </c>
      <c r="AR3" s="555">
        <v>0</v>
      </c>
      <c r="AS3" s="555">
        <v>0</v>
      </c>
      <c r="AT3" s="555">
        <v>0</v>
      </c>
      <c r="AU3" s="555">
        <v>0</v>
      </c>
      <c r="AV3" s="555">
        <v>0</v>
      </c>
      <c r="AW3" s="555">
        <v>0</v>
      </c>
      <c r="AX3" s="555">
        <v>0</v>
      </c>
      <c r="AY3" s="555">
        <v>0</v>
      </c>
      <c r="AZ3" s="555">
        <v>0</v>
      </c>
      <c r="BA3" s="555">
        <v>0</v>
      </c>
      <c r="BB3" s="555">
        <v>0</v>
      </c>
      <c r="BC3" s="555">
        <v>0</v>
      </c>
      <c r="BD3" s="555">
        <v>0</v>
      </c>
      <c r="BE3" s="555">
        <v>0</v>
      </c>
      <c r="BF3" s="555">
        <v>0</v>
      </c>
      <c r="BG3" s="555">
        <v>0</v>
      </c>
      <c r="BH3" s="555">
        <v>0</v>
      </c>
      <c r="BI3" s="555">
        <v>0</v>
      </c>
      <c r="BJ3" s="555">
        <v>0</v>
      </c>
      <c r="BK3" s="555">
        <v>192636</v>
      </c>
      <c r="BL3" s="555">
        <v>0</v>
      </c>
      <c r="BM3" s="555">
        <v>23700</v>
      </c>
      <c r="BN3" s="555">
        <v>52974.9</v>
      </c>
      <c r="BO3" s="555">
        <v>0</v>
      </c>
      <c r="BP3" s="555">
        <v>0</v>
      </c>
      <c r="BQ3" s="555">
        <v>0</v>
      </c>
      <c r="BR3" s="555">
        <v>0</v>
      </c>
      <c r="BS3" s="555">
        <v>0</v>
      </c>
      <c r="BT3" s="555">
        <v>0</v>
      </c>
      <c r="BU3" s="555">
        <v>0</v>
      </c>
      <c r="BV3" s="555">
        <v>381679.2</v>
      </c>
      <c r="BW3" s="555">
        <v>0</v>
      </c>
      <c r="BX3" s="555">
        <v>0</v>
      </c>
      <c r="BY3" s="555">
        <v>0</v>
      </c>
      <c r="BZ3" s="555">
        <v>66521.22</v>
      </c>
      <c r="CA3" s="555">
        <v>0</v>
      </c>
      <c r="CB3" s="555">
        <v>82308</v>
      </c>
      <c r="CC3" s="555">
        <v>0</v>
      </c>
      <c r="CD3" s="555">
        <v>46107</v>
      </c>
      <c r="CE3" s="555">
        <v>0</v>
      </c>
      <c r="CF3" s="555">
        <v>46107</v>
      </c>
      <c r="CG3" s="555">
        <v>42379.92</v>
      </c>
      <c r="CH3" s="555">
        <v>0</v>
      </c>
      <c r="CI3" s="555">
        <v>0</v>
      </c>
      <c r="CJ3" s="555">
        <v>0</v>
      </c>
      <c r="CK3" s="555">
        <v>0</v>
      </c>
      <c r="CL3" s="555">
        <v>0</v>
      </c>
      <c r="CM3" s="555">
        <v>0</v>
      </c>
      <c r="CN3" s="555">
        <v>0</v>
      </c>
      <c r="CO3" s="555">
        <v>0</v>
      </c>
      <c r="CP3" s="555">
        <v>0</v>
      </c>
      <c r="CQ3" s="555">
        <v>0</v>
      </c>
      <c r="CR3" s="555">
        <v>0</v>
      </c>
      <c r="CS3" s="555">
        <v>0</v>
      </c>
      <c r="CT3" s="555">
        <v>0</v>
      </c>
      <c r="CU3" s="555">
        <v>0</v>
      </c>
      <c r="CV3" s="555">
        <v>0</v>
      </c>
      <c r="CW3" s="555">
        <v>0</v>
      </c>
      <c r="CX3" s="555">
        <v>0</v>
      </c>
      <c r="CY3" s="555">
        <v>0</v>
      </c>
      <c r="CZ3" s="555">
        <v>38899.93</v>
      </c>
      <c r="DA3" s="555">
        <v>0</v>
      </c>
      <c r="DB3" s="555">
        <v>38899.93</v>
      </c>
      <c r="DC3" s="555">
        <v>0</v>
      </c>
      <c r="DD3" s="555">
        <v>66058.58</v>
      </c>
      <c r="DE3" s="555">
        <v>0</v>
      </c>
      <c r="DF3" s="555">
        <v>0</v>
      </c>
      <c r="DG3" s="555">
        <v>0</v>
      </c>
      <c r="DH3" s="555">
        <v>0</v>
      </c>
      <c r="DI3" s="555">
        <v>0</v>
      </c>
      <c r="DJ3" s="555">
        <v>129272.91</v>
      </c>
      <c r="DK3" s="555">
        <v>0</v>
      </c>
      <c r="DL3" s="555">
        <v>35256.25</v>
      </c>
      <c r="DM3" s="555">
        <v>0</v>
      </c>
      <c r="DN3" s="555">
        <v>35256.25</v>
      </c>
      <c r="DO3" s="555">
        <v>0</v>
      </c>
      <c r="DP3" s="555">
        <v>0</v>
      </c>
      <c r="DQ3" s="555">
        <v>0</v>
      </c>
      <c r="DR3" s="555">
        <v>8892.23</v>
      </c>
      <c r="DS3" s="556">
        <v>2201953.0799999996</v>
      </c>
      <c r="DT3" s="555">
        <v>35961.370000000003</v>
      </c>
      <c r="DU3" s="555">
        <v>0</v>
      </c>
      <c r="DV3" s="555">
        <v>31418.37</v>
      </c>
      <c r="DW3" s="555">
        <v>552</v>
      </c>
      <c r="DX3" s="555">
        <v>125815.63</v>
      </c>
      <c r="DY3" s="555">
        <v>0</v>
      </c>
      <c r="DZ3" s="555">
        <v>54905.61</v>
      </c>
      <c r="EA3" s="555">
        <v>0</v>
      </c>
      <c r="EB3" s="555">
        <v>10981.12</v>
      </c>
      <c r="EC3" s="555">
        <v>0</v>
      </c>
      <c r="ED3" s="555">
        <v>18574.45</v>
      </c>
      <c r="EE3" s="555">
        <v>0</v>
      </c>
      <c r="EF3" s="555">
        <v>70512.490000000005</v>
      </c>
      <c r="EG3" s="555">
        <v>0</v>
      </c>
      <c r="EH3" s="555">
        <v>44391.77</v>
      </c>
      <c r="EI3" s="555">
        <v>0</v>
      </c>
      <c r="EJ3" s="555">
        <v>0</v>
      </c>
      <c r="EK3" s="555">
        <v>78.36</v>
      </c>
      <c r="EL3" s="555">
        <v>23504.16</v>
      </c>
      <c r="EM3" s="555">
        <v>94268</v>
      </c>
      <c r="EN3" s="555">
        <v>0</v>
      </c>
      <c r="EO3" s="555">
        <v>46187.3</v>
      </c>
      <c r="EP3" s="555">
        <v>23504.16</v>
      </c>
      <c r="EQ3" s="555">
        <v>0</v>
      </c>
      <c r="ER3" s="555">
        <v>0</v>
      </c>
      <c r="ES3" s="555">
        <v>0</v>
      </c>
      <c r="ET3" s="557">
        <v>580654.79</v>
      </c>
      <c r="EU3" s="558">
        <v>2782607.8699999996</v>
      </c>
      <c r="EV3" s="555">
        <v>21860.82</v>
      </c>
      <c r="EW3" s="555">
        <v>50471.9</v>
      </c>
      <c r="EX3" s="555">
        <v>94316.65</v>
      </c>
      <c r="EY3" s="555">
        <v>186906.72</v>
      </c>
      <c r="EZ3" s="555">
        <v>3055.85</v>
      </c>
      <c r="FA3" s="555">
        <v>0</v>
      </c>
      <c r="FB3" s="555">
        <v>0</v>
      </c>
      <c r="FC3" s="555">
        <v>0</v>
      </c>
      <c r="FD3" s="555">
        <v>0</v>
      </c>
      <c r="FE3" s="555">
        <v>0</v>
      </c>
      <c r="FF3" s="555">
        <v>0</v>
      </c>
      <c r="FG3" s="555">
        <v>0</v>
      </c>
      <c r="FH3" s="555">
        <v>56464.26</v>
      </c>
      <c r="FI3" s="555">
        <v>0</v>
      </c>
      <c r="FJ3" s="555">
        <v>11292.86</v>
      </c>
      <c r="FK3" s="555">
        <v>0</v>
      </c>
      <c r="FL3" s="555">
        <v>26559.53</v>
      </c>
      <c r="FM3" s="555">
        <v>0</v>
      </c>
      <c r="FN3" s="555">
        <v>10099.32</v>
      </c>
      <c r="FO3" s="555">
        <v>1490.99</v>
      </c>
      <c r="FP3" s="555">
        <v>5659</v>
      </c>
      <c r="FQ3" s="555">
        <v>881.46</v>
      </c>
      <c r="FR3" s="555">
        <v>4407.32</v>
      </c>
      <c r="FS3" s="555">
        <v>2886.09</v>
      </c>
      <c r="FT3" s="555">
        <v>16879.09</v>
      </c>
      <c r="FU3" s="555">
        <v>3563.36</v>
      </c>
      <c r="FV3" s="555">
        <v>186906.72</v>
      </c>
      <c r="FW3" s="555">
        <v>20066.990000000002</v>
      </c>
      <c r="FX3" s="555">
        <v>2962.53</v>
      </c>
      <c r="FY3" s="555">
        <v>11214.41</v>
      </c>
      <c r="FZ3" s="555">
        <v>1751.44</v>
      </c>
      <c r="GA3" s="555">
        <v>8757.19</v>
      </c>
      <c r="GB3" s="555">
        <v>5719.34</v>
      </c>
      <c r="GC3" s="555">
        <v>33538.160000000003</v>
      </c>
      <c r="GD3" s="555">
        <v>7080.28</v>
      </c>
      <c r="GE3" s="217"/>
      <c r="GF3" s="217"/>
      <c r="GG3" s="573">
        <v>774792.28</v>
      </c>
      <c r="GH3" s="574">
        <v>3557400.1499999994</v>
      </c>
    </row>
    <row r="4" spans="2:190" hidden="1" x14ac:dyDescent="0.2">
      <c r="B4" t="s">
        <v>678</v>
      </c>
      <c r="C4" t="s">
        <v>699</v>
      </c>
      <c r="D4" t="s">
        <v>700</v>
      </c>
      <c r="E4" t="s">
        <v>701</v>
      </c>
      <c r="F4" t="s">
        <v>702</v>
      </c>
      <c r="G4" t="s">
        <v>683</v>
      </c>
      <c r="K4" t="s">
        <v>684</v>
      </c>
      <c r="L4" t="s">
        <v>703</v>
      </c>
      <c r="M4" t="s">
        <v>704</v>
      </c>
      <c r="O4" t="s">
        <v>705</v>
      </c>
      <c r="P4" t="s">
        <v>706</v>
      </c>
      <c r="Q4" t="s">
        <v>707</v>
      </c>
      <c r="R4" t="s">
        <v>691</v>
      </c>
      <c r="S4" s="555">
        <v>0</v>
      </c>
      <c r="T4" s="555">
        <v>128478</v>
      </c>
      <c r="U4" s="555">
        <v>0</v>
      </c>
      <c r="V4" s="555">
        <v>0</v>
      </c>
      <c r="W4" s="555">
        <v>42775</v>
      </c>
      <c r="X4" s="555">
        <v>0</v>
      </c>
      <c r="Y4" s="555">
        <v>152950</v>
      </c>
      <c r="Z4" s="555">
        <v>0</v>
      </c>
      <c r="AA4" s="555">
        <v>0</v>
      </c>
      <c r="AB4" s="555">
        <v>88397.87</v>
      </c>
      <c r="AC4" s="555">
        <v>18025.689999999999</v>
      </c>
      <c r="AD4" s="555">
        <v>363607.78</v>
      </c>
      <c r="AE4" s="555">
        <v>0</v>
      </c>
      <c r="AF4" s="555">
        <v>74145.23</v>
      </c>
      <c r="AG4" s="555">
        <v>0</v>
      </c>
      <c r="AH4" s="555">
        <v>402560.08</v>
      </c>
      <c r="AI4" s="555">
        <v>0</v>
      </c>
      <c r="AJ4" s="555">
        <v>82088.2</v>
      </c>
      <c r="AK4" s="555">
        <v>0</v>
      </c>
      <c r="AL4" s="555">
        <v>0.22</v>
      </c>
      <c r="AM4" s="555">
        <v>0</v>
      </c>
      <c r="AN4" s="555">
        <v>0</v>
      </c>
      <c r="AO4" s="555">
        <v>0</v>
      </c>
      <c r="AP4" s="555">
        <v>0</v>
      </c>
      <c r="AQ4" s="555">
        <v>1042081</v>
      </c>
      <c r="AR4" s="555">
        <v>0</v>
      </c>
      <c r="AS4" s="555">
        <v>0</v>
      </c>
      <c r="AT4" s="555">
        <v>0</v>
      </c>
      <c r="AU4" s="555">
        <v>0</v>
      </c>
      <c r="AV4" s="555">
        <v>0</v>
      </c>
      <c r="AW4" s="555">
        <v>0</v>
      </c>
      <c r="AX4" s="555">
        <v>0</v>
      </c>
      <c r="AY4" s="555">
        <v>0</v>
      </c>
      <c r="AZ4" s="555">
        <v>0</v>
      </c>
      <c r="BA4" s="555">
        <v>0</v>
      </c>
      <c r="BB4" s="555">
        <v>0</v>
      </c>
      <c r="BC4" s="555">
        <v>0</v>
      </c>
      <c r="BD4" s="555">
        <v>0</v>
      </c>
      <c r="BE4" s="555">
        <v>0</v>
      </c>
      <c r="BF4" s="555">
        <v>0</v>
      </c>
      <c r="BG4" s="555">
        <v>0</v>
      </c>
      <c r="BH4" s="555">
        <v>46107</v>
      </c>
      <c r="BI4" s="555">
        <v>82399</v>
      </c>
      <c r="BJ4" s="555">
        <v>46107</v>
      </c>
      <c r="BK4" s="555">
        <v>0</v>
      </c>
      <c r="BL4" s="555">
        <v>0</v>
      </c>
      <c r="BM4" s="555">
        <v>0</v>
      </c>
      <c r="BN4" s="555">
        <v>0</v>
      </c>
      <c r="BO4" s="555">
        <v>27650</v>
      </c>
      <c r="BP4" s="555">
        <v>0</v>
      </c>
      <c r="BQ4" s="555">
        <v>0</v>
      </c>
      <c r="BR4" s="555">
        <v>0</v>
      </c>
      <c r="BS4" s="555">
        <v>0</v>
      </c>
      <c r="BT4" s="555">
        <v>0</v>
      </c>
      <c r="BU4" s="555">
        <v>0</v>
      </c>
      <c r="BV4" s="555">
        <v>0</v>
      </c>
      <c r="BW4" s="555">
        <v>0</v>
      </c>
      <c r="BX4" s="555">
        <v>0</v>
      </c>
      <c r="BY4" s="555">
        <v>0</v>
      </c>
      <c r="BZ4" s="555">
        <v>0</v>
      </c>
      <c r="CA4" s="555">
        <v>0</v>
      </c>
      <c r="CB4" s="555">
        <v>0</v>
      </c>
      <c r="CC4" s="555">
        <v>0</v>
      </c>
      <c r="CD4" s="555">
        <v>0</v>
      </c>
      <c r="CE4" s="555">
        <v>0</v>
      </c>
      <c r="CF4" s="555">
        <v>0</v>
      </c>
      <c r="CG4" s="555">
        <v>0</v>
      </c>
      <c r="CH4" s="555">
        <v>165900</v>
      </c>
      <c r="CI4" s="555">
        <v>38652</v>
      </c>
      <c r="CJ4" s="555">
        <v>0</v>
      </c>
      <c r="CK4" s="555">
        <v>0</v>
      </c>
      <c r="CL4" s="555">
        <v>0</v>
      </c>
      <c r="CM4" s="555">
        <v>0</v>
      </c>
      <c r="CN4" s="555">
        <v>89809.72</v>
      </c>
      <c r="CO4" s="555">
        <v>31590</v>
      </c>
      <c r="CP4" s="555">
        <v>0</v>
      </c>
      <c r="CQ4" s="555">
        <v>19594</v>
      </c>
      <c r="CR4" s="555">
        <v>0</v>
      </c>
      <c r="CS4" s="555">
        <v>0</v>
      </c>
      <c r="CT4" s="555">
        <v>0</v>
      </c>
      <c r="CU4" s="555">
        <v>0</v>
      </c>
      <c r="CV4" s="555">
        <v>0</v>
      </c>
      <c r="CW4" s="555">
        <v>4620</v>
      </c>
      <c r="CX4" s="555">
        <v>1027.33</v>
      </c>
      <c r="CY4" s="555">
        <v>0</v>
      </c>
      <c r="CZ4" s="555">
        <v>0</v>
      </c>
      <c r="DA4" s="555">
        <v>0</v>
      </c>
      <c r="DB4" s="555">
        <v>0</v>
      </c>
      <c r="DC4" s="555">
        <v>0</v>
      </c>
      <c r="DD4" s="555">
        <v>0</v>
      </c>
      <c r="DE4" s="555">
        <v>0</v>
      </c>
      <c r="DF4" s="555">
        <v>52374.29</v>
      </c>
      <c r="DG4" s="555">
        <v>0</v>
      </c>
      <c r="DH4" s="555">
        <v>78561.440000000002</v>
      </c>
      <c r="DI4" s="555">
        <v>0</v>
      </c>
      <c r="DJ4" s="555">
        <v>161877.76999999999</v>
      </c>
      <c r="DK4" s="555">
        <v>0</v>
      </c>
      <c r="DL4" s="555">
        <v>44148.480000000003</v>
      </c>
      <c r="DM4" s="555">
        <v>0</v>
      </c>
      <c r="DN4" s="555">
        <v>44148.480000000003</v>
      </c>
      <c r="DO4" s="555">
        <v>0</v>
      </c>
      <c r="DP4" s="555">
        <v>0</v>
      </c>
      <c r="DQ4" s="555">
        <v>0</v>
      </c>
      <c r="DR4" s="555">
        <v>0</v>
      </c>
      <c r="DS4" s="556">
        <v>2942917.7900000005</v>
      </c>
      <c r="DT4" s="555">
        <v>48650.63</v>
      </c>
      <c r="DU4" s="555">
        <v>0</v>
      </c>
      <c r="DV4" s="555">
        <v>41402.65</v>
      </c>
      <c r="DW4" s="555">
        <v>552</v>
      </c>
      <c r="DX4" s="555">
        <v>170476.83</v>
      </c>
      <c r="DY4" s="555">
        <v>0</v>
      </c>
      <c r="DZ4" s="555">
        <v>74395.64</v>
      </c>
      <c r="EA4" s="555">
        <v>0</v>
      </c>
      <c r="EB4" s="555">
        <v>14879.13</v>
      </c>
      <c r="EC4" s="555">
        <v>0</v>
      </c>
      <c r="ED4" s="555">
        <v>25167.89</v>
      </c>
      <c r="EE4" s="555">
        <v>0</v>
      </c>
      <c r="EF4" s="555">
        <v>95393.38</v>
      </c>
      <c r="EG4" s="555">
        <v>0</v>
      </c>
      <c r="EH4" s="555">
        <v>47486.58</v>
      </c>
      <c r="EI4" s="555">
        <v>0</v>
      </c>
      <c r="EJ4" s="555">
        <v>48</v>
      </c>
      <c r="EK4" s="555">
        <v>78.36</v>
      </c>
      <c r="EL4" s="555">
        <v>29432.32</v>
      </c>
      <c r="EM4" s="555">
        <v>94268</v>
      </c>
      <c r="EN4" s="555">
        <v>50000</v>
      </c>
      <c r="EO4" s="555">
        <v>61729.49</v>
      </c>
      <c r="EP4" s="555">
        <v>31797.79</v>
      </c>
      <c r="EQ4" s="555">
        <v>0</v>
      </c>
      <c r="ER4" s="555">
        <v>0</v>
      </c>
      <c r="ES4" s="555">
        <v>0</v>
      </c>
      <c r="ET4" s="557">
        <v>785758.69000000006</v>
      </c>
      <c r="EU4" s="558">
        <v>3728676.4800000004</v>
      </c>
      <c r="EV4" s="555">
        <v>85951.73</v>
      </c>
      <c r="EW4" s="555">
        <v>69127.179999999993</v>
      </c>
      <c r="EX4" s="555">
        <v>357578.29</v>
      </c>
      <c r="EY4" s="555">
        <v>255847.12</v>
      </c>
      <c r="EZ4" s="555">
        <v>15148.6</v>
      </c>
      <c r="FA4" s="555">
        <v>0</v>
      </c>
      <c r="FB4" s="555">
        <v>-13963.46</v>
      </c>
      <c r="FC4" s="555">
        <v>0</v>
      </c>
      <c r="FD4" s="555">
        <v>0</v>
      </c>
      <c r="FE4" s="555">
        <v>0</v>
      </c>
      <c r="FF4" s="555">
        <v>0</v>
      </c>
      <c r="FG4" s="555">
        <v>0</v>
      </c>
      <c r="FH4" s="555">
        <v>118217.86</v>
      </c>
      <c r="FI4" s="555">
        <v>161688.1</v>
      </c>
      <c r="FJ4" s="555">
        <v>23643.62</v>
      </c>
      <c r="FK4" s="555">
        <v>32337.9</v>
      </c>
      <c r="FL4" s="555">
        <v>21690.81</v>
      </c>
      <c r="FM4" s="555">
        <v>0</v>
      </c>
      <c r="FN4" s="555">
        <v>17556</v>
      </c>
      <c r="FO4" s="555">
        <v>2591.83</v>
      </c>
      <c r="FP4" s="555">
        <v>9813.14</v>
      </c>
      <c r="FQ4" s="555">
        <v>1532.28</v>
      </c>
      <c r="FR4" s="555">
        <v>7661.39</v>
      </c>
      <c r="FS4" s="555">
        <v>5004.7</v>
      </c>
      <c r="FT4" s="555">
        <v>29341.5</v>
      </c>
      <c r="FU4" s="555">
        <v>4890.25</v>
      </c>
      <c r="FV4" s="555">
        <v>255847.12</v>
      </c>
      <c r="FW4" s="555">
        <v>27491.88</v>
      </c>
      <c r="FX4" s="555">
        <v>4058.69</v>
      </c>
      <c r="FY4" s="555">
        <v>15350.83</v>
      </c>
      <c r="FZ4" s="555">
        <v>2399.4699999999998</v>
      </c>
      <c r="GA4" s="555">
        <v>11997.38</v>
      </c>
      <c r="GB4" s="555">
        <v>7828.93</v>
      </c>
      <c r="GC4" s="555">
        <v>45947.43</v>
      </c>
      <c r="GD4" s="555">
        <v>7657.91</v>
      </c>
      <c r="GE4" s="217"/>
      <c r="GF4" s="217"/>
      <c r="GG4" s="573">
        <v>1584238.4799999995</v>
      </c>
      <c r="GH4" s="574">
        <v>5312914.96</v>
      </c>
    </row>
    <row r="5" spans="2:190" hidden="1" x14ac:dyDescent="0.2">
      <c r="B5" t="s">
        <v>678</v>
      </c>
      <c r="C5" t="s">
        <v>708</v>
      </c>
      <c r="D5" t="s">
        <v>709</v>
      </c>
      <c r="E5" t="s">
        <v>710</v>
      </c>
      <c r="F5" t="s">
        <v>711</v>
      </c>
      <c r="G5" t="s">
        <v>683</v>
      </c>
      <c r="K5" t="s">
        <v>684</v>
      </c>
      <c r="L5" t="s">
        <v>703</v>
      </c>
      <c r="M5" t="s">
        <v>704</v>
      </c>
      <c r="N5" t="s">
        <v>687</v>
      </c>
      <c r="O5" t="s">
        <v>688</v>
      </c>
      <c r="P5" t="s">
        <v>689</v>
      </c>
      <c r="Q5" t="s">
        <v>707</v>
      </c>
      <c r="R5" t="s">
        <v>691</v>
      </c>
      <c r="S5" s="555">
        <v>0</v>
      </c>
      <c r="T5" s="555">
        <v>0</v>
      </c>
      <c r="U5" s="555">
        <v>128478</v>
      </c>
      <c r="V5" s="555">
        <v>0</v>
      </c>
      <c r="W5" s="555">
        <v>0</v>
      </c>
      <c r="X5" s="555">
        <v>0</v>
      </c>
      <c r="Y5" s="555">
        <v>128478</v>
      </c>
      <c r="Z5" s="555">
        <v>0</v>
      </c>
      <c r="AA5" s="555">
        <v>0</v>
      </c>
      <c r="AB5" s="555">
        <v>66414.600000000006</v>
      </c>
      <c r="AC5" s="555">
        <v>14286.75</v>
      </c>
      <c r="AD5" s="555">
        <v>273183.81</v>
      </c>
      <c r="AE5" s="555">
        <v>0</v>
      </c>
      <c r="AF5" s="555">
        <v>58765.84</v>
      </c>
      <c r="AG5" s="555">
        <v>0</v>
      </c>
      <c r="AH5" s="555">
        <v>302449.23</v>
      </c>
      <c r="AI5" s="555">
        <v>0</v>
      </c>
      <c r="AJ5" s="555">
        <v>65061.26</v>
      </c>
      <c r="AK5" s="555">
        <v>0</v>
      </c>
      <c r="AL5" s="555">
        <v>0.56999999999999995</v>
      </c>
      <c r="AM5" s="555">
        <v>0</v>
      </c>
      <c r="AN5" s="555">
        <v>0</v>
      </c>
      <c r="AO5" s="555">
        <v>0</v>
      </c>
      <c r="AP5" s="555">
        <v>0</v>
      </c>
      <c r="AQ5" s="555">
        <v>240795</v>
      </c>
      <c r="AR5" s="555">
        <v>0</v>
      </c>
      <c r="AS5" s="555">
        <v>0</v>
      </c>
      <c r="AT5" s="555">
        <v>0</v>
      </c>
      <c r="AU5" s="555">
        <v>0</v>
      </c>
      <c r="AV5" s="555">
        <v>0</v>
      </c>
      <c r="AW5" s="555">
        <v>0</v>
      </c>
      <c r="AX5" s="555">
        <v>0</v>
      </c>
      <c r="AY5" s="555">
        <v>0</v>
      </c>
      <c r="AZ5" s="555">
        <v>0</v>
      </c>
      <c r="BA5" s="555">
        <v>0</v>
      </c>
      <c r="BB5" s="555">
        <v>0</v>
      </c>
      <c r="BC5" s="555">
        <v>0</v>
      </c>
      <c r="BD5" s="555">
        <v>0</v>
      </c>
      <c r="BE5" s="555">
        <v>0</v>
      </c>
      <c r="BF5" s="555">
        <v>0</v>
      </c>
      <c r="BG5" s="555">
        <v>0</v>
      </c>
      <c r="BH5" s="555">
        <v>0</v>
      </c>
      <c r="BI5" s="555">
        <v>0</v>
      </c>
      <c r="BJ5" s="555">
        <v>0</v>
      </c>
      <c r="BK5" s="555">
        <v>192636</v>
      </c>
      <c r="BL5" s="555">
        <v>0</v>
      </c>
      <c r="BM5" s="555">
        <v>27650</v>
      </c>
      <c r="BN5" s="555">
        <v>52974.9</v>
      </c>
      <c r="BO5" s="555">
        <v>0</v>
      </c>
      <c r="BP5" s="555">
        <v>0</v>
      </c>
      <c r="BQ5" s="555">
        <v>0</v>
      </c>
      <c r="BR5" s="555">
        <v>0</v>
      </c>
      <c r="BS5" s="555">
        <v>0</v>
      </c>
      <c r="BT5" s="555">
        <v>0</v>
      </c>
      <c r="BU5" s="555">
        <v>0</v>
      </c>
      <c r="BV5" s="555">
        <v>395935.8</v>
      </c>
      <c r="BW5" s="555">
        <v>0</v>
      </c>
      <c r="BX5" s="555">
        <v>0</v>
      </c>
      <c r="BY5" s="555">
        <v>0</v>
      </c>
      <c r="BZ5" s="555">
        <v>67613.62</v>
      </c>
      <c r="CA5" s="555">
        <v>0</v>
      </c>
      <c r="CB5" s="555">
        <v>82308</v>
      </c>
      <c r="CC5" s="555">
        <v>0</v>
      </c>
      <c r="CD5" s="555">
        <v>46107</v>
      </c>
      <c r="CE5" s="555">
        <v>0</v>
      </c>
      <c r="CF5" s="555">
        <v>46107</v>
      </c>
      <c r="CG5" s="555">
        <v>42379.92</v>
      </c>
      <c r="CH5" s="555">
        <v>0</v>
      </c>
      <c r="CI5" s="555">
        <v>0</v>
      </c>
      <c r="CJ5" s="555">
        <v>0</v>
      </c>
      <c r="CK5" s="555">
        <v>0</v>
      </c>
      <c r="CL5" s="555">
        <v>0</v>
      </c>
      <c r="CM5" s="555">
        <v>0</v>
      </c>
      <c r="CN5" s="555">
        <v>0</v>
      </c>
      <c r="CO5" s="555">
        <v>0</v>
      </c>
      <c r="CP5" s="555">
        <v>0</v>
      </c>
      <c r="CQ5" s="555">
        <v>0</v>
      </c>
      <c r="CR5" s="555">
        <v>0</v>
      </c>
      <c r="CS5" s="555">
        <v>0</v>
      </c>
      <c r="CT5" s="555">
        <v>0</v>
      </c>
      <c r="CU5" s="555">
        <v>0</v>
      </c>
      <c r="CV5" s="555">
        <v>0</v>
      </c>
      <c r="CW5" s="555">
        <v>0</v>
      </c>
      <c r="CX5" s="555">
        <v>4824.32</v>
      </c>
      <c r="CY5" s="555">
        <v>0</v>
      </c>
      <c r="CZ5" s="555">
        <v>39493.370000000003</v>
      </c>
      <c r="DA5" s="555">
        <v>0</v>
      </c>
      <c r="DB5" s="555">
        <v>39493.370000000003</v>
      </c>
      <c r="DC5" s="555">
        <v>0</v>
      </c>
      <c r="DD5" s="555">
        <v>66948.740000000005</v>
      </c>
      <c r="DE5" s="555">
        <v>0</v>
      </c>
      <c r="DF5" s="555">
        <v>0</v>
      </c>
      <c r="DG5" s="555">
        <v>0</v>
      </c>
      <c r="DH5" s="555">
        <v>0</v>
      </c>
      <c r="DI5" s="555">
        <v>0</v>
      </c>
      <c r="DJ5" s="555">
        <v>131395.79999999999</v>
      </c>
      <c r="DK5" s="555">
        <v>0</v>
      </c>
      <c r="DL5" s="555">
        <v>35835.22</v>
      </c>
      <c r="DM5" s="555">
        <v>0</v>
      </c>
      <c r="DN5" s="555">
        <v>35835.22</v>
      </c>
      <c r="DO5" s="555">
        <v>0</v>
      </c>
      <c r="DP5" s="555">
        <v>0</v>
      </c>
      <c r="DQ5" s="555">
        <v>0</v>
      </c>
      <c r="DR5" s="555">
        <v>8313.26</v>
      </c>
      <c r="DS5" s="556">
        <v>2231625.2999999998</v>
      </c>
      <c r="DT5" s="555">
        <v>36551.919999999998</v>
      </c>
      <c r="DU5" s="555">
        <v>0</v>
      </c>
      <c r="DV5" s="555">
        <v>31735.8</v>
      </c>
      <c r="DW5" s="555">
        <v>552</v>
      </c>
      <c r="DX5" s="555">
        <v>127894.13</v>
      </c>
      <c r="DY5" s="555">
        <v>0</v>
      </c>
      <c r="DZ5" s="555">
        <v>55812.67</v>
      </c>
      <c r="EA5" s="555">
        <v>0</v>
      </c>
      <c r="EB5" s="555">
        <v>11162.53</v>
      </c>
      <c r="EC5" s="555">
        <v>0</v>
      </c>
      <c r="ED5" s="555">
        <v>18881.310000000001</v>
      </c>
      <c r="EE5" s="555">
        <v>0</v>
      </c>
      <c r="EF5" s="555">
        <v>71670.429999999993</v>
      </c>
      <c r="EG5" s="555">
        <v>0</v>
      </c>
      <c r="EH5" s="555">
        <v>35625.11</v>
      </c>
      <c r="EI5" s="555">
        <v>0</v>
      </c>
      <c r="EJ5" s="555">
        <v>0</v>
      </c>
      <c r="EK5" s="555">
        <v>78.36</v>
      </c>
      <c r="EL5" s="555">
        <v>23890.14</v>
      </c>
      <c r="EM5" s="555">
        <v>94268</v>
      </c>
      <c r="EN5" s="555">
        <v>0</v>
      </c>
      <c r="EO5" s="555">
        <v>46809.69</v>
      </c>
      <c r="EP5" s="555">
        <v>23890.14</v>
      </c>
      <c r="EQ5" s="555">
        <v>0</v>
      </c>
      <c r="ER5" s="555">
        <v>0</v>
      </c>
      <c r="ES5" s="555">
        <v>0</v>
      </c>
      <c r="ET5" s="557">
        <v>578822.2300000001</v>
      </c>
      <c r="EU5" s="558">
        <v>2810447.53</v>
      </c>
      <c r="EV5" s="555">
        <v>28343.02</v>
      </c>
      <c r="EW5" s="555">
        <v>47921.62</v>
      </c>
      <c r="EX5" s="555">
        <v>118140.61</v>
      </c>
      <c r="EY5" s="555">
        <v>177482.14</v>
      </c>
      <c r="EZ5" s="555">
        <v>3072.45</v>
      </c>
      <c r="FA5" s="555">
        <v>0</v>
      </c>
      <c r="FB5" s="555">
        <v>0</v>
      </c>
      <c r="FC5" s="555">
        <v>0</v>
      </c>
      <c r="FD5" s="555">
        <v>0</v>
      </c>
      <c r="FE5" s="555">
        <v>0</v>
      </c>
      <c r="FF5" s="555">
        <v>0</v>
      </c>
      <c r="FG5" s="555">
        <v>0</v>
      </c>
      <c r="FH5" s="555">
        <v>56771.06</v>
      </c>
      <c r="FI5" s="555">
        <v>0</v>
      </c>
      <c r="FJ5" s="555">
        <v>11354.21</v>
      </c>
      <c r="FK5" s="555">
        <v>0</v>
      </c>
      <c r="FL5" s="555">
        <v>36182.92</v>
      </c>
      <c r="FM5" s="555">
        <v>13832.42</v>
      </c>
      <c r="FN5" s="555">
        <v>11175.41</v>
      </c>
      <c r="FO5" s="555">
        <v>1649.85</v>
      </c>
      <c r="FP5" s="555">
        <v>6258.49</v>
      </c>
      <c r="FQ5" s="555">
        <v>975.38</v>
      </c>
      <c r="FR5" s="555">
        <v>4876.92</v>
      </c>
      <c r="FS5" s="555">
        <v>3191.83</v>
      </c>
      <c r="FT5" s="555">
        <v>18677.57</v>
      </c>
      <c r="FU5" s="555">
        <v>3112.93</v>
      </c>
      <c r="FV5" s="555">
        <v>177482.14</v>
      </c>
      <c r="FW5" s="555">
        <v>19051.97</v>
      </c>
      <c r="FX5" s="555">
        <v>2812.69</v>
      </c>
      <c r="FY5" s="555">
        <v>10648.93</v>
      </c>
      <c r="FZ5" s="555">
        <v>1662.85</v>
      </c>
      <c r="GA5" s="555">
        <v>8314.23</v>
      </c>
      <c r="GB5" s="555">
        <v>5430.95</v>
      </c>
      <c r="GC5" s="555">
        <v>31841.73</v>
      </c>
      <c r="GD5" s="555">
        <v>5306.96</v>
      </c>
      <c r="GE5" s="217"/>
      <c r="GF5" s="217"/>
      <c r="GG5" s="573">
        <v>805571.2799999998</v>
      </c>
      <c r="GH5" s="574">
        <v>3616018.8099999996</v>
      </c>
    </row>
    <row r="6" spans="2:190" hidden="1" x14ac:dyDescent="0.2">
      <c r="B6" t="s">
        <v>678</v>
      </c>
      <c r="C6" t="s">
        <v>712</v>
      </c>
      <c r="D6" t="s">
        <v>713</v>
      </c>
      <c r="E6" t="s">
        <v>714</v>
      </c>
      <c r="F6" t="s">
        <v>715</v>
      </c>
      <c r="G6" t="s">
        <v>683</v>
      </c>
      <c r="K6" t="s">
        <v>684</v>
      </c>
      <c r="L6" t="s">
        <v>703</v>
      </c>
      <c r="M6" t="s">
        <v>704</v>
      </c>
      <c r="N6" t="s">
        <v>716</v>
      </c>
      <c r="O6" t="s">
        <v>688</v>
      </c>
      <c r="P6" t="s">
        <v>689</v>
      </c>
      <c r="Q6" t="s">
        <v>717</v>
      </c>
      <c r="R6" t="s">
        <v>691</v>
      </c>
      <c r="S6" s="555">
        <v>0</v>
      </c>
      <c r="T6" s="555">
        <v>0</v>
      </c>
      <c r="U6" s="555">
        <v>128478</v>
      </c>
      <c r="V6" s="555">
        <v>0</v>
      </c>
      <c r="W6" s="555">
        <v>0</v>
      </c>
      <c r="X6" s="555">
        <v>0</v>
      </c>
      <c r="Y6" s="555">
        <v>128478</v>
      </c>
      <c r="Z6" s="555">
        <v>0</v>
      </c>
      <c r="AA6" s="555">
        <v>0</v>
      </c>
      <c r="AB6" s="555">
        <v>65261.98</v>
      </c>
      <c r="AC6" s="555">
        <v>14286.75</v>
      </c>
      <c r="AD6" s="555">
        <v>268442.71999999997</v>
      </c>
      <c r="AE6" s="555">
        <v>0</v>
      </c>
      <c r="AF6" s="555">
        <v>58765.84</v>
      </c>
      <c r="AG6" s="555">
        <v>0</v>
      </c>
      <c r="AH6" s="555">
        <v>297200.25</v>
      </c>
      <c r="AI6" s="555">
        <v>0</v>
      </c>
      <c r="AJ6" s="555">
        <v>65061.26</v>
      </c>
      <c r="AK6" s="555">
        <v>0</v>
      </c>
      <c r="AL6" s="555">
        <v>0.74</v>
      </c>
      <c r="AM6" s="555">
        <v>0</v>
      </c>
      <c r="AN6" s="555">
        <v>0</v>
      </c>
      <c r="AO6" s="555">
        <v>0</v>
      </c>
      <c r="AP6" s="555">
        <v>0</v>
      </c>
      <c r="AQ6" s="555">
        <v>240795</v>
      </c>
      <c r="AR6" s="555">
        <v>0</v>
      </c>
      <c r="AS6" s="555">
        <v>0</v>
      </c>
      <c r="AT6" s="555">
        <v>0</v>
      </c>
      <c r="AU6" s="555">
        <v>0</v>
      </c>
      <c r="AV6" s="555">
        <v>0</v>
      </c>
      <c r="AW6" s="555">
        <v>0</v>
      </c>
      <c r="AX6" s="555">
        <v>0</v>
      </c>
      <c r="AY6" s="555">
        <v>0</v>
      </c>
      <c r="AZ6" s="555">
        <v>0</v>
      </c>
      <c r="BA6" s="555">
        <v>0</v>
      </c>
      <c r="BB6" s="555">
        <v>0</v>
      </c>
      <c r="BC6" s="555">
        <v>0</v>
      </c>
      <c r="BD6" s="555">
        <v>0</v>
      </c>
      <c r="BE6" s="555">
        <v>0</v>
      </c>
      <c r="BF6" s="555">
        <v>0</v>
      </c>
      <c r="BG6" s="555">
        <v>0</v>
      </c>
      <c r="BH6" s="555">
        <v>0</v>
      </c>
      <c r="BI6" s="555">
        <v>0</v>
      </c>
      <c r="BJ6" s="555">
        <v>0</v>
      </c>
      <c r="BK6" s="555">
        <v>192636</v>
      </c>
      <c r="BL6" s="555">
        <v>0</v>
      </c>
      <c r="BM6" s="555">
        <v>3950</v>
      </c>
      <c r="BN6" s="555">
        <v>52974.9</v>
      </c>
      <c r="BO6" s="555">
        <v>0</v>
      </c>
      <c r="BP6" s="555">
        <v>28768</v>
      </c>
      <c r="BQ6" s="555">
        <v>0</v>
      </c>
      <c r="BR6" s="555">
        <v>0</v>
      </c>
      <c r="BS6" s="555">
        <v>0</v>
      </c>
      <c r="BT6" s="555">
        <v>0</v>
      </c>
      <c r="BU6" s="555">
        <v>0</v>
      </c>
      <c r="BV6" s="555">
        <v>371310.66</v>
      </c>
      <c r="BW6" s="555">
        <v>0</v>
      </c>
      <c r="BX6" s="555">
        <v>0</v>
      </c>
      <c r="BY6" s="555">
        <v>0</v>
      </c>
      <c r="BZ6" s="555">
        <v>66440.19</v>
      </c>
      <c r="CA6" s="555">
        <v>0</v>
      </c>
      <c r="CB6" s="555">
        <v>82308</v>
      </c>
      <c r="CC6" s="555">
        <v>0</v>
      </c>
      <c r="CD6" s="555">
        <v>46107</v>
      </c>
      <c r="CE6" s="555">
        <v>0</v>
      </c>
      <c r="CF6" s="555">
        <v>46107</v>
      </c>
      <c r="CG6" s="555">
        <v>42379.92</v>
      </c>
      <c r="CH6" s="555">
        <v>0</v>
      </c>
      <c r="CI6" s="555">
        <v>0</v>
      </c>
      <c r="CJ6" s="555">
        <v>0</v>
      </c>
      <c r="CK6" s="555">
        <v>0</v>
      </c>
      <c r="CL6" s="555">
        <v>0</v>
      </c>
      <c r="CM6" s="555">
        <v>0</v>
      </c>
      <c r="CN6" s="555">
        <v>0</v>
      </c>
      <c r="CO6" s="555">
        <v>0</v>
      </c>
      <c r="CP6" s="555">
        <v>0</v>
      </c>
      <c r="CQ6" s="555">
        <v>0</v>
      </c>
      <c r="CR6" s="555">
        <v>0</v>
      </c>
      <c r="CS6" s="555">
        <v>0</v>
      </c>
      <c r="CT6" s="555">
        <v>0</v>
      </c>
      <c r="CU6" s="555">
        <v>0</v>
      </c>
      <c r="CV6" s="555">
        <v>0</v>
      </c>
      <c r="CW6" s="555">
        <v>0</v>
      </c>
      <c r="CX6" s="555">
        <v>0</v>
      </c>
      <c r="CY6" s="555">
        <v>0</v>
      </c>
      <c r="CZ6" s="555">
        <v>0</v>
      </c>
      <c r="DA6" s="555">
        <v>0</v>
      </c>
      <c r="DB6" s="555">
        <v>0</v>
      </c>
      <c r="DC6" s="555">
        <v>0</v>
      </c>
      <c r="DD6" s="555">
        <v>0</v>
      </c>
      <c r="DE6" s="555">
        <v>0</v>
      </c>
      <c r="DF6" s="555">
        <v>0</v>
      </c>
      <c r="DG6" s="555">
        <v>0</v>
      </c>
      <c r="DH6" s="555">
        <v>0</v>
      </c>
      <c r="DI6" s="555">
        <v>0</v>
      </c>
      <c r="DJ6" s="555">
        <v>129115.43</v>
      </c>
      <c r="DK6" s="555">
        <v>0</v>
      </c>
      <c r="DL6" s="555">
        <v>35213.300000000003</v>
      </c>
      <c r="DM6" s="555">
        <v>0</v>
      </c>
      <c r="DN6" s="555">
        <v>35213.300000000003</v>
      </c>
      <c r="DO6" s="555">
        <v>0</v>
      </c>
      <c r="DP6" s="555">
        <v>0</v>
      </c>
      <c r="DQ6" s="555">
        <v>0</v>
      </c>
      <c r="DR6" s="555">
        <v>8935.18</v>
      </c>
      <c r="DS6" s="556">
        <v>2199752.21</v>
      </c>
      <c r="DT6" s="555">
        <v>35917.57</v>
      </c>
      <c r="DU6" s="555">
        <v>0</v>
      </c>
      <c r="DV6" s="555">
        <v>31394.83</v>
      </c>
      <c r="DW6" s="555">
        <v>552</v>
      </c>
      <c r="DX6" s="555">
        <v>125661.45</v>
      </c>
      <c r="DY6" s="555">
        <v>0</v>
      </c>
      <c r="DZ6" s="555">
        <v>54838.33</v>
      </c>
      <c r="EA6" s="555">
        <v>0</v>
      </c>
      <c r="EB6" s="555">
        <v>10967.67</v>
      </c>
      <c r="EC6" s="555">
        <v>0</v>
      </c>
      <c r="ED6" s="555">
        <v>18551.689999999999</v>
      </c>
      <c r="EE6" s="555">
        <v>0</v>
      </c>
      <c r="EF6" s="555">
        <v>70426.600000000006</v>
      </c>
      <c r="EG6" s="555">
        <v>0</v>
      </c>
      <c r="EH6" s="555">
        <v>35003.19</v>
      </c>
      <c r="EI6" s="555">
        <v>0</v>
      </c>
      <c r="EJ6" s="555">
        <v>0</v>
      </c>
      <c r="EK6" s="555">
        <v>78.36</v>
      </c>
      <c r="EL6" s="555">
        <v>23475.54</v>
      </c>
      <c r="EM6" s="555">
        <v>94268</v>
      </c>
      <c r="EN6" s="555">
        <v>0</v>
      </c>
      <c r="EO6" s="555">
        <v>46141.13</v>
      </c>
      <c r="EP6" s="555">
        <v>23475.53</v>
      </c>
      <c r="EQ6" s="555">
        <v>0</v>
      </c>
      <c r="ER6" s="555">
        <v>0</v>
      </c>
      <c r="ES6" s="555">
        <v>0</v>
      </c>
      <c r="ET6" s="557">
        <v>570751.89</v>
      </c>
      <c r="EU6" s="558">
        <v>2770504.1</v>
      </c>
      <c r="EV6" s="555">
        <v>13732.59</v>
      </c>
      <c r="EW6" s="555">
        <v>42355.07</v>
      </c>
      <c r="EX6" s="555">
        <v>57246.62</v>
      </c>
      <c r="EY6" s="555">
        <v>156910.97</v>
      </c>
      <c r="EZ6" s="555">
        <v>1492.79</v>
      </c>
      <c r="FA6" s="555">
        <v>0</v>
      </c>
      <c r="FB6" s="555">
        <v>0</v>
      </c>
      <c r="FC6" s="555">
        <v>0</v>
      </c>
      <c r="FD6" s="555">
        <v>0</v>
      </c>
      <c r="FE6" s="555">
        <v>0</v>
      </c>
      <c r="FF6" s="555">
        <v>0</v>
      </c>
      <c r="FG6" s="555">
        <v>0</v>
      </c>
      <c r="FH6" s="555">
        <v>27583.05</v>
      </c>
      <c r="FI6" s="555">
        <v>0</v>
      </c>
      <c r="FJ6" s="555">
        <v>5516.61</v>
      </c>
      <c r="FK6" s="555">
        <v>0</v>
      </c>
      <c r="FL6" s="555">
        <v>18429.150000000001</v>
      </c>
      <c r="FM6" s="555">
        <v>5717.81</v>
      </c>
      <c r="FN6" s="555">
        <v>5520.24</v>
      </c>
      <c r="FO6" s="555">
        <v>814.97</v>
      </c>
      <c r="FP6" s="555">
        <v>3091.73</v>
      </c>
      <c r="FQ6" s="555">
        <v>481.8</v>
      </c>
      <c r="FR6" s="555">
        <v>2409.02</v>
      </c>
      <c r="FS6" s="555">
        <v>1576.78</v>
      </c>
      <c r="FT6" s="555">
        <v>9226.02</v>
      </c>
      <c r="FU6" s="555">
        <v>1537.67</v>
      </c>
      <c r="FV6" s="555">
        <v>156910.97</v>
      </c>
      <c r="FW6" s="555">
        <v>16836.45</v>
      </c>
      <c r="FX6" s="555">
        <v>2485.61</v>
      </c>
      <c r="FY6" s="555">
        <v>9414.66</v>
      </c>
      <c r="FZ6" s="555">
        <v>1469.48</v>
      </c>
      <c r="GA6" s="555">
        <v>7347.39</v>
      </c>
      <c r="GB6" s="555">
        <v>4801.4799999999996</v>
      </c>
      <c r="GC6" s="555">
        <v>28138.92</v>
      </c>
      <c r="GD6" s="555">
        <v>4689.82</v>
      </c>
      <c r="GE6" s="217"/>
      <c r="GF6" s="217"/>
      <c r="GG6" s="573">
        <v>585737.66999999993</v>
      </c>
      <c r="GH6" s="574">
        <v>3356241.77</v>
      </c>
    </row>
    <row r="7" spans="2:190" hidden="1" x14ac:dyDescent="0.2">
      <c r="B7" t="s">
        <v>678</v>
      </c>
      <c r="C7" t="s">
        <v>718</v>
      </c>
      <c r="D7" t="s">
        <v>719</v>
      </c>
      <c r="E7" t="s">
        <v>720</v>
      </c>
      <c r="F7" t="s">
        <v>721</v>
      </c>
      <c r="G7" t="s">
        <v>683</v>
      </c>
      <c r="K7" t="s">
        <v>684</v>
      </c>
      <c r="L7" t="s">
        <v>696</v>
      </c>
      <c r="M7" t="s">
        <v>697</v>
      </c>
      <c r="N7" t="s">
        <v>722</v>
      </c>
      <c r="O7" t="s">
        <v>723</v>
      </c>
      <c r="P7" t="s">
        <v>724</v>
      </c>
      <c r="Q7" t="s">
        <v>725</v>
      </c>
      <c r="R7" t="s">
        <v>691</v>
      </c>
      <c r="S7" s="555">
        <v>0</v>
      </c>
      <c r="T7" s="555">
        <v>0</v>
      </c>
      <c r="U7" s="555">
        <v>128478</v>
      </c>
      <c r="V7" s="555">
        <v>0</v>
      </c>
      <c r="W7" s="555">
        <v>0</v>
      </c>
      <c r="X7" s="555">
        <v>0</v>
      </c>
      <c r="Y7" s="555">
        <v>128478</v>
      </c>
      <c r="Z7" s="555">
        <v>0</v>
      </c>
      <c r="AA7" s="555">
        <v>0</v>
      </c>
      <c r="AB7" s="555">
        <v>60361.8</v>
      </c>
      <c r="AC7" s="555">
        <v>14286.75</v>
      </c>
      <c r="AD7" s="555">
        <v>248286.76</v>
      </c>
      <c r="AE7" s="555">
        <v>0</v>
      </c>
      <c r="AF7" s="555">
        <v>58765.84</v>
      </c>
      <c r="AG7" s="555">
        <v>0</v>
      </c>
      <c r="AH7" s="555">
        <v>274885.03000000003</v>
      </c>
      <c r="AI7" s="555">
        <v>0</v>
      </c>
      <c r="AJ7" s="555">
        <v>65061.26</v>
      </c>
      <c r="AK7" s="555">
        <v>0</v>
      </c>
      <c r="AL7" s="555">
        <v>0.39</v>
      </c>
      <c r="AM7" s="555">
        <v>0</v>
      </c>
      <c r="AN7" s="555">
        <v>0</v>
      </c>
      <c r="AO7" s="555">
        <v>0</v>
      </c>
      <c r="AP7" s="555">
        <v>0</v>
      </c>
      <c r="AQ7" s="555">
        <v>204816</v>
      </c>
      <c r="AR7" s="555">
        <v>0</v>
      </c>
      <c r="AS7" s="555">
        <v>0</v>
      </c>
      <c r="AT7" s="555">
        <v>0</v>
      </c>
      <c r="AU7" s="555">
        <v>0</v>
      </c>
      <c r="AV7" s="555">
        <v>0</v>
      </c>
      <c r="AW7" s="555">
        <v>0</v>
      </c>
      <c r="AX7" s="555">
        <v>0</v>
      </c>
      <c r="AY7" s="555">
        <v>0</v>
      </c>
      <c r="AZ7" s="555">
        <v>0</v>
      </c>
      <c r="BA7" s="555">
        <v>0</v>
      </c>
      <c r="BB7" s="555">
        <v>0</v>
      </c>
      <c r="BC7" s="555">
        <v>0</v>
      </c>
      <c r="BD7" s="555">
        <v>0</v>
      </c>
      <c r="BE7" s="555">
        <v>0</v>
      </c>
      <c r="BF7" s="555">
        <v>0</v>
      </c>
      <c r="BG7" s="555">
        <v>0</v>
      </c>
      <c r="BH7" s="555">
        <v>0</v>
      </c>
      <c r="BI7" s="555">
        <v>0</v>
      </c>
      <c r="BJ7" s="555">
        <v>0</v>
      </c>
      <c r="BK7" s="555">
        <v>163852.79999999999</v>
      </c>
      <c r="BL7" s="555">
        <v>0</v>
      </c>
      <c r="BM7" s="555">
        <v>3950</v>
      </c>
      <c r="BN7" s="555">
        <v>45059.519999999997</v>
      </c>
      <c r="BO7" s="555">
        <v>0</v>
      </c>
      <c r="BP7" s="555">
        <v>28768</v>
      </c>
      <c r="BQ7" s="555">
        <v>0</v>
      </c>
      <c r="BR7" s="555">
        <v>0</v>
      </c>
      <c r="BS7" s="555">
        <v>0</v>
      </c>
      <c r="BT7" s="555">
        <v>0</v>
      </c>
      <c r="BU7" s="555">
        <v>5933.11</v>
      </c>
      <c r="BV7" s="555">
        <v>361243.29</v>
      </c>
      <c r="BW7" s="555">
        <v>0</v>
      </c>
      <c r="BX7" s="555">
        <v>0</v>
      </c>
      <c r="BY7" s="555">
        <v>0</v>
      </c>
      <c r="BZ7" s="555">
        <v>61451.54</v>
      </c>
      <c r="CA7" s="555">
        <v>0</v>
      </c>
      <c r="CB7" s="555">
        <v>82308</v>
      </c>
      <c r="CC7" s="555">
        <v>0</v>
      </c>
      <c r="CD7" s="555">
        <v>46107</v>
      </c>
      <c r="CE7" s="555">
        <v>0</v>
      </c>
      <c r="CF7" s="555">
        <v>46107</v>
      </c>
      <c r="CG7" s="555">
        <v>36047.620000000003</v>
      </c>
      <c r="CH7" s="555">
        <v>0</v>
      </c>
      <c r="CI7" s="555">
        <v>0</v>
      </c>
      <c r="CJ7" s="555">
        <v>0</v>
      </c>
      <c r="CK7" s="555">
        <v>0</v>
      </c>
      <c r="CL7" s="555">
        <v>0</v>
      </c>
      <c r="CM7" s="555">
        <v>0</v>
      </c>
      <c r="CN7" s="555">
        <v>0</v>
      </c>
      <c r="CO7" s="555">
        <v>0</v>
      </c>
      <c r="CP7" s="555">
        <v>0</v>
      </c>
      <c r="CQ7" s="555">
        <v>0</v>
      </c>
      <c r="CR7" s="555">
        <v>0</v>
      </c>
      <c r="CS7" s="555">
        <v>0</v>
      </c>
      <c r="CT7" s="555">
        <v>0</v>
      </c>
      <c r="CU7" s="555">
        <v>0</v>
      </c>
      <c r="CV7" s="555">
        <v>0</v>
      </c>
      <c r="CW7" s="555">
        <v>0</v>
      </c>
      <c r="CX7" s="555">
        <v>0</v>
      </c>
      <c r="CY7" s="555">
        <v>0</v>
      </c>
      <c r="CZ7" s="555">
        <v>36145.83</v>
      </c>
      <c r="DA7" s="555">
        <v>0</v>
      </c>
      <c r="DB7" s="555">
        <v>36145.83</v>
      </c>
      <c r="DC7" s="555">
        <v>0</v>
      </c>
      <c r="DD7" s="555">
        <v>61927.42</v>
      </c>
      <c r="DE7" s="555">
        <v>0</v>
      </c>
      <c r="DF7" s="555">
        <v>0</v>
      </c>
      <c r="DG7" s="555">
        <v>0</v>
      </c>
      <c r="DH7" s="555">
        <v>0</v>
      </c>
      <c r="DI7" s="555">
        <v>0</v>
      </c>
      <c r="DJ7" s="555">
        <v>119420.83</v>
      </c>
      <c r="DK7" s="555">
        <v>0</v>
      </c>
      <c r="DL7" s="555">
        <v>32569.32</v>
      </c>
      <c r="DM7" s="555">
        <v>0</v>
      </c>
      <c r="DN7" s="555">
        <v>32569.32</v>
      </c>
      <c r="DO7" s="555">
        <v>0</v>
      </c>
      <c r="DP7" s="555">
        <v>0</v>
      </c>
      <c r="DQ7" s="555">
        <v>0</v>
      </c>
      <c r="DR7" s="555">
        <v>11579.16</v>
      </c>
      <c r="DS7" s="556">
        <v>2064247.7100000004</v>
      </c>
      <c r="DT7" s="555">
        <v>33220.699999999997</v>
      </c>
      <c r="DU7" s="555">
        <v>0</v>
      </c>
      <c r="DV7" s="555">
        <v>29945.27</v>
      </c>
      <c r="DW7" s="555">
        <v>552</v>
      </c>
      <c r="DX7" s="555">
        <v>116169.55</v>
      </c>
      <c r="DY7" s="555">
        <v>0</v>
      </c>
      <c r="DZ7" s="555">
        <v>50696.09</v>
      </c>
      <c r="EA7" s="555">
        <v>0</v>
      </c>
      <c r="EB7" s="555">
        <v>10139.219999999999</v>
      </c>
      <c r="EC7" s="555">
        <v>0</v>
      </c>
      <c r="ED7" s="555">
        <v>17150.38</v>
      </c>
      <c r="EE7" s="555">
        <v>0</v>
      </c>
      <c r="EF7" s="555">
        <v>65138.63</v>
      </c>
      <c r="EG7" s="555">
        <v>0</v>
      </c>
      <c r="EH7" s="555">
        <v>40988.33</v>
      </c>
      <c r="EI7" s="555">
        <v>0</v>
      </c>
      <c r="EJ7" s="555">
        <v>0</v>
      </c>
      <c r="EK7" s="555">
        <v>78.36</v>
      </c>
      <c r="EL7" s="555">
        <v>21712.880000000001</v>
      </c>
      <c r="EM7" s="555">
        <v>94268</v>
      </c>
      <c r="EN7" s="555">
        <v>0</v>
      </c>
      <c r="EO7" s="555">
        <v>43298.85</v>
      </c>
      <c r="EP7" s="555">
        <v>21712.880000000001</v>
      </c>
      <c r="EQ7" s="555">
        <v>0</v>
      </c>
      <c r="ER7" s="555">
        <v>0</v>
      </c>
      <c r="ES7" s="555">
        <v>0</v>
      </c>
      <c r="ET7" s="557">
        <v>545071.14</v>
      </c>
      <c r="EU7" s="558">
        <v>2609318.8500000006</v>
      </c>
      <c r="EV7" s="555">
        <v>16815.98</v>
      </c>
      <c r="EW7" s="555">
        <v>40140.32</v>
      </c>
      <c r="EX7" s="555">
        <v>72462.460000000006</v>
      </c>
      <c r="EY7" s="555">
        <v>148726.46</v>
      </c>
      <c r="EZ7" s="555">
        <v>1326.03</v>
      </c>
      <c r="FA7" s="555">
        <v>0</v>
      </c>
      <c r="FB7" s="555">
        <v>0</v>
      </c>
      <c r="FC7" s="555">
        <v>0</v>
      </c>
      <c r="FD7" s="555">
        <v>0</v>
      </c>
      <c r="FE7" s="555">
        <v>0</v>
      </c>
      <c r="FF7" s="555">
        <v>0</v>
      </c>
      <c r="FG7" s="555">
        <v>0</v>
      </c>
      <c r="FH7" s="555">
        <v>24501.67</v>
      </c>
      <c r="FI7" s="555">
        <v>0</v>
      </c>
      <c r="FJ7" s="555">
        <v>4900.33</v>
      </c>
      <c r="FK7" s="555">
        <v>0</v>
      </c>
      <c r="FL7" s="555">
        <v>16719.46</v>
      </c>
      <c r="FM7" s="555">
        <v>26341</v>
      </c>
      <c r="FN7" s="555">
        <v>4937.87</v>
      </c>
      <c r="FO7" s="555">
        <v>728.99</v>
      </c>
      <c r="FP7" s="555">
        <v>2767.29</v>
      </c>
      <c r="FQ7" s="555">
        <v>430.98</v>
      </c>
      <c r="FR7" s="555">
        <v>2154.87</v>
      </c>
      <c r="FS7" s="555">
        <v>1411.31</v>
      </c>
      <c r="FT7" s="555">
        <v>8252.69</v>
      </c>
      <c r="FU7" s="555">
        <v>1742.24</v>
      </c>
      <c r="FV7" s="555">
        <v>148726.46</v>
      </c>
      <c r="FW7" s="555">
        <v>15954.98</v>
      </c>
      <c r="FX7" s="555">
        <v>2355.4699999999998</v>
      </c>
      <c r="FY7" s="555">
        <v>8923.59</v>
      </c>
      <c r="FZ7" s="555">
        <v>1392.54</v>
      </c>
      <c r="GA7" s="555">
        <v>6962.71</v>
      </c>
      <c r="GB7" s="555">
        <v>4551.03</v>
      </c>
      <c r="GC7" s="555">
        <v>26665.71</v>
      </c>
      <c r="GD7" s="555">
        <v>5629.43</v>
      </c>
      <c r="GE7" s="217"/>
      <c r="GF7" s="217"/>
      <c r="GG7" s="573">
        <v>595521.86999999988</v>
      </c>
      <c r="GH7" s="574">
        <v>3204840.7200000007</v>
      </c>
    </row>
    <row r="8" spans="2:190" hidden="1" x14ac:dyDescent="0.2">
      <c r="B8" t="s">
        <v>678</v>
      </c>
      <c r="C8" t="s">
        <v>726</v>
      </c>
      <c r="D8" t="s">
        <v>727</v>
      </c>
      <c r="E8" t="s">
        <v>728</v>
      </c>
      <c r="F8" t="s">
        <v>729</v>
      </c>
      <c r="G8" t="s">
        <v>683</v>
      </c>
      <c r="K8" t="s">
        <v>684</v>
      </c>
      <c r="L8" t="s">
        <v>703</v>
      </c>
      <c r="M8" t="s">
        <v>704</v>
      </c>
      <c r="N8" t="s">
        <v>716</v>
      </c>
      <c r="O8" t="s">
        <v>730</v>
      </c>
      <c r="P8" t="s">
        <v>731</v>
      </c>
      <c r="Q8" t="s">
        <v>725</v>
      </c>
      <c r="R8" t="s">
        <v>691</v>
      </c>
      <c r="S8" s="555">
        <v>0</v>
      </c>
      <c r="T8" s="555">
        <v>0</v>
      </c>
      <c r="U8" s="555">
        <v>122360</v>
      </c>
      <c r="V8" s="555">
        <v>0</v>
      </c>
      <c r="W8" s="555">
        <v>0</v>
      </c>
      <c r="X8" s="555">
        <v>0</v>
      </c>
      <c r="Y8" s="555">
        <v>122360</v>
      </c>
      <c r="Z8" s="555">
        <v>0</v>
      </c>
      <c r="AA8" s="555">
        <v>0</v>
      </c>
      <c r="AB8" s="555">
        <v>66689.5</v>
      </c>
      <c r="AC8" s="555">
        <v>13606.43</v>
      </c>
      <c r="AD8" s="555">
        <v>274314.56</v>
      </c>
      <c r="AE8" s="555">
        <v>0</v>
      </c>
      <c r="AF8" s="555">
        <v>55967.46</v>
      </c>
      <c r="AG8" s="555">
        <v>0</v>
      </c>
      <c r="AH8" s="555">
        <v>303701.12</v>
      </c>
      <c r="AI8" s="555">
        <v>0</v>
      </c>
      <c r="AJ8" s="555">
        <v>61963.1</v>
      </c>
      <c r="AK8" s="555">
        <v>0</v>
      </c>
      <c r="AL8" s="555">
        <v>0.18</v>
      </c>
      <c r="AM8" s="555">
        <v>0</v>
      </c>
      <c r="AN8" s="555">
        <v>0</v>
      </c>
      <c r="AO8" s="555">
        <v>0</v>
      </c>
      <c r="AP8" s="555">
        <v>0</v>
      </c>
      <c r="AQ8" s="555">
        <v>240795</v>
      </c>
      <c r="AR8" s="555">
        <v>0</v>
      </c>
      <c r="AS8" s="555">
        <v>0</v>
      </c>
      <c r="AT8" s="555">
        <v>0</v>
      </c>
      <c r="AU8" s="555">
        <v>0</v>
      </c>
      <c r="AV8" s="555">
        <v>0</v>
      </c>
      <c r="AW8" s="555">
        <v>0</v>
      </c>
      <c r="AX8" s="555">
        <v>0</v>
      </c>
      <c r="AY8" s="555">
        <v>0</v>
      </c>
      <c r="AZ8" s="555">
        <v>0</v>
      </c>
      <c r="BA8" s="555">
        <v>0</v>
      </c>
      <c r="BB8" s="555">
        <v>0</v>
      </c>
      <c r="BC8" s="555">
        <v>0</v>
      </c>
      <c r="BD8" s="555">
        <v>0</v>
      </c>
      <c r="BE8" s="555">
        <v>0</v>
      </c>
      <c r="BF8" s="555">
        <v>0</v>
      </c>
      <c r="BG8" s="555">
        <v>0</v>
      </c>
      <c r="BH8" s="555">
        <v>0</v>
      </c>
      <c r="BI8" s="555">
        <v>0</v>
      </c>
      <c r="BJ8" s="555">
        <v>0</v>
      </c>
      <c r="BK8" s="555">
        <v>192636</v>
      </c>
      <c r="BL8" s="555">
        <v>0</v>
      </c>
      <c r="BM8" s="555">
        <v>41475</v>
      </c>
      <c r="BN8" s="555">
        <v>52974.9</v>
      </c>
      <c r="BO8" s="555">
        <v>0</v>
      </c>
      <c r="BP8" s="555">
        <v>14384</v>
      </c>
      <c r="BQ8" s="555">
        <v>0</v>
      </c>
      <c r="BR8" s="555">
        <v>0</v>
      </c>
      <c r="BS8" s="555">
        <v>0</v>
      </c>
      <c r="BT8" s="555">
        <v>0</v>
      </c>
      <c r="BU8" s="555">
        <v>0</v>
      </c>
      <c r="BV8" s="555">
        <v>372391.2</v>
      </c>
      <c r="BW8" s="555">
        <v>0</v>
      </c>
      <c r="BX8" s="555">
        <v>0</v>
      </c>
      <c r="BY8" s="555">
        <v>0</v>
      </c>
      <c r="BZ8" s="555">
        <v>67893.48</v>
      </c>
      <c r="CA8" s="555">
        <v>0</v>
      </c>
      <c r="CB8" s="555">
        <v>82308</v>
      </c>
      <c r="CC8" s="555">
        <v>0</v>
      </c>
      <c r="CD8" s="555">
        <v>46107</v>
      </c>
      <c r="CE8" s="555">
        <v>0</v>
      </c>
      <c r="CF8" s="555">
        <v>46107</v>
      </c>
      <c r="CG8" s="555">
        <v>42379.92</v>
      </c>
      <c r="CH8" s="555">
        <v>0</v>
      </c>
      <c r="CI8" s="555">
        <v>0</v>
      </c>
      <c r="CJ8" s="555">
        <v>0</v>
      </c>
      <c r="CK8" s="555">
        <v>0</v>
      </c>
      <c r="CL8" s="555">
        <v>0</v>
      </c>
      <c r="CM8" s="555">
        <v>0</v>
      </c>
      <c r="CN8" s="555">
        <v>0</v>
      </c>
      <c r="CO8" s="555">
        <v>0</v>
      </c>
      <c r="CP8" s="555">
        <v>0</v>
      </c>
      <c r="CQ8" s="555">
        <v>0</v>
      </c>
      <c r="CR8" s="555">
        <v>0</v>
      </c>
      <c r="CS8" s="555">
        <v>0</v>
      </c>
      <c r="CT8" s="555">
        <v>0</v>
      </c>
      <c r="CU8" s="555">
        <v>0</v>
      </c>
      <c r="CV8" s="555">
        <v>0</v>
      </c>
      <c r="CW8" s="555">
        <v>0</v>
      </c>
      <c r="CX8" s="555">
        <v>0</v>
      </c>
      <c r="CY8" s="555">
        <v>0</v>
      </c>
      <c r="CZ8" s="555">
        <v>39513.870000000003</v>
      </c>
      <c r="DA8" s="555">
        <v>0</v>
      </c>
      <c r="DB8" s="555">
        <v>39513.870000000003</v>
      </c>
      <c r="DC8" s="555">
        <v>0</v>
      </c>
      <c r="DD8" s="555">
        <v>66612.41</v>
      </c>
      <c r="DE8" s="555">
        <v>0</v>
      </c>
      <c r="DF8" s="555">
        <v>0</v>
      </c>
      <c r="DG8" s="555">
        <v>0</v>
      </c>
      <c r="DH8" s="555">
        <v>0</v>
      </c>
      <c r="DI8" s="555">
        <v>0</v>
      </c>
      <c r="DJ8" s="555">
        <v>131939.67000000001</v>
      </c>
      <c r="DK8" s="555">
        <v>0</v>
      </c>
      <c r="DL8" s="555">
        <v>35983.550000000003</v>
      </c>
      <c r="DM8" s="555">
        <v>0</v>
      </c>
      <c r="DN8" s="555">
        <v>35983.550000000003</v>
      </c>
      <c r="DO8" s="555">
        <v>0</v>
      </c>
      <c r="DP8" s="555">
        <v>0</v>
      </c>
      <c r="DQ8" s="555">
        <v>0</v>
      </c>
      <c r="DR8" s="555">
        <v>8164.93</v>
      </c>
      <c r="DS8" s="556">
        <v>2220413.8499999996</v>
      </c>
      <c r="DT8" s="555">
        <v>36703.22</v>
      </c>
      <c r="DU8" s="555">
        <v>0</v>
      </c>
      <c r="DV8" s="555">
        <v>31241.439999999999</v>
      </c>
      <c r="DW8" s="555">
        <v>552</v>
      </c>
      <c r="DX8" s="555">
        <v>128426.63</v>
      </c>
      <c r="DY8" s="555">
        <v>0</v>
      </c>
      <c r="DZ8" s="555">
        <v>56045.05</v>
      </c>
      <c r="EA8" s="555">
        <v>0</v>
      </c>
      <c r="EB8" s="555">
        <v>11209.01</v>
      </c>
      <c r="EC8" s="555">
        <v>0</v>
      </c>
      <c r="ED8" s="555">
        <v>18959.919999999998</v>
      </c>
      <c r="EE8" s="555">
        <v>0</v>
      </c>
      <c r="EF8" s="555">
        <v>71967.09</v>
      </c>
      <c r="EG8" s="555">
        <v>0</v>
      </c>
      <c r="EH8" s="555">
        <v>35773.43</v>
      </c>
      <c r="EI8" s="555">
        <v>0</v>
      </c>
      <c r="EJ8" s="555">
        <v>0</v>
      </c>
      <c r="EK8" s="555">
        <v>78.36</v>
      </c>
      <c r="EL8" s="555">
        <v>23989.040000000001</v>
      </c>
      <c r="EM8" s="555">
        <v>94268</v>
      </c>
      <c r="EN8" s="555">
        <v>0</v>
      </c>
      <c r="EO8" s="555">
        <v>46574.53</v>
      </c>
      <c r="EP8" s="555">
        <v>23989.03</v>
      </c>
      <c r="EQ8" s="555">
        <v>0</v>
      </c>
      <c r="ER8" s="555">
        <v>0</v>
      </c>
      <c r="ES8" s="555">
        <v>0</v>
      </c>
      <c r="ET8" s="557">
        <v>579776.75</v>
      </c>
      <c r="EU8" s="558">
        <v>2800190.5999999996</v>
      </c>
      <c r="EV8" s="555">
        <v>44018.69</v>
      </c>
      <c r="EW8" s="555">
        <v>46108.57</v>
      </c>
      <c r="EX8" s="555">
        <v>183378.94</v>
      </c>
      <c r="EY8" s="555">
        <v>170782.11</v>
      </c>
      <c r="EZ8" s="555">
        <v>3923.28</v>
      </c>
      <c r="FA8" s="555">
        <v>0</v>
      </c>
      <c r="FB8" s="555">
        <v>0</v>
      </c>
      <c r="FC8" s="555">
        <v>0</v>
      </c>
      <c r="FD8" s="555">
        <v>0</v>
      </c>
      <c r="FE8" s="555">
        <v>0</v>
      </c>
      <c r="FF8" s="555">
        <v>0</v>
      </c>
      <c r="FG8" s="555">
        <v>0</v>
      </c>
      <c r="FH8" s="555">
        <v>72492.19</v>
      </c>
      <c r="FI8" s="555">
        <v>0</v>
      </c>
      <c r="FJ8" s="555">
        <v>14498.45</v>
      </c>
      <c r="FK8" s="555">
        <v>0</v>
      </c>
      <c r="FL8" s="555">
        <v>52213.120000000003</v>
      </c>
      <c r="FM8" s="555">
        <v>44175.18</v>
      </c>
      <c r="FN8" s="555">
        <v>14918.83</v>
      </c>
      <c r="FO8" s="555">
        <v>2202.5</v>
      </c>
      <c r="FP8" s="555">
        <v>8352.2199999999993</v>
      </c>
      <c r="FQ8" s="555">
        <v>1302.1099999999999</v>
      </c>
      <c r="FR8" s="555">
        <v>6510.54</v>
      </c>
      <c r="FS8" s="555">
        <v>4259.6400000000003</v>
      </c>
      <c r="FT8" s="555">
        <v>24933.97</v>
      </c>
      <c r="FU8" s="555">
        <v>4155.67</v>
      </c>
      <c r="FV8" s="555">
        <v>170782.11</v>
      </c>
      <c r="FW8" s="555">
        <v>18330.37</v>
      </c>
      <c r="FX8" s="555">
        <v>2706.16</v>
      </c>
      <c r="FY8" s="555">
        <v>10246.92</v>
      </c>
      <c r="FZ8" s="555">
        <v>1599.86</v>
      </c>
      <c r="GA8" s="555">
        <v>7999.33</v>
      </c>
      <c r="GB8" s="555">
        <v>5225.93</v>
      </c>
      <c r="GC8" s="555">
        <v>30635.72</v>
      </c>
      <c r="GD8" s="555">
        <v>5105.96</v>
      </c>
      <c r="GE8" s="217"/>
      <c r="GF8" s="217"/>
      <c r="GG8" s="573">
        <v>950858.37</v>
      </c>
      <c r="GH8" s="574">
        <v>3751048.9699999997</v>
      </c>
    </row>
    <row r="9" spans="2:190" x14ac:dyDescent="0.2">
      <c r="D9" t="s">
        <v>680</v>
      </c>
      <c r="S9" s="582">
        <f>+S2/100000</f>
        <v>0</v>
      </c>
      <c r="T9" s="582">
        <f t="shared" ref="T9:CE10" si="0">+T2/100000</f>
        <v>0</v>
      </c>
      <c r="U9" s="582">
        <f t="shared" si="0"/>
        <v>0.97887999999999997</v>
      </c>
      <c r="V9" s="582">
        <f t="shared" si="0"/>
        <v>0</v>
      </c>
      <c r="W9" s="582">
        <f t="shared" si="0"/>
        <v>0</v>
      </c>
      <c r="X9" s="582">
        <f t="shared" si="0"/>
        <v>0</v>
      </c>
      <c r="Y9" s="582">
        <f t="shared" si="0"/>
        <v>0.97887999999999997</v>
      </c>
      <c r="Z9" s="582">
        <f t="shared" si="0"/>
        <v>0</v>
      </c>
      <c r="AA9" s="582">
        <f t="shared" si="0"/>
        <v>0</v>
      </c>
      <c r="AB9" s="582">
        <f t="shared" si="0"/>
        <v>0.61591300000000004</v>
      </c>
      <c r="AC9" s="582">
        <f t="shared" si="0"/>
        <v>0.10885149999999999</v>
      </c>
      <c r="AD9" s="582">
        <f t="shared" si="0"/>
        <v>2.5334409</v>
      </c>
      <c r="AE9" s="582">
        <f t="shared" si="0"/>
        <v>0</v>
      </c>
      <c r="AF9" s="582">
        <f t="shared" si="0"/>
        <v>0.44773970000000002</v>
      </c>
      <c r="AG9" s="582">
        <f t="shared" si="0"/>
        <v>0</v>
      </c>
      <c r="AH9" s="582">
        <f t="shared" si="0"/>
        <v>2.8048413999999999</v>
      </c>
      <c r="AI9" s="582">
        <f t="shared" si="0"/>
        <v>0</v>
      </c>
      <c r="AJ9" s="582">
        <f t="shared" si="0"/>
        <v>0.49570480000000006</v>
      </c>
      <c r="AK9" s="582">
        <f t="shared" si="0"/>
        <v>0</v>
      </c>
      <c r="AL9" s="582">
        <f t="shared" si="0"/>
        <v>5.6999999999999996E-6</v>
      </c>
      <c r="AM9" s="582">
        <f t="shared" si="0"/>
        <v>0</v>
      </c>
      <c r="AN9" s="582">
        <f t="shared" si="0"/>
        <v>0</v>
      </c>
      <c r="AO9" s="582">
        <f t="shared" si="0"/>
        <v>0</v>
      </c>
      <c r="AP9" s="582">
        <f t="shared" si="0"/>
        <v>0</v>
      </c>
      <c r="AQ9" s="583">
        <f t="shared" si="0"/>
        <v>2.40795</v>
      </c>
      <c r="AR9" s="582">
        <f t="shared" si="0"/>
        <v>0</v>
      </c>
      <c r="AS9" s="582">
        <f t="shared" si="0"/>
        <v>0</v>
      </c>
      <c r="AT9" s="582">
        <f t="shared" si="0"/>
        <v>0</v>
      </c>
      <c r="AU9" s="582">
        <f t="shared" si="0"/>
        <v>0</v>
      </c>
      <c r="AV9" s="582">
        <f t="shared" si="0"/>
        <v>0</v>
      </c>
      <c r="AW9" s="582">
        <f t="shared" si="0"/>
        <v>0</v>
      </c>
      <c r="AX9" s="582">
        <f t="shared" si="0"/>
        <v>0</v>
      </c>
      <c r="AY9" s="582">
        <f t="shared" si="0"/>
        <v>0</v>
      </c>
      <c r="AZ9" s="582">
        <f t="shared" si="0"/>
        <v>0</v>
      </c>
      <c r="BA9" s="582">
        <f t="shared" si="0"/>
        <v>0</v>
      </c>
      <c r="BB9" s="582">
        <f t="shared" si="0"/>
        <v>0</v>
      </c>
      <c r="BC9" s="582">
        <f t="shared" si="0"/>
        <v>0</v>
      </c>
      <c r="BD9" s="582">
        <f t="shared" si="0"/>
        <v>0</v>
      </c>
      <c r="BE9" s="582">
        <f t="shared" si="0"/>
        <v>0</v>
      </c>
      <c r="BF9" s="582">
        <f t="shared" si="0"/>
        <v>0</v>
      </c>
      <c r="BG9" s="582">
        <f t="shared" si="0"/>
        <v>0</v>
      </c>
      <c r="BH9" s="582">
        <f t="shared" si="0"/>
        <v>0</v>
      </c>
      <c r="BI9" s="582">
        <f t="shared" si="0"/>
        <v>0</v>
      </c>
      <c r="BJ9" s="582">
        <f t="shared" si="0"/>
        <v>0</v>
      </c>
      <c r="BK9" s="582">
        <f t="shared" si="0"/>
        <v>1.9263600000000001</v>
      </c>
      <c r="BL9" s="582">
        <f t="shared" si="0"/>
        <v>0</v>
      </c>
      <c r="BM9" s="582">
        <f t="shared" si="0"/>
        <v>9.8750000000000004E-2</v>
      </c>
      <c r="BN9" s="582">
        <f t="shared" si="0"/>
        <v>0.52974900000000003</v>
      </c>
      <c r="BO9" s="582">
        <f t="shared" si="0"/>
        <v>0</v>
      </c>
      <c r="BP9" s="582">
        <f t="shared" si="0"/>
        <v>0.28767999999999999</v>
      </c>
      <c r="BQ9" s="582">
        <f t="shared" si="0"/>
        <v>0</v>
      </c>
      <c r="BR9" s="582">
        <f t="shared" si="0"/>
        <v>0</v>
      </c>
      <c r="BS9" s="582">
        <f t="shared" si="0"/>
        <v>0</v>
      </c>
      <c r="BT9" s="582">
        <f t="shared" si="0"/>
        <v>0</v>
      </c>
      <c r="BU9" s="582">
        <f t="shared" si="0"/>
        <v>0</v>
      </c>
      <c r="BV9" s="582">
        <f t="shared" si="0"/>
        <v>3.0310320000000002</v>
      </c>
      <c r="BW9" s="582">
        <f t="shared" si="0"/>
        <v>0</v>
      </c>
      <c r="BX9" s="582">
        <f t="shared" si="0"/>
        <v>0</v>
      </c>
      <c r="BY9" s="582">
        <f t="shared" si="0"/>
        <v>0</v>
      </c>
      <c r="BZ9" s="582">
        <f t="shared" si="0"/>
        <v>0.62703239999999993</v>
      </c>
      <c r="CA9" s="582">
        <f t="shared" si="0"/>
        <v>0</v>
      </c>
      <c r="CB9" s="582">
        <f t="shared" si="0"/>
        <v>0.82308000000000003</v>
      </c>
      <c r="CC9" s="582">
        <f t="shared" si="0"/>
        <v>0</v>
      </c>
      <c r="CD9" s="582">
        <f t="shared" si="0"/>
        <v>0.46106999999999998</v>
      </c>
      <c r="CE9" s="582">
        <f t="shared" si="0"/>
        <v>0</v>
      </c>
      <c r="CF9" s="582">
        <f t="shared" ref="CF9:EQ12" si="1">+CF2/100000</f>
        <v>0.46106999999999998</v>
      </c>
      <c r="CG9" s="582">
        <f t="shared" si="1"/>
        <v>0.42379919999999999</v>
      </c>
      <c r="CH9" s="582">
        <f t="shared" si="1"/>
        <v>0</v>
      </c>
      <c r="CI9" s="582">
        <f t="shared" si="1"/>
        <v>0</v>
      </c>
      <c r="CJ9" s="582">
        <f t="shared" si="1"/>
        <v>0</v>
      </c>
      <c r="CK9" s="582">
        <f t="shared" si="1"/>
        <v>0</v>
      </c>
      <c r="CL9" s="582">
        <f t="shared" si="1"/>
        <v>0</v>
      </c>
      <c r="CM9" s="582">
        <f t="shared" si="1"/>
        <v>0</v>
      </c>
      <c r="CN9" s="582">
        <f t="shared" si="1"/>
        <v>0</v>
      </c>
      <c r="CO9" s="582">
        <f t="shared" si="1"/>
        <v>0</v>
      </c>
      <c r="CP9" s="582">
        <f t="shared" si="1"/>
        <v>0</v>
      </c>
      <c r="CQ9" s="582">
        <f t="shared" si="1"/>
        <v>0</v>
      </c>
      <c r="CR9" s="582">
        <f t="shared" si="1"/>
        <v>0</v>
      </c>
      <c r="CS9" s="582">
        <f t="shared" si="1"/>
        <v>0</v>
      </c>
      <c r="CT9" s="582">
        <f t="shared" si="1"/>
        <v>0</v>
      </c>
      <c r="CU9" s="582">
        <f t="shared" si="1"/>
        <v>0</v>
      </c>
      <c r="CV9" s="582">
        <f t="shared" si="1"/>
        <v>3.2261272999999999</v>
      </c>
      <c r="CW9" s="582">
        <f t="shared" si="1"/>
        <v>0</v>
      </c>
      <c r="CX9" s="582">
        <f t="shared" si="1"/>
        <v>0</v>
      </c>
      <c r="CY9" s="582">
        <f t="shared" si="1"/>
        <v>0</v>
      </c>
      <c r="CZ9" s="582">
        <f t="shared" si="1"/>
        <v>0.36168129999999998</v>
      </c>
      <c r="DA9" s="582">
        <f t="shared" si="1"/>
        <v>0</v>
      </c>
      <c r="DB9" s="582">
        <f t="shared" si="1"/>
        <v>0.36168129999999998</v>
      </c>
      <c r="DC9" s="582">
        <f t="shared" si="1"/>
        <v>0</v>
      </c>
      <c r="DD9" s="582">
        <f t="shared" si="1"/>
        <v>0.60125470000000003</v>
      </c>
      <c r="DE9" s="582">
        <f t="shared" si="1"/>
        <v>0</v>
      </c>
      <c r="DF9" s="582">
        <f t="shared" si="1"/>
        <v>0</v>
      </c>
      <c r="DG9" s="582">
        <f t="shared" si="1"/>
        <v>0</v>
      </c>
      <c r="DH9" s="582">
        <f t="shared" si="1"/>
        <v>0</v>
      </c>
      <c r="DI9" s="582">
        <f t="shared" si="1"/>
        <v>0</v>
      </c>
      <c r="DJ9" s="582">
        <f t="shared" si="1"/>
        <v>1.2185330000000001</v>
      </c>
      <c r="DK9" s="582">
        <f t="shared" si="1"/>
        <v>0</v>
      </c>
      <c r="DL9" s="582">
        <f t="shared" si="1"/>
        <v>0.33232719999999999</v>
      </c>
      <c r="DM9" s="582">
        <f t="shared" si="1"/>
        <v>0</v>
      </c>
      <c r="DN9" s="582">
        <f t="shared" si="1"/>
        <v>0.33232719999999999</v>
      </c>
      <c r="DO9" s="582">
        <f t="shared" si="1"/>
        <v>0</v>
      </c>
      <c r="DP9" s="582">
        <f t="shared" si="1"/>
        <v>0</v>
      </c>
      <c r="DQ9" s="582">
        <f t="shared" si="1"/>
        <v>0</v>
      </c>
      <c r="DR9" s="582">
        <f t="shared" si="1"/>
        <v>0.10915760000000001</v>
      </c>
      <c r="DS9" s="583">
        <f t="shared" si="1"/>
        <v>20.041829599999996</v>
      </c>
      <c r="DT9" s="582">
        <f t="shared" si="1"/>
        <v>0.33897370000000004</v>
      </c>
      <c r="DU9" s="582">
        <f t="shared" si="1"/>
        <v>0</v>
      </c>
      <c r="DV9" s="582">
        <f t="shared" si="1"/>
        <v>0.2743061</v>
      </c>
      <c r="DW9" s="582">
        <f t="shared" si="1"/>
        <v>5.5199999999999997E-3</v>
      </c>
      <c r="DX9" s="582">
        <f t="shared" si="1"/>
        <v>1.1855116000000001</v>
      </c>
      <c r="DY9" s="582">
        <f t="shared" si="1"/>
        <v>0</v>
      </c>
      <c r="DZ9" s="582">
        <f t="shared" si="1"/>
        <v>0.51735419999999999</v>
      </c>
      <c r="EA9" s="582">
        <f t="shared" si="1"/>
        <v>0</v>
      </c>
      <c r="EB9" s="582">
        <f t="shared" si="1"/>
        <v>0.1034708</v>
      </c>
      <c r="EC9" s="582">
        <f t="shared" si="1"/>
        <v>0</v>
      </c>
      <c r="ED9" s="582">
        <f t="shared" si="1"/>
        <v>0.1750198</v>
      </c>
      <c r="EE9" s="582">
        <f t="shared" si="1"/>
        <v>0</v>
      </c>
      <c r="EF9" s="582">
        <f t="shared" si="1"/>
        <v>0.66465439999999998</v>
      </c>
      <c r="EG9" s="582">
        <f t="shared" si="1"/>
        <v>0</v>
      </c>
      <c r="EH9" s="582">
        <f t="shared" si="1"/>
        <v>0.71548979999999995</v>
      </c>
      <c r="EI9" s="582">
        <f t="shared" si="1"/>
        <v>0</v>
      </c>
      <c r="EJ9" s="582">
        <f t="shared" si="1"/>
        <v>0</v>
      </c>
      <c r="EK9" s="582">
        <f t="shared" si="1"/>
        <v>7.8359999999999996E-4</v>
      </c>
      <c r="EL9" s="582">
        <f t="shared" si="1"/>
        <v>0.22155159999999999</v>
      </c>
      <c r="EM9" s="582">
        <f t="shared" si="1"/>
        <v>0.94267999999999996</v>
      </c>
      <c r="EN9" s="582">
        <f t="shared" si="1"/>
        <v>0</v>
      </c>
      <c r="EO9" s="582">
        <f t="shared" si="1"/>
        <v>0.42038949999999997</v>
      </c>
      <c r="EP9" s="582">
        <f t="shared" si="1"/>
        <v>0.22155150000000001</v>
      </c>
      <c r="EQ9" s="582">
        <f t="shared" si="1"/>
        <v>0</v>
      </c>
      <c r="ER9" s="582">
        <f t="shared" ref="ER9:GD11" si="2">+ER2/100000</f>
        <v>0</v>
      </c>
      <c r="ES9" s="582">
        <f t="shared" si="2"/>
        <v>0</v>
      </c>
      <c r="ET9" s="582">
        <f t="shared" si="2"/>
        <v>5.7872565999999992</v>
      </c>
      <c r="EU9" s="583">
        <f t="shared" si="2"/>
        <v>25.829086199999995</v>
      </c>
      <c r="EV9" s="582">
        <f t="shared" si="2"/>
        <v>0.16494549999999999</v>
      </c>
      <c r="EW9" s="582">
        <f t="shared" si="2"/>
        <v>0.41970750000000001</v>
      </c>
      <c r="EX9" s="582">
        <f t="shared" si="2"/>
        <v>0.80454970000000003</v>
      </c>
      <c r="EY9" s="582">
        <f t="shared" si="2"/>
        <v>1.5549075000000001</v>
      </c>
      <c r="EZ9" s="582">
        <f t="shared" si="2"/>
        <v>2.2515199999999999E-2</v>
      </c>
      <c r="FA9" s="582">
        <f t="shared" si="2"/>
        <v>0</v>
      </c>
      <c r="FB9" s="582">
        <f t="shared" si="2"/>
        <v>0</v>
      </c>
      <c r="FC9" s="582">
        <f t="shared" si="2"/>
        <v>0</v>
      </c>
      <c r="FD9" s="582">
        <f t="shared" si="2"/>
        <v>0</v>
      </c>
      <c r="FE9" s="582">
        <f t="shared" si="2"/>
        <v>0</v>
      </c>
      <c r="FF9" s="582">
        <f t="shared" si="2"/>
        <v>0</v>
      </c>
      <c r="FG9" s="582">
        <f t="shared" si="2"/>
        <v>0</v>
      </c>
      <c r="FH9" s="582">
        <f t="shared" si="2"/>
        <v>0.41602330000000004</v>
      </c>
      <c r="FI9" s="582">
        <f t="shared" si="2"/>
        <v>0</v>
      </c>
      <c r="FJ9" s="582">
        <f t="shared" si="2"/>
        <v>8.320459999999999E-2</v>
      </c>
      <c r="FK9" s="582">
        <f t="shared" si="2"/>
        <v>0</v>
      </c>
      <c r="FL9" s="582">
        <f t="shared" si="2"/>
        <v>0.30532179999999998</v>
      </c>
      <c r="FM9" s="582">
        <f t="shared" si="2"/>
        <v>0</v>
      </c>
      <c r="FN9" s="582">
        <f t="shared" si="2"/>
        <v>8.6209999999999995E-2</v>
      </c>
      <c r="FO9" s="582">
        <f t="shared" si="2"/>
        <v>1.27274E-2</v>
      </c>
      <c r="FP9" s="582">
        <f t="shared" si="2"/>
        <v>4.8273000000000003E-2</v>
      </c>
      <c r="FQ9" s="582">
        <f t="shared" si="2"/>
        <v>7.5242999999999994E-3</v>
      </c>
      <c r="FR9" s="582">
        <f t="shared" si="2"/>
        <v>3.7621799999999997E-2</v>
      </c>
      <c r="FS9" s="582">
        <f t="shared" si="2"/>
        <v>2.4619200000000001E-2</v>
      </c>
      <c r="FT9" s="582">
        <f t="shared" si="2"/>
        <v>0.14408360000000001</v>
      </c>
      <c r="FU9" s="582">
        <f t="shared" si="2"/>
        <v>5.2030200000000006E-2</v>
      </c>
      <c r="FV9" s="583">
        <f t="shared" si="2"/>
        <v>1.5549075000000001</v>
      </c>
      <c r="FW9" s="582">
        <f t="shared" si="2"/>
        <v>0.16683490000000001</v>
      </c>
      <c r="FX9" s="582">
        <f t="shared" si="2"/>
        <v>2.4630300000000001E-2</v>
      </c>
      <c r="FY9" s="582">
        <f t="shared" si="2"/>
        <v>9.3294500000000002E-2</v>
      </c>
      <c r="FZ9" s="582">
        <f t="shared" si="2"/>
        <v>1.4561199999999998E-2</v>
      </c>
      <c r="GA9" s="582">
        <f t="shared" si="2"/>
        <v>7.2806400000000007E-2</v>
      </c>
      <c r="GB9" s="582">
        <f t="shared" si="2"/>
        <v>4.7580200000000003E-2</v>
      </c>
      <c r="GC9" s="582">
        <f t="shared" si="2"/>
        <v>0.27883279999999999</v>
      </c>
      <c r="GD9" s="582">
        <f t="shared" si="2"/>
        <v>0.10068959999999999</v>
      </c>
      <c r="GE9" s="582"/>
      <c r="GF9" s="582"/>
      <c r="GG9" s="582">
        <f>+GG2/100000</f>
        <v>6.5384019999999996</v>
      </c>
      <c r="GH9" s="582">
        <f t="shared" ref="GH9" si="3">+GH2/100000</f>
        <v>32.367488199999997</v>
      </c>
    </row>
    <row r="10" spans="2:190" x14ac:dyDescent="0.2">
      <c r="D10" t="s">
        <v>693</v>
      </c>
      <c r="S10" s="582">
        <f t="shared" ref="S10:AH15" si="4">+S3/100000</f>
        <v>0</v>
      </c>
      <c r="T10" s="582">
        <f t="shared" si="4"/>
        <v>0</v>
      </c>
      <c r="U10" s="582">
        <f t="shared" si="4"/>
        <v>1.28478</v>
      </c>
      <c r="V10" s="582">
        <f t="shared" si="4"/>
        <v>0</v>
      </c>
      <c r="W10" s="582">
        <f t="shared" si="4"/>
        <v>0</v>
      </c>
      <c r="X10" s="582">
        <f t="shared" si="4"/>
        <v>0</v>
      </c>
      <c r="Y10" s="582">
        <f t="shared" si="4"/>
        <v>1.28478</v>
      </c>
      <c r="Z10" s="582">
        <f t="shared" si="4"/>
        <v>0</v>
      </c>
      <c r="AA10" s="582">
        <f t="shared" si="4"/>
        <v>0</v>
      </c>
      <c r="AB10" s="582">
        <f t="shared" si="4"/>
        <v>0.65341579999999999</v>
      </c>
      <c r="AC10" s="582">
        <f t="shared" si="4"/>
        <v>0.14286750000000001</v>
      </c>
      <c r="AD10" s="582">
        <f t="shared" si="4"/>
        <v>2.6877011999999998</v>
      </c>
      <c r="AE10" s="582">
        <f t="shared" si="4"/>
        <v>0</v>
      </c>
      <c r="AF10" s="582">
        <f t="shared" si="4"/>
        <v>0.58765839999999991</v>
      </c>
      <c r="AG10" s="582">
        <f t="shared" si="4"/>
        <v>0</v>
      </c>
      <c r="AH10" s="582">
        <f t="shared" si="4"/>
        <v>2.9756272999999998</v>
      </c>
      <c r="AI10" s="582">
        <f t="shared" si="0"/>
        <v>0</v>
      </c>
      <c r="AJ10" s="582">
        <f t="shared" si="0"/>
        <v>0.65061259999999999</v>
      </c>
      <c r="AK10" s="582">
        <f t="shared" si="0"/>
        <v>0</v>
      </c>
      <c r="AL10" s="582">
        <f t="shared" si="0"/>
        <v>5.6000000000000006E-6</v>
      </c>
      <c r="AM10" s="582">
        <f t="shared" si="0"/>
        <v>0</v>
      </c>
      <c r="AN10" s="582">
        <f t="shared" si="0"/>
        <v>0</v>
      </c>
      <c r="AO10" s="582">
        <f t="shared" si="0"/>
        <v>0</v>
      </c>
      <c r="AP10" s="582">
        <f t="shared" si="0"/>
        <v>0</v>
      </c>
      <c r="AQ10" s="583">
        <f t="shared" si="0"/>
        <v>2.40795</v>
      </c>
      <c r="AR10" s="582">
        <f t="shared" si="0"/>
        <v>0</v>
      </c>
      <c r="AS10" s="582">
        <f t="shared" si="0"/>
        <v>0</v>
      </c>
      <c r="AT10" s="582">
        <f t="shared" si="0"/>
        <v>0</v>
      </c>
      <c r="AU10" s="582">
        <f t="shared" si="0"/>
        <v>0</v>
      </c>
      <c r="AV10" s="582">
        <f t="shared" si="0"/>
        <v>0</v>
      </c>
      <c r="AW10" s="582">
        <f t="shared" si="0"/>
        <v>0</v>
      </c>
      <c r="AX10" s="582">
        <f t="shared" si="0"/>
        <v>0</v>
      </c>
      <c r="AY10" s="582">
        <f t="shared" si="0"/>
        <v>0</v>
      </c>
      <c r="AZ10" s="582">
        <f t="shared" si="0"/>
        <v>0</v>
      </c>
      <c r="BA10" s="582">
        <f t="shared" si="0"/>
        <v>0</v>
      </c>
      <c r="BB10" s="582">
        <f t="shared" si="0"/>
        <v>0</v>
      </c>
      <c r="BC10" s="582">
        <f t="shared" si="0"/>
        <v>0</v>
      </c>
      <c r="BD10" s="582">
        <f t="shared" si="0"/>
        <v>0</v>
      </c>
      <c r="BE10" s="582">
        <f t="shared" si="0"/>
        <v>0</v>
      </c>
      <c r="BF10" s="582">
        <f t="shared" si="0"/>
        <v>0</v>
      </c>
      <c r="BG10" s="582">
        <f t="shared" si="0"/>
        <v>0</v>
      </c>
      <c r="BH10" s="582">
        <f t="shared" si="0"/>
        <v>0</v>
      </c>
      <c r="BI10" s="582">
        <f t="shared" si="0"/>
        <v>0</v>
      </c>
      <c r="BJ10" s="582">
        <f t="shared" si="0"/>
        <v>0</v>
      </c>
      <c r="BK10" s="582">
        <f t="shared" si="0"/>
        <v>1.9263600000000001</v>
      </c>
      <c r="BL10" s="582">
        <f t="shared" si="0"/>
        <v>0</v>
      </c>
      <c r="BM10" s="582">
        <f t="shared" si="0"/>
        <v>0.23699999999999999</v>
      </c>
      <c r="BN10" s="582">
        <f t="shared" si="0"/>
        <v>0.52974900000000003</v>
      </c>
      <c r="BO10" s="582">
        <f t="shared" si="0"/>
        <v>0</v>
      </c>
      <c r="BP10" s="582">
        <f t="shared" si="0"/>
        <v>0</v>
      </c>
      <c r="BQ10" s="582">
        <f t="shared" si="0"/>
        <v>0</v>
      </c>
      <c r="BR10" s="582">
        <f t="shared" si="0"/>
        <v>0</v>
      </c>
      <c r="BS10" s="582">
        <f t="shared" si="0"/>
        <v>0</v>
      </c>
      <c r="BT10" s="582">
        <f t="shared" si="0"/>
        <v>0</v>
      </c>
      <c r="BU10" s="582">
        <f t="shared" si="0"/>
        <v>0</v>
      </c>
      <c r="BV10" s="582">
        <f t="shared" si="0"/>
        <v>3.816792</v>
      </c>
      <c r="BW10" s="582">
        <f t="shared" si="0"/>
        <v>0</v>
      </c>
      <c r="BX10" s="582">
        <f t="shared" si="0"/>
        <v>0</v>
      </c>
      <c r="BY10" s="582">
        <f t="shared" si="0"/>
        <v>0</v>
      </c>
      <c r="BZ10" s="582">
        <f t="shared" si="0"/>
        <v>0.66521220000000003</v>
      </c>
      <c r="CA10" s="582">
        <f t="shared" si="0"/>
        <v>0</v>
      </c>
      <c r="CB10" s="582">
        <f t="shared" si="0"/>
        <v>0.82308000000000003</v>
      </c>
      <c r="CC10" s="582">
        <f t="shared" si="0"/>
        <v>0</v>
      </c>
      <c r="CD10" s="582">
        <f t="shared" si="0"/>
        <v>0.46106999999999998</v>
      </c>
      <c r="CE10" s="582">
        <f t="shared" si="0"/>
        <v>0</v>
      </c>
      <c r="CF10" s="582">
        <f t="shared" si="1"/>
        <v>0.46106999999999998</v>
      </c>
      <c r="CG10" s="582">
        <f t="shared" si="1"/>
        <v>0.42379919999999999</v>
      </c>
      <c r="CH10" s="582">
        <f t="shared" si="1"/>
        <v>0</v>
      </c>
      <c r="CI10" s="582">
        <f t="shared" si="1"/>
        <v>0</v>
      </c>
      <c r="CJ10" s="582">
        <f t="shared" si="1"/>
        <v>0</v>
      </c>
      <c r="CK10" s="582">
        <f t="shared" si="1"/>
        <v>0</v>
      </c>
      <c r="CL10" s="582">
        <f t="shared" si="1"/>
        <v>0</v>
      </c>
      <c r="CM10" s="582">
        <f t="shared" si="1"/>
        <v>0</v>
      </c>
      <c r="CN10" s="582">
        <f t="shared" si="1"/>
        <v>0</v>
      </c>
      <c r="CO10" s="582">
        <f t="shared" si="1"/>
        <v>0</v>
      </c>
      <c r="CP10" s="582">
        <f t="shared" si="1"/>
        <v>0</v>
      </c>
      <c r="CQ10" s="582">
        <f t="shared" si="1"/>
        <v>0</v>
      </c>
      <c r="CR10" s="582">
        <f t="shared" si="1"/>
        <v>0</v>
      </c>
      <c r="CS10" s="582">
        <f t="shared" si="1"/>
        <v>0</v>
      </c>
      <c r="CT10" s="582">
        <f t="shared" si="1"/>
        <v>0</v>
      </c>
      <c r="CU10" s="582">
        <f t="shared" si="1"/>
        <v>0</v>
      </c>
      <c r="CV10" s="582">
        <f t="shared" si="1"/>
        <v>0</v>
      </c>
      <c r="CW10" s="582">
        <f t="shared" si="1"/>
        <v>0</v>
      </c>
      <c r="CX10" s="582">
        <f t="shared" si="1"/>
        <v>0</v>
      </c>
      <c r="CY10" s="582">
        <f t="shared" si="1"/>
        <v>0</v>
      </c>
      <c r="CZ10" s="582">
        <f t="shared" si="1"/>
        <v>0.38899929999999999</v>
      </c>
      <c r="DA10" s="582">
        <f t="shared" si="1"/>
        <v>0</v>
      </c>
      <c r="DB10" s="582">
        <f t="shared" si="1"/>
        <v>0.38899929999999999</v>
      </c>
      <c r="DC10" s="582">
        <f t="shared" si="1"/>
        <v>0</v>
      </c>
      <c r="DD10" s="582">
        <f t="shared" si="1"/>
        <v>0.6605858</v>
      </c>
      <c r="DE10" s="582">
        <f t="shared" si="1"/>
        <v>0</v>
      </c>
      <c r="DF10" s="582">
        <f t="shared" si="1"/>
        <v>0</v>
      </c>
      <c r="DG10" s="582">
        <f t="shared" si="1"/>
        <v>0</v>
      </c>
      <c r="DH10" s="582">
        <f t="shared" si="1"/>
        <v>0</v>
      </c>
      <c r="DI10" s="582">
        <f t="shared" si="1"/>
        <v>0</v>
      </c>
      <c r="DJ10" s="582">
        <f t="shared" si="1"/>
        <v>1.2927291000000001</v>
      </c>
      <c r="DK10" s="582">
        <f t="shared" si="1"/>
        <v>0</v>
      </c>
      <c r="DL10" s="582">
        <f t="shared" si="1"/>
        <v>0.3525625</v>
      </c>
      <c r="DM10" s="582">
        <f t="shared" si="1"/>
        <v>0</v>
      </c>
      <c r="DN10" s="582">
        <f t="shared" si="1"/>
        <v>0.3525625</v>
      </c>
      <c r="DO10" s="582">
        <f t="shared" si="1"/>
        <v>0</v>
      </c>
      <c r="DP10" s="582">
        <f t="shared" si="1"/>
        <v>0</v>
      </c>
      <c r="DQ10" s="582">
        <f t="shared" si="1"/>
        <v>0</v>
      </c>
      <c r="DR10" s="582">
        <f t="shared" si="1"/>
        <v>8.8922299999999996E-2</v>
      </c>
      <c r="DS10" s="583">
        <f t="shared" si="1"/>
        <v>22.019530799999995</v>
      </c>
      <c r="DT10" s="582">
        <f t="shared" si="1"/>
        <v>0.35961370000000004</v>
      </c>
      <c r="DU10" s="582">
        <f t="shared" si="1"/>
        <v>0</v>
      </c>
      <c r="DV10" s="582">
        <f t="shared" si="1"/>
        <v>0.31418370000000001</v>
      </c>
      <c r="DW10" s="582">
        <f t="shared" si="1"/>
        <v>5.5199999999999997E-3</v>
      </c>
      <c r="DX10" s="582">
        <f t="shared" si="1"/>
        <v>1.2581563</v>
      </c>
      <c r="DY10" s="582">
        <f t="shared" si="1"/>
        <v>0</v>
      </c>
      <c r="DZ10" s="582">
        <f t="shared" si="1"/>
        <v>0.54905610000000005</v>
      </c>
      <c r="EA10" s="582">
        <f t="shared" si="1"/>
        <v>0</v>
      </c>
      <c r="EB10" s="582">
        <f t="shared" si="1"/>
        <v>0.10981120000000001</v>
      </c>
      <c r="EC10" s="582">
        <f t="shared" si="1"/>
        <v>0</v>
      </c>
      <c r="ED10" s="582">
        <f t="shared" si="1"/>
        <v>0.18574450000000001</v>
      </c>
      <c r="EE10" s="582">
        <f t="shared" si="1"/>
        <v>0</v>
      </c>
      <c r="EF10" s="582">
        <f t="shared" si="1"/>
        <v>0.70512490000000005</v>
      </c>
      <c r="EG10" s="582">
        <f t="shared" si="1"/>
        <v>0</v>
      </c>
      <c r="EH10" s="582">
        <f t="shared" si="1"/>
        <v>0.44391769999999997</v>
      </c>
      <c r="EI10" s="582">
        <f t="shared" si="1"/>
        <v>0</v>
      </c>
      <c r="EJ10" s="582">
        <f t="shared" si="1"/>
        <v>0</v>
      </c>
      <c r="EK10" s="582">
        <f t="shared" si="1"/>
        <v>7.8359999999999996E-4</v>
      </c>
      <c r="EL10" s="582">
        <f t="shared" si="1"/>
        <v>0.23504159999999999</v>
      </c>
      <c r="EM10" s="582">
        <f t="shared" si="1"/>
        <v>0.94267999999999996</v>
      </c>
      <c r="EN10" s="582">
        <f t="shared" si="1"/>
        <v>0</v>
      </c>
      <c r="EO10" s="582">
        <f t="shared" si="1"/>
        <v>0.46187300000000003</v>
      </c>
      <c r="EP10" s="582">
        <f t="shared" si="1"/>
        <v>0.23504159999999999</v>
      </c>
      <c r="EQ10" s="582">
        <f t="shared" si="1"/>
        <v>0</v>
      </c>
      <c r="ER10" s="582">
        <f t="shared" si="2"/>
        <v>0</v>
      </c>
      <c r="ES10" s="582">
        <f t="shared" si="2"/>
        <v>0</v>
      </c>
      <c r="ET10" s="582">
        <f t="shared" si="2"/>
        <v>5.8065479</v>
      </c>
      <c r="EU10" s="583">
        <f t="shared" si="2"/>
        <v>27.826078699999997</v>
      </c>
      <c r="EV10" s="582">
        <f t="shared" si="2"/>
        <v>0.2186082</v>
      </c>
      <c r="EW10" s="582">
        <f t="shared" si="2"/>
        <v>0.50471900000000003</v>
      </c>
      <c r="EX10" s="582">
        <f t="shared" si="2"/>
        <v>0.94316649999999991</v>
      </c>
      <c r="EY10" s="582">
        <f t="shared" si="2"/>
        <v>1.8690671999999999</v>
      </c>
      <c r="EZ10" s="582">
        <f t="shared" si="2"/>
        <v>3.0558499999999999E-2</v>
      </c>
      <c r="FA10" s="582">
        <f t="shared" si="2"/>
        <v>0</v>
      </c>
      <c r="FB10" s="582">
        <f t="shared" si="2"/>
        <v>0</v>
      </c>
      <c r="FC10" s="582">
        <f t="shared" si="2"/>
        <v>0</v>
      </c>
      <c r="FD10" s="582">
        <f t="shared" si="2"/>
        <v>0</v>
      </c>
      <c r="FE10" s="582">
        <f t="shared" si="2"/>
        <v>0</v>
      </c>
      <c r="FF10" s="582">
        <f t="shared" si="2"/>
        <v>0</v>
      </c>
      <c r="FG10" s="582">
        <f t="shared" si="2"/>
        <v>0</v>
      </c>
      <c r="FH10" s="582">
        <f t="shared" si="2"/>
        <v>0.56464259999999999</v>
      </c>
      <c r="FI10" s="582">
        <f t="shared" si="2"/>
        <v>0</v>
      </c>
      <c r="FJ10" s="582">
        <f t="shared" si="2"/>
        <v>0.1129286</v>
      </c>
      <c r="FK10" s="582">
        <f t="shared" si="2"/>
        <v>0</v>
      </c>
      <c r="FL10" s="582">
        <f t="shared" si="2"/>
        <v>0.26559529999999998</v>
      </c>
      <c r="FM10" s="582">
        <f t="shared" si="2"/>
        <v>0</v>
      </c>
      <c r="FN10" s="582">
        <f t="shared" si="2"/>
        <v>0.10099319999999999</v>
      </c>
      <c r="FO10" s="582">
        <f t="shared" si="2"/>
        <v>1.49099E-2</v>
      </c>
      <c r="FP10" s="582">
        <f t="shared" si="2"/>
        <v>5.6590000000000001E-2</v>
      </c>
      <c r="FQ10" s="582">
        <f t="shared" si="2"/>
        <v>8.8146000000000006E-3</v>
      </c>
      <c r="FR10" s="582">
        <f t="shared" si="2"/>
        <v>4.40732E-2</v>
      </c>
      <c r="FS10" s="582">
        <f t="shared" si="2"/>
        <v>2.8860900000000002E-2</v>
      </c>
      <c r="FT10" s="582">
        <f t="shared" si="2"/>
        <v>0.16879089999999999</v>
      </c>
      <c r="FU10" s="582">
        <f t="shared" si="2"/>
        <v>3.5633600000000001E-2</v>
      </c>
      <c r="FV10" s="583">
        <f t="shared" si="2"/>
        <v>1.8690671999999999</v>
      </c>
      <c r="FW10" s="582">
        <f t="shared" si="2"/>
        <v>0.20066990000000001</v>
      </c>
      <c r="FX10" s="582">
        <f t="shared" si="2"/>
        <v>2.9625300000000004E-2</v>
      </c>
      <c r="FY10" s="582">
        <f t="shared" si="2"/>
        <v>0.1121441</v>
      </c>
      <c r="FZ10" s="582">
        <f t="shared" si="2"/>
        <v>1.7514399999999999E-2</v>
      </c>
      <c r="GA10" s="582">
        <f t="shared" si="2"/>
        <v>8.7571900000000008E-2</v>
      </c>
      <c r="GB10" s="582">
        <f t="shared" si="2"/>
        <v>5.7193399999999998E-2</v>
      </c>
      <c r="GC10" s="582">
        <f t="shared" si="2"/>
        <v>0.33538160000000006</v>
      </c>
      <c r="GD10" s="582">
        <f t="shared" si="2"/>
        <v>7.0802799999999999E-2</v>
      </c>
      <c r="GE10" s="582"/>
      <c r="GF10" s="582"/>
      <c r="GG10" s="582">
        <f t="shared" ref="GG10:GH10" si="5">+GG3/100000</f>
        <v>7.7479228000000004</v>
      </c>
      <c r="GH10" s="582">
        <f t="shared" si="5"/>
        <v>35.574001499999994</v>
      </c>
    </row>
    <row r="11" spans="2:190" x14ac:dyDescent="0.2">
      <c r="C11" t="s">
        <v>515</v>
      </c>
      <c r="D11" t="s">
        <v>700</v>
      </c>
      <c r="S11" s="582">
        <f t="shared" si="4"/>
        <v>0</v>
      </c>
      <c r="T11" s="582">
        <f t="shared" ref="T11:CE14" si="6">+T4/100000</f>
        <v>1.28478</v>
      </c>
      <c r="U11" s="582">
        <f t="shared" si="6"/>
        <v>0</v>
      </c>
      <c r="V11" s="582">
        <f t="shared" si="6"/>
        <v>0</v>
      </c>
      <c r="W11" s="582">
        <f t="shared" si="6"/>
        <v>0.42775000000000002</v>
      </c>
      <c r="X11" s="582">
        <f t="shared" si="6"/>
        <v>0</v>
      </c>
      <c r="Y11" s="582">
        <f t="shared" si="6"/>
        <v>1.5295000000000001</v>
      </c>
      <c r="Z11" s="582">
        <f t="shared" si="6"/>
        <v>0</v>
      </c>
      <c r="AA11" s="582">
        <f t="shared" si="6"/>
        <v>0</v>
      </c>
      <c r="AB11" s="582">
        <f t="shared" si="6"/>
        <v>0.88397870000000001</v>
      </c>
      <c r="AC11" s="582">
        <f t="shared" si="6"/>
        <v>0.1802569</v>
      </c>
      <c r="AD11" s="582">
        <f t="shared" si="6"/>
        <v>3.6360778000000002</v>
      </c>
      <c r="AE11" s="582">
        <f t="shared" si="6"/>
        <v>0</v>
      </c>
      <c r="AF11" s="582">
        <f t="shared" si="6"/>
        <v>0.74145229999999995</v>
      </c>
      <c r="AG11" s="582">
        <f t="shared" si="6"/>
        <v>0</v>
      </c>
      <c r="AH11" s="582">
        <f t="shared" si="6"/>
        <v>4.0256008000000003</v>
      </c>
      <c r="AI11" s="582">
        <f t="shared" si="6"/>
        <v>0</v>
      </c>
      <c r="AJ11" s="582">
        <f t="shared" si="6"/>
        <v>0.820882</v>
      </c>
      <c r="AK11" s="582">
        <f t="shared" si="6"/>
        <v>0</v>
      </c>
      <c r="AL11" s="582">
        <f t="shared" si="6"/>
        <v>2.2000000000000001E-6</v>
      </c>
      <c r="AM11" s="582">
        <f t="shared" si="6"/>
        <v>0</v>
      </c>
      <c r="AN11" s="582">
        <f t="shared" si="6"/>
        <v>0</v>
      </c>
      <c r="AO11" s="582">
        <f t="shared" si="6"/>
        <v>0</v>
      </c>
      <c r="AP11" s="582">
        <f t="shared" si="6"/>
        <v>0</v>
      </c>
      <c r="AQ11" s="583">
        <f t="shared" si="6"/>
        <v>10.420809999999999</v>
      </c>
      <c r="AR11" s="582">
        <f t="shared" si="6"/>
        <v>0</v>
      </c>
      <c r="AS11" s="582">
        <f t="shared" si="6"/>
        <v>0</v>
      </c>
      <c r="AT11" s="582">
        <f t="shared" si="6"/>
        <v>0</v>
      </c>
      <c r="AU11" s="582">
        <f t="shared" si="6"/>
        <v>0</v>
      </c>
      <c r="AV11" s="582">
        <f t="shared" si="6"/>
        <v>0</v>
      </c>
      <c r="AW11" s="582">
        <f t="shared" si="6"/>
        <v>0</v>
      </c>
      <c r="AX11" s="582">
        <f t="shared" si="6"/>
        <v>0</v>
      </c>
      <c r="AY11" s="582">
        <f t="shared" si="6"/>
        <v>0</v>
      </c>
      <c r="AZ11" s="582">
        <f t="shared" si="6"/>
        <v>0</v>
      </c>
      <c r="BA11" s="582">
        <f t="shared" si="6"/>
        <v>0</v>
      </c>
      <c r="BB11" s="582">
        <f t="shared" si="6"/>
        <v>0</v>
      </c>
      <c r="BC11" s="582">
        <f t="shared" si="6"/>
        <v>0</v>
      </c>
      <c r="BD11" s="582">
        <f t="shared" si="6"/>
        <v>0</v>
      </c>
      <c r="BE11" s="582">
        <f t="shared" si="6"/>
        <v>0</v>
      </c>
      <c r="BF11" s="582">
        <f t="shared" si="6"/>
        <v>0</v>
      </c>
      <c r="BG11" s="582">
        <f t="shared" si="6"/>
        <v>0</v>
      </c>
      <c r="BH11" s="582">
        <f t="shared" si="6"/>
        <v>0.46106999999999998</v>
      </c>
      <c r="BI11" s="582">
        <f t="shared" si="6"/>
        <v>0.82399</v>
      </c>
      <c r="BJ11" s="582">
        <f t="shared" si="6"/>
        <v>0.46106999999999998</v>
      </c>
      <c r="BK11" s="582">
        <f t="shared" si="6"/>
        <v>0</v>
      </c>
      <c r="BL11" s="582">
        <f t="shared" si="6"/>
        <v>0</v>
      </c>
      <c r="BM11" s="582">
        <f t="shared" si="6"/>
        <v>0</v>
      </c>
      <c r="BN11" s="582">
        <f t="shared" si="6"/>
        <v>0</v>
      </c>
      <c r="BO11" s="582">
        <f t="shared" si="6"/>
        <v>0.27650000000000002</v>
      </c>
      <c r="BP11" s="582">
        <f t="shared" si="6"/>
        <v>0</v>
      </c>
      <c r="BQ11" s="582">
        <f t="shared" si="6"/>
        <v>0</v>
      </c>
      <c r="BR11" s="582">
        <f t="shared" si="6"/>
        <v>0</v>
      </c>
      <c r="BS11" s="582">
        <f t="shared" si="6"/>
        <v>0</v>
      </c>
      <c r="BT11" s="582">
        <f t="shared" si="6"/>
        <v>0</v>
      </c>
      <c r="BU11" s="582">
        <f t="shared" si="6"/>
        <v>0</v>
      </c>
      <c r="BV11" s="582">
        <f t="shared" si="6"/>
        <v>0</v>
      </c>
      <c r="BW11" s="582">
        <f t="shared" si="6"/>
        <v>0</v>
      </c>
      <c r="BX11" s="582">
        <f t="shared" si="6"/>
        <v>0</v>
      </c>
      <c r="BY11" s="582">
        <f t="shared" si="6"/>
        <v>0</v>
      </c>
      <c r="BZ11" s="582">
        <f t="shared" si="6"/>
        <v>0</v>
      </c>
      <c r="CA11" s="582">
        <f t="shared" si="6"/>
        <v>0</v>
      </c>
      <c r="CB11" s="582">
        <f t="shared" si="6"/>
        <v>0</v>
      </c>
      <c r="CC11" s="582">
        <f t="shared" si="6"/>
        <v>0</v>
      </c>
      <c r="CD11" s="582">
        <f t="shared" si="6"/>
        <v>0</v>
      </c>
      <c r="CE11" s="582">
        <f t="shared" si="6"/>
        <v>0</v>
      </c>
      <c r="CF11" s="582">
        <f t="shared" si="1"/>
        <v>0</v>
      </c>
      <c r="CG11" s="582">
        <f t="shared" si="1"/>
        <v>0</v>
      </c>
      <c r="CH11" s="582">
        <f t="shared" si="1"/>
        <v>1.659</v>
      </c>
      <c r="CI11" s="582">
        <f t="shared" si="1"/>
        <v>0.38651999999999997</v>
      </c>
      <c r="CJ11" s="582">
        <f t="shared" si="1"/>
        <v>0</v>
      </c>
      <c r="CK11" s="582">
        <f t="shared" si="1"/>
        <v>0</v>
      </c>
      <c r="CL11" s="582">
        <f t="shared" si="1"/>
        <v>0</v>
      </c>
      <c r="CM11" s="582">
        <f t="shared" si="1"/>
        <v>0</v>
      </c>
      <c r="CN11" s="582">
        <f t="shared" si="1"/>
        <v>0.89809720000000004</v>
      </c>
      <c r="CO11" s="582">
        <f t="shared" si="1"/>
        <v>0.31590000000000001</v>
      </c>
      <c r="CP11" s="582">
        <f t="shared" si="1"/>
        <v>0</v>
      </c>
      <c r="CQ11" s="582">
        <f t="shared" si="1"/>
        <v>0.19594</v>
      </c>
      <c r="CR11" s="582">
        <f t="shared" si="1"/>
        <v>0</v>
      </c>
      <c r="CS11" s="582">
        <f t="shared" si="1"/>
        <v>0</v>
      </c>
      <c r="CT11" s="582">
        <f t="shared" si="1"/>
        <v>0</v>
      </c>
      <c r="CU11" s="582">
        <f t="shared" si="1"/>
        <v>0</v>
      </c>
      <c r="CV11" s="582">
        <f t="shared" si="1"/>
        <v>0</v>
      </c>
      <c r="CW11" s="582">
        <f t="shared" si="1"/>
        <v>4.6199999999999998E-2</v>
      </c>
      <c r="CX11" s="582">
        <f t="shared" si="1"/>
        <v>1.0273299999999999E-2</v>
      </c>
      <c r="CY11" s="582">
        <f t="shared" si="1"/>
        <v>0</v>
      </c>
      <c r="CZ11" s="582">
        <f t="shared" si="1"/>
        <v>0</v>
      </c>
      <c r="DA11" s="582">
        <f t="shared" si="1"/>
        <v>0</v>
      </c>
      <c r="DB11" s="582">
        <f t="shared" si="1"/>
        <v>0</v>
      </c>
      <c r="DC11" s="582">
        <f t="shared" si="1"/>
        <v>0</v>
      </c>
      <c r="DD11" s="582">
        <f t="shared" si="1"/>
        <v>0</v>
      </c>
      <c r="DE11" s="582">
        <f t="shared" si="1"/>
        <v>0</v>
      </c>
      <c r="DF11" s="582">
        <f t="shared" si="1"/>
        <v>0.52374290000000001</v>
      </c>
      <c r="DG11" s="582">
        <f t="shared" si="1"/>
        <v>0</v>
      </c>
      <c r="DH11" s="582">
        <f t="shared" si="1"/>
        <v>0.78561440000000005</v>
      </c>
      <c r="DI11" s="582">
        <f t="shared" si="1"/>
        <v>0</v>
      </c>
      <c r="DJ11" s="582">
        <f t="shared" si="1"/>
        <v>1.6187776999999999</v>
      </c>
      <c r="DK11" s="582">
        <f t="shared" si="1"/>
        <v>0</v>
      </c>
      <c r="DL11" s="582">
        <f t="shared" si="1"/>
        <v>0.44148480000000001</v>
      </c>
      <c r="DM11" s="582">
        <f t="shared" si="1"/>
        <v>0</v>
      </c>
      <c r="DN11" s="582">
        <f t="shared" si="1"/>
        <v>0.44148480000000001</v>
      </c>
      <c r="DO11" s="582">
        <f t="shared" si="1"/>
        <v>0</v>
      </c>
      <c r="DP11" s="582">
        <f t="shared" si="1"/>
        <v>0</v>
      </c>
      <c r="DQ11" s="582">
        <f t="shared" si="1"/>
        <v>0</v>
      </c>
      <c r="DR11" s="582">
        <f t="shared" si="1"/>
        <v>0</v>
      </c>
      <c r="DS11" s="583">
        <f t="shared" si="1"/>
        <v>29.429177900000006</v>
      </c>
      <c r="DT11" s="582">
        <f t="shared" si="1"/>
        <v>0.48650629999999995</v>
      </c>
      <c r="DU11" s="582">
        <f t="shared" si="1"/>
        <v>0</v>
      </c>
      <c r="DV11" s="582">
        <f t="shared" si="1"/>
        <v>0.41402650000000002</v>
      </c>
      <c r="DW11" s="582">
        <f t="shared" si="1"/>
        <v>5.5199999999999997E-3</v>
      </c>
      <c r="DX11" s="582">
        <f t="shared" si="1"/>
        <v>1.7047682999999998</v>
      </c>
      <c r="DY11" s="582">
        <f t="shared" si="1"/>
        <v>0</v>
      </c>
      <c r="DZ11" s="582">
        <f t="shared" si="1"/>
        <v>0.74395639999999996</v>
      </c>
      <c r="EA11" s="582">
        <f t="shared" si="1"/>
        <v>0</v>
      </c>
      <c r="EB11" s="582">
        <f t="shared" si="1"/>
        <v>0.14879129999999999</v>
      </c>
      <c r="EC11" s="582">
        <f t="shared" si="1"/>
        <v>0</v>
      </c>
      <c r="ED11" s="582">
        <f t="shared" si="1"/>
        <v>0.25167889999999998</v>
      </c>
      <c r="EE11" s="582">
        <f t="shared" si="1"/>
        <v>0</v>
      </c>
      <c r="EF11" s="582">
        <f t="shared" si="1"/>
        <v>0.95393380000000005</v>
      </c>
      <c r="EG11" s="582">
        <f t="shared" si="1"/>
        <v>0</v>
      </c>
      <c r="EH11" s="582">
        <f t="shared" si="1"/>
        <v>0.4748658</v>
      </c>
      <c r="EI11" s="582">
        <f t="shared" si="1"/>
        <v>0</v>
      </c>
      <c r="EJ11" s="582">
        <f t="shared" si="1"/>
        <v>4.8000000000000001E-4</v>
      </c>
      <c r="EK11" s="582">
        <f t="shared" si="1"/>
        <v>7.8359999999999996E-4</v>
      </c>
      <c r="EL11" s="582">
        <f t="shared" si="1"/>
        <v>0.29432320000000001</v>
      </c>
      <c r="EM11" s="582">
        <f t="shared" si="1"/>
        <v>0.94267999999999996</v>
      </c>
      <c r="EN11" s="582">
        <f t="shared" si="1"/>
        <v>0.5</v>
      </c>
      <c r="EO11" s="582">
        <f t="shared" si="1"/>
        <v>0.61729489999999998</v>
      </c>
      <c r="EP11" s="582">
        <f t="shared" si="1"/>
        <v>0.31797790000000004</v>
      </c>
      <c r="EQ11" s="582">
        <f t="shared" si="1"/>
        <v>0</v>
      </c>
      <c r="ER11" s="582">
        <f t="shared" si="2"/>
        <v>0</v>
      </c>
      <c r="ES11" s="582">
        <f t="shared" si="2"/>
        <v>0</v>
      </c>
      <c r="ET11" s="582">
        <f t="shared" si="2"/>
        <v>7.8575869000000003</v>
      </c>
      <c r="EU11" s="583">
        <f t="shared" si="2"/>
        <v>37.286764800000007</v>
      </c>
      <c r="EV11" s="582">
        <f t="shared" si="2"/>
        <v>0.85951729999999993</v>
      </c>
      <c r="EW11" s="582">
        <f t="shared" si="2"/>
        <v>0.69127179999999988</v>
      </c>
      <c r="EX11" s="582">
        <f t="shared" si="2"/>
        <v>3.5757828999999997</v>
      </c>
      <c r="EY11" s="582">
        <f t="shared" si="2"/>
        <v>2.5584712000000001</v>
      </c>
      <c r="EZ11" s="582">
        <f t="shared" si="2"/>
        <v>0.15148600000000001</v>
      </c>
      <c r="FA11" s="582">
        <f t="shared" si="2"/>
        <v>0</v>
      </c>
      <c r="FB11" s="582">
        <f t="shared" si="2"/>
        <v>-0.1396346</v>
      </c>
      <c r="FC11" s="582">
        <f t="shared" si="2"/>
        <v>0</v>
      </c>
      <c r="FD11" s="582">
        <f t="shared" si="2"/>
        <v>0</v>
      </c>
      <c r="FE11" s="582">
        <f t="shared" si="2"/>
        <v>0</v>
      </c>
      <c r="FF11" s="582">
        <f t="shared" si="2"/>
        <v>0</v>
      </c>
      <c r="FG11" s="582">
        <f t="shared" si="2"/>
        <v>0</v>
      </c>
      <c r="FH11" s="582">
        <f t="shared" si="2"/>
        <v>1.1821786000000001</v>
      </c>
      <c r="FI11" s="582">
        <f t="shared" si="2"/>
        <v>1.616881</v>
      </c>
      <c r="FJ11" s="582">
        <f t="shared" si="2"/>
        <v>0.23643619999999999</v>
      </c>
      <c r="FK11" s="582">
        <f t="shared" si="2"/>
        <v>0.32337900000000003</v>
      </c>
      <c r="FL11" s="582">
        <f t="shared" si="2"/>
        <v>0.21690810000000002</v>
      </c>
      <c r="FM11" s="582">
        <f t="shared" si="2"/>
        <v>0</v>
      </c>
      <c r="FN11" s="582">
        <f t="shared" si="2"/>
        <v>0.17555999999999999</v>
      </c>
      <c r="FO11" s="582">
        <f t="shared" si="2"/>
        <v>2.5918299999999998E-2</v>
      </c>
      <c r="FP11" s="582">
        <f t="shared" si="2"/>
        <v>9.8131399999999994E-2</v>
      </c>
      <c r="FQ11" s="582">
        <f t="shared" si="2"/>
        <v>1.5322799999999999E-2</v>
      </c>
      <c r="FR11" s="582">
        <f t="shared" si="2"/>
        <v>7.6613899999999999E-2</v>
      </c>
      <c r="FS11" s="582">
        <f t="shared" si="2"/>
        <v>5.0047000000000001E-2</v>
      </c>
      <c r="FT11" s="582">
        <f t="shared" si="2"/>
        <v>0.29341499999999998</v>
      </c>
      <c r="FU11" s="582">
        <f t="shared" si="2"/>
        <v>4.8902500000000002E-2</v>
      </c>
      <c r="FV11" s="583">
        <f t="shared" si="2"/>
        <v>2.5584712000000001</v>
      </c>
      <c r="FW11" s="582">
        <f t="shared" si="2"/>
        <v>0.27491880000000002</v>
      </c>
      <c r="FX11" s="582">
        <f t="shared" si="2"/>
        <v>4.0586900000000002E-2</v>
      </c>
      <c r="FY11" s="582">
        <f t="shared" si="2"/>
        <v>0.15350829999999999</v>
      </c>
      <c r="FZ11" s="582">
        <f t="shared" si="2"/>
        <v>2.3994699999999997E-2</v>
      </c>
      <c r="GA11" s="582">
        <f t="shared" si="2"/>
        <v>0.11997379999999999</v>
      </c>
      <c r="GB11" s="582">
        <f t="shared" si="2"/>
        <v>7.8289300000000006E-2</v>
      </c>
      <c r="GC11" s="582">
        <f t="shared" si="2"/>
        <v>0.4594743</v>
      </c>
      <c r="GD11" s="582">
        <f t="shared" si="2"/>
        <v>7.6579099999999997E-2</v>
      </c>
      <c r="GE11" s="582"/>
      <c r="GF11" s="582"/>
      <c r="GG11" s="582">
        <f t="shared" ref="GG11:GH11" si="7">+GG4/100000</f>
        <v>15.842384799999994</v>
      </c>
      <c r="GH11" s="582">
        <f t="shared" si="7"/>
        <v>53.129149599999998</v>
      </c>
    </row>
    <row r="12" spans="2:190" x14ac:dyDescent="0.2">
      <c r="D12" t="s">
        <v>709</v>
      </c>
      <c r="S12" s="582">
        <f t="shared" si="4"/>
        <v>0</v>
      </c>
      <c r="T12" s="582">
        <f t="shared" si="6"/>
        <v>0</v>
      </c>
      <c r="U12" s="582">
        <f t="shared" si="6"/>
        <v>1.28478</v>
      </c>
      <c r="V12" s="582">
        <f t="shared" si="6"/>
        <v>0</v>
      </c>
      <c r="W12" s="582">
        <f t="shared" si="6"/>
        <v>0</v>
      </c>
      <c r="X12" s="582">
        <f t="shared" si="6"/>
        <v>0</v>
      </c>
      <c r="Y12" s="582">
        <f t="shared" si="6"/>
        <v>1.28478</v>
      </c>
      <c r="Z12" s="582">
        <f t="shared" si="6"/>
        <v>0</v>
      </c>
      <c r="AA12" s="582">
        <f t="shared" si="6"/>
        <v>0</v>
      </c>
      <c r="AB12" s="582">
        <f t="shared" si="6"/>
        <v>0.66414600000000001</v>
      </c>
      <c r="AC12" s="582">
        <f t="shared" si="6"/>
        <v>0.14286750000000001</v>
      </c>
      <c r="AD12" s="582">
        <f t="shared" si="6"/>
        <v>2.7318381</v>
      </c>
      <c r="AE12" s="582">
        <f t="shared" si="6"/>
        <v>0</v>
      </c>
      <c r="AF12" s="582">
        <f t="shared" si="6"/>
        <v>0.58765839999999991</v>
      </c>
      <c r="AG12" s="582">
        <f t="shared" si="6"/>
        <v>0</v>
      </c>
      <c r="AH12" s="582">
        <f t="shared" si="6"/>
        <v>3.0244922999999999</v>
      </c>
      <c r="AI12" s="582">
        <f t="shared" si="6"/>
        <v>0</v>
      </c>
      <c r="AJ12" s="582">
        <f t="shared" si="6"/>
        <v>0.65061259999999999</v>
      </c>
      <c r="AK12" s="582">
        <f t="shared" si="6"/>
        <v>0</v>
      </c>
      <c r="AL12" s="582">
        <f t="shared" si="6"/>
        <v>5.6999999999999996E-6</v>
      </c>
      <c r="AM12" s="582">
        <f t="shared" si="6"/>
        <v>0</v>
      </c>
      <c r="AN12" s="582">
        <f t="shared" si="6"/>
        <v>0</v>
      </c>
      <c r="AO12" s="582">
        <f t="shared" si="6"/>
        <v>0</v>
      </c>
      <c r="AP12" s="582">
        <f t="shared" si="6"/>
        <v>0</v>
      </c>
      <c r="AQ12" s="583">
        <f t="shared" si="6"/>
        <v>2.40795</v>
      </c>
      <c r="AR12" s="582">
        <f t="shared" si="6"/>
        <v>0</v>
      </c>
      <c r="AS12" s="582">
        <f t="shared" si="6"/>
        <v>0</v>
      </c>
      <c r="AT12" s="582">
        <f t="shared" si="6"/>
        <v>0</v>
      </c>
      <c r="AU12" s="582">
        <f t="shared" si="6"/>
        <v>0</v>
      </c>
      <c r="AV12" s="582">
        <f t="shared" si="6"/>
        <v>0</v>
      </c>
      <c r="AW12" s="582">
        <f t="shared" si="6"/>
        <v>0</v>
      </c>
      <c r="AX12" s="582">
        <f t="shared" si="6"/>
        <v>0</v>
      </c>
      <c r="AY12" s="582">
        <f t="shared" si="6"/>
        <v>0</v>
      </c>
      <c r="AZ12" s="582">
        <f t="shared" si="6"/>
        <v>0</v>
      </c>
      <c r="BA12" s="582">
        <f t="shared" si="6"/>
        <v>0</v>
      </c>
      <c r="BB12" s="582">
        <f t="shared" si="6"/>
        <v>0</v>
      </c>
      <c r="BC12" s="582">
        <f t="shared" si="6"/>
        <v>0</v>
      </c>
      <c r="BD12" s="582">
        <f t="shared" si="6"/>
        <v>0</v>
      </c>
      <c r="BE12" s="582">
        <f t="shared" si="6"/>
        <v>0</v>
      </c>
      <c r="BF12" s="582">
        <f t="shared" si="6"/>
        <v>0</v>
      </c>
      <c r="BG12" s="582">
        <f t="shared" si="6"/>
        <v>0</v>
      </c>
      <c r="BH12" s="582">
        <f t="shared" si="6"/>
        <v>0</v>
      </c>
      <c r="BI12" s="582">
        <f t="shared" si="6"/>
        <v>0</v>
      </c>
      <c r="BJ12" s="582">
        <f t="shared" si="6"/>
        <v>0</v>
      </c>
      <c r="BK12" s="582">
        <f t="shared" si="6"/>
        <v>1.9263600000000001</v>
      </c>
      <c r="BL12" s="582">
        <f t="shared" si="6"/>
        <v>0</v>
      </c>
      <c r="BM12" s="582">
        <f t="shared" si="6"/>
        <v>0.27650000000000002</v>
      </c>
      <c r="BN12" s="582">
        <f t="shared" si="6"/>
        <v>0.52974900000000003</v>
      </c>
      <c r="BO12" s="582">
        <f t="shared" si="6"/>
        <v>0</v>
      </c>
      <c r="BP12" s="582">
        <f t="shared" si="6"/>
        <v>0</v>
      </c>
      <c r="BQ12" s="582">
        <f t="shared" si="6"/>
        <v>0</v>
      </c>
      <c r="BR12" s="582">
        <f t="shared" si="6"/>
        <v>0</v>
      </c>
      <c r="BS12" s="582">
        <f t="shared" si="6"/>
        <v>0</v>
      </c>
      <c r="BT12" s="582">
        <f t="shared" si="6"/>
        <v>0</v>
      </c>
      <c r="BU12" s="582">
        <f t="shared" si="6"/>
        <v>0</v>
      </c>
      <c r="BV12" s="582">
        <f t="shared" si="6"/>
        <v>3.9593579999999999</v>
      </c>
      <c r="BW12" s="582">
        <f t="shared" si="6"/>
        <v>0</v>
      </c>
      <c r="BX12" s="582">
        <f t="shared" si="6"/>
        <v>0</v>
      </c>
      <c r="BY12" s="582">
        <f t="shared" si="6"/>
        <v>0</v>
      </c>
      <c r="BZ12" s="582">
        <f t="shared" si="6"/>
        <v>0.67613619999999997</v>
      </c>
      <c r="CA12" s="582">
        <f t="shared" si="6"/>
        <v>0</v>
      </c>
      <c r="CB12" s="582">
        <f t="shared" si="6"/>
        <v>0.82308000000000003</v>
      </c>
      <c r="CC12" s="582">
        <f t="shared" si="6"/>
        <v>0</v>
      </c>
      <c r="CD12" s="582">
        <f t="shared" si="6"/>
        <v>0.46106999999999998</v>
      </c>
      <c r="CE12" s="582">
        <f t="shared" si="6"/>
        <v>0</v>
      </c>
      <c r="CF12" s="582">
        <f t="shared" si="1"/>
        <v>0.46106999999999998</v>
      </c>
      <c r="CG12" s="582">
        <f t="shared" si="1"/>
        <v>0.42379919999999999</v>
      </c>
      <c r="CH12" s="582">
        <f t="shared" si="1"/>
        <v>0</v>
      </c>
      <c r="CI12" s="582">
        <f t="shared" si="1"/>
        <v>0</v>
      </c>
      <c r="CJ12" s="582">
        <f t="shared" si="1"/>
        <v>0</v>
      </c>
      <c r="CK12" s="582">
        <f t="shared" si="1"/>
        <v>0</v>
      </c>
      <c r="CL12" s="582">
        <f t="shared" si="1"/>
        <v>0</v>
      </c>
      <c r="CM12" s="582">
        <f t="shared" si="1"/>
        <v>0</v>
      </c>
      <c r="CN12" s="582">
        <f t="shared" si="1"/>
        <v>0</v>
      </c>
      <c r="CO12" s="582">
        <f t="shared" si="1"/>
        <v>0</v>
      </c>
      <c r="CP12" s="582">
        <f t="shared" si="1"/>
        <v>0</v>
      </c>
      <c r="CQ12" s="582">
        <f t="shared" si="1"/>
        <v>0</v>
      </c>
      <c r="CR12" s="582">
        <f t="shared" si="1"/>
        <v>0</v>
      </c>
      <c r="CS12" s="582">
        <f t="shared" si="1"/>
        <v>0</v>
      </c>
      <c r="CT12" s="582">
        <f t="shared" si="1"/>
        <v>0</v>
      </c>
      <c r="CU12" s="582">
        <f t="shared" si="1"/>
        <v>0</v>
      </c>
      <c r="CV12" s="582">
        <f t="shared" si="1"/>
        <v>0</v>
      </c>
      <c r="CW12" s="582">
        <f t="shared" si="1"/>
        <v>0</v>
      </c>
      <c r="CX12" s="582">
        <f t="shared" si="1"/>
        <v>4.82432E-2</v>
      </c>
      <c r="CY12" s="582">
        <f t="shared" si="1"/>
        <v>0</v>
      </c>
      <c r="CZ12" s="582">
        <f t="shared" si="1"/>
        <v>0.3949337</v>
      </c>
      <c r="DA12" s="582">
        <f t="shared" si="1"/>
        <v>0</v>
      </c>
      <c r="DB12" s="582">
        <f t="shared" si="1"/>
        <v>0.3949337</v>
      </c>
      <c r="DC12" s="582">
        <f t="shared" si="1"/>
        <v>0</v>
      </c>
      <c r="DD12" s="582">
        <f t="shared" si="1"/>
        <v>0.66948740000000007</v>
      </c>
      <c r="DE12" s="582">
        <f t="shared" si="1"/>
        <v>0</v>
      </c>
      <c r="DF12" s="582">
        <f t="shared" si="1"/>
        <v>0</v>
      </c>
      <c r="DG12" s="582">
        <f t="shared" si="1"/>
        <v>0</v>
      </c>
      <c r="DH12" s="582">
        <f t="shared" si="1"/>
        <v>0</v>
      </c>
      <c r="DI12" s="582">
        <f t="shared" si="1"/>
        <v>0</v>
      </c>
      <c r="DJ12" s="582">
        <f t="shared" si="1"/>
        <v>1.313958</v>
      </c>
      <c r="DK12" s="582">
        <f t="shared" si="1"/>
        <v>0</v>
      </c>
      <c r="DL12" s="582">
        <f t="shared" si="1"/>
        <v>0.35835220000000001</v>
      </c>
      <c r="DM12" s="582">
        <f t="shared" si="1"/>
        <v>0</v>
      </c>
      <c r="DN12" s="582">
        <f t="shared" si="1"/>
        <v>0.35835220000000001</v>
      </c>
      <c r="DO12" s="582">
        <f t="shared" si="1"/>
        <v>0</v>
      </c>
      <c r="DP12" s="582">
        <f t="shared" si="1"/>
        <v>0</v>
      </c>
      <c r="DQ12" s="582">
        <f t="shared" si="1"/>
        <v>0</v>
      </c>
      <c r="DR12" s="582">
        <f t="shared" si="1"/>
        <v>8.3132600000000001E-2</v>
      </c>
      <c r="DS12" s="583">
        <f t="shared" si="1"/>
        <v>22.316253</v>
      </c>
      <c r="DT12" s="582">
        <f t="shared" si="1"/>
        <v>0.36551919999999999</v>
      </c>
      <c r="DU12" s="582">
        <f t="shared" si="1"/>
        <v>0</v>
      </c>
      <c r="DV12" s="582">
        <f t="shared" si="1"/>
        <v>0.31735799999999997</v>
      </c>
      <c r="DW12" s="582">
        <f t="shared" si="1"/>
        <v>5.5199999999999997E-3</v>
      </c>
      <c r="DX12" s="582">
        <f t="shared" si="1"/>
        <v>1.2789413000000001</v>
      </c>
      <c r="DY12" s="582">
        <f t="shared" si="1"/>
        <v>0</v>
      </c>
      <c r="DZ12" s="582">
        <f t="shared" si="1"/>
        <v>0.55812669999999998</v>
      </c>
      <c r="EA12" s="582">
        <f t="shared" si="1"/>
        <v>0</v>
      </c>
      <c r="EB12" s="582">
        <f t="shared" si="1"/>
        <v>0.11162530000000001</v>
      </c>
      <c r="EC12" s="582">
        <f t="shared" si="1"/>
        <v>0</v>
      </c>
      <c r="ED12" s="582">
        <f t="shared" si="1"/>
        <v>0.18881310000000001</v>
      </c>
      <c r="EE12" s="582">
        <f t="shared" si="1"/>
        <v>0</v>
      </c>
      <c r="EF12" s="582">
        <f t="shared" si="1"/>
        <v>0.71670429999999996</v>
      </c>
      <c r="EG12" s="582">
        <f t="shared" si="1"/>
        <v>0</v>
      </c>
      <c r="EH12" s="582">
        <f t="shared" si="1"/>
        <v>0.35625109999999999</v>
      </c>
      <c r="EI12" s="582">
        <f t="shared" si="1"/>
        <v>0</v>
      </c>
      <c r="EJ12" s="582">
        <f t="shared" si="1"/>
        <v>0</v>
      </c>
      <c r="EK12" s="582">
        <f t="shared" si="1"/>
        <v>7.8359999999999996E-4</v>
      </c>
      <c r="EL12" s="582">
        <f t="shared" si="1"/>
        <v>0.23890139999999999</v>
      </c>
      <c r="EM12" s="582">
        <f t="shared" si="1"/>
        <v>0.94267999999999996</v>
      </c>
      <c r="EN12" s="582">
        <f t="shared" si="1"/>
        <v>0</v>
      </c>
      <c r="EO12" s="582">
        <f t="shared" si="1"/>
        <v>0.46809690000000004</v>
      </c>
      <c r="EP12" s="582">
        <f t="shared" si="1"/>
        <v>0.23890139999999999</v>
      </c>
      <c r="EQ12" s="582">
        <f t="shared" ref="EQ12:GD15" si="8">+EQ5/100000</f>
        <v>0</v>
      </c>
      <c r="ER12" s="582">
        <f t="shared" si="8"/>
        <v>0</v>
      </c>
      <c r="ES12" s="582">
        <f t="shared" si="8"/>
        <v>0</v>
      </c>
      <c r="ET12" s="582">
        <f t="shared" si="8"/>
        <v>5.788222300000001</v>
      </c>
      <c r="EU12" s="583">
        <f t="shared" si="8"/>
        <v>28.104475299999997</v>
      </c>
      <c r="EV12" s="582">
        <f t="shared" si="8"/>
        <v>0.28343020000000002</v>
      </c>
      <c r="EW12" s="582">
        <f t="shared" si="8"/>
        <v>0.47921620000000004</v>
      </c>
      <c r="EX12" s="582">
        <f t="shared" si="8"/>
        <v>1.1814061</v>
      </c>
      <c r="EY12" s="582">
        <f t="shared" si="8"/>
        <v>1.7748214000000002</v>
      </c>
      <c r="EZ12" s="582">
        <f t="shared" si="8"/>
        <v>3.0724499999999998E-2</v>
      </c>
      <c r="FA12" s="582">
        <f t="shared" si="8"/>
        <v>0</v>
      </c>
      <c r="FB12" s="582">
        <f t="shared" si="8"/>
        <v>0</v>
      </c>
      <c r="FC12" s="582">
        <f t="shared" si="8"/>
        <v>0</v>
      </c>
      <c r="FD12" s="582">
        <f t="shared" si="8"/>
        <v>0</v>
      </c>
      <c r="FE12" s="582">
        <f t="shared" si="8"/>
        <v>0</v>
      </c>
      <c r="FF12" s="582">
        <f t="shared" si="8"/>
        <v>0</v>
      </c>
      <c r="FG12" s="582">
        <f t="shared" si="8"/>
        <v>0</v>
      </c>
      <c r="FH12" s="582">
        <f t="shared" si="8"/>
        <v>0.56771059999999995</v>
      </c>
      <c r="FI12" s="582">
        <f t="shared" si="8"/>
        <v>0</v>
      </c>
      <c r="FJ12" s="582">
        <f t="shared" si="8"/>
        <v>0.11354209999999999</v>
      </c>
      <c r="FK12" s="582">
        <f t="shared" si="8"/>
        <v>0</v>
      </c>
      <c r="FL12" s="582">
        <f t="shared" si="8"/>
        <v>0.36182919999999996</v>
      </c>
      <c r="FM12" s="582">
        <f t="shared" si="8"/>
        <v>0.13832420000000001</v>
      </c>
      <c r="FN12" s="582">
        <f t="shared" si="8"/>
        <v>0.1117541</v>
      </c>
      <c r="FO12" s="582">
        <f t="shared" si="8"/>
        <v>1.6498499999999999E-2</v>
      </c>
      <c r="FP12" s="582">
        <f t="shared" si="8"/>
        <v>6.2584899999999999E-2</v>
      </c>
      <c r="FQ12" s="582">
        <f t="shared" si="8"/>
        <v>9.7538E-3</v>
      </c>
      <c r="FR12" s="582">
        <f t="shared" si="8"/>
        <v>4.8769199999999999E-2</v>
      </c>
      <c r="FS12" s="582">
        <f t="shared" si="8"/>
        <v>3.1918299999999997E-2</v>
      </c>
      <c r="FT12" s="582">
        <f t="shared" si="8"/>
        <v>0.18677569999999999</v>
      </c>
      <c r="FU12" s="582">
        <f t="shared" si="8"/>
        <v>3.1129299999999999E-2</v>
      </c>
      <c r="FV12" s="583">
        <f t="shared" si="8"/>
        <v>1.7748214000000002</v>
      </c>
      <c r="FW12" s="582">
        <f t="shared" si="8"/>
        <v>0.19051970000000001</v>
      </c>
      <c r="FX12" s="582">
        <f t="shared" si="8"/>
        <v>2.81269E-2</v>
      </c>
      <c r="FY12" s="582">
        <f t="shared" si="8"/>
        <v>0.10648930000000001</v>
      </c>
      <c r="FZ12" s="582">
        <f t="shared" si="8"/>
        <v>1.6628499999999997E-2</v>
      </c>
      <c r="GA12" s="582">
        <f t="shared" si="8"/>
        <v>8.3142300000000002E-2</v>
      </c>
      <c r="GB12" s="582">
        <f t="shared" si="8"/>
        <v>5.4309499999999997E-2</v>
      </c>
      <c r="GC12" s="582">
        <f t="shared" si="8"/>
        <v>0.31841730000000001</v>
      </c>
      <c r="GD12" s="582">
        <f t="shared" si="8"/>
        <v>5.3069600000000001E-2</v>
      </c>
      <c r="GE12" s="582"/>
      <c r="GF12" s="582"/>
      <c r="GG12" s="582">
        <f t="shared" ref="GG12:GH12" si="9">+GG5/100000</f>
        <v>8.0557127999999985</v>
      </c>
      <c r="GH12" s="582">
        <f t="shared" si="9"/>
        <v>36.160188099999999</v>
      </c>
    </row>
    <row r="13" spans="2:190" x14ac:dyDescent="0.2">
      <c r="D13" t="s">
        <v>713</v>
      </c>
      <c r="S13" s="582">
        <f t="shared" si="4"/>
        <v>0</v>
      </c>
      <c r="T13" s="582">
        <f t="shared" si="6"/>
        <v>0</v>
      </c>
      <c r="U13" s="582">
        <f t="shared" si="6"/>
        <v>1.28478</v>
      </c>
      <c r="V13" s="582">
        <f t="shared" si="6"/>
        <v>0</v>
      </c>
      <c r="W13" s="582">
        <f t="shared" si="6"/>
        <v>0</v>
      </c>
      <c r="X13" s="582">
        <f t="shared" si="6"/>
        <v>0</v>
      </c>
      <c r="Y13" s="582">
        <f t="shared" si="6"/>
        <v>1.28478</v>
      </c>
      <c r="Z13" s="582">
        <f t="shared" si="6"/>
        <v>0</v>
      </c>
      <c r="AA13" s="582">
        <f t="shared" si="6"/>
        <v>0</v>
      </c>
      <c r="AB13" s="582">
        <f t="shared" si="6"/>
        <v>0.65261980000000008</v>
      </c>
      <c r="AC13" s="582">
        <f t="shared" si="6"/>
        <v>0.14286750000000001</v>
      </c>
      <c r="AD13" s="582">
        <f t="shared" si="6"/>
        <v>2.6844271999999996</v>
      </c>
      <c r="AE13" s="582">
        <f t="shared" si="6"/>
        <v>0</v>
      </c>
      <c r="AF13" s="582">
        <f t="shared" si="6"/>
        <v>0.58765839999999991</v>
      </c>
      <c r="AG13" s="582">
        <f t="shared" si="6"/>
        <v>0</v>
      </c>
      <c r="AH13" s="582">
        <f t="shared" si="6"/>
        <v>2.9720024999999999</v>
      </c>
      <c r="AI13" s="582">
        <f t="shared" si="6"/>
        <v>0</v>
      </c>
      <c r="AJ13" s="582">
        <f t="shared" si="6"/>
        <v>0.65061259999999999</v>
      </c>
      <c r="AK13" s="582">
        <f t="shared" si="6"/>
        <v>0</v>
      </c>
      <c r="AL13" s="582">
        <f t="shared" si="6"/>
        <v>7.4000000000000003E-6</v>
      </c>
      <c r="AM13" s="582">
        <f t="shared" si="6"/>
        <v>0</v>
      </c>
      <c r="AN13" s="582">
        <f t="shared" si="6"/>
        <v>0</v>
      </c>
      <c r="AO13" s="582">
        <f t="shared" si="6"/>
        <v>0</v>
      </c>
      <c r="AP13" s="582">
        <f t="shared" si="6"/>
        <v>0</v>
      </c>
      <c r="AQ13" s="583">
        <f t="shared" si="6"/>
        <v>2.40795</v>
      </c>
      <c r="AR13" s="582">
        <f t="shared" si="6"/>
        <v>0</v>
      </c>
      <c r="AS13" s="582">
        <f t="shared" si="6"/>
        <v>0</v>
      </c>
      <c r="AT13" s="582">
        <f t="shared" si="6"/>
        <v>0</v>
      </c>
      <c r="AU13" s="582">
        <f t="shared" si="6"/>
        <v>0</v>
      </c>
      <c r="AV13" s="582">
        <f t="shared" si="6"/>
        <v>0</v>
      </c>
      <c r="AW13" s="582">
        <f t="shared" si="6"/>
        <v>0</v>
      </c>
      <c r="AX13" s="582">
        <f t="shared" si="6"/>
        <v>0</v>
      </c>
      <c r="AY13" s="582">
        <f t="shared" si="6"/>
        <v>0</v>
      </c>
      <c r="AZ13" s="582">
        <f t="shared" si="6"/>
        <v>0</v>
      </c>
      <c r="BA13" s="582">
        <f t="shared" si="6"/>
        <v>0</v>
      </c>
      <c r="BB13" s="582">
        <f t="shared" si="6"/>
        <v>0</v>
      </c>
      <c r="BC13" s="582">
        <f t="shared" si="6"/>
        <v>0</v>
      </c>
      <c r="BD13" s="582">
        <f t="shared" si="6"/>
        <v>0</v>
      </c>
      <c r="BE13" s="582">
        <f t="shared" si="6"/>
        <v>0</v>
      </c>
      <c r="BF13" s="582">
        <f t="shared" si="6"/>
        <v>0</v>
      </c>
      <c r="BG13" s="582">
        <f t="shared" si="6"/>
        <v>0</v>
      </c>
      <c r="BH13" s="582">
        <f t="shared" si="6"/>
        <v>0</v>
      </c>
      <c r="BI13" s="582">
        <f t="shared" si="6"/>
        <v>0</v>
      </c>
      <c r="BJ13" s="582">
        <f t="shared" si="6"/>
        <v>0</v>
      </c>
      <c r="BK13" s="582">
        <f t="shared" si="6"/>
        <v>1.9263600000000001</v>
      </c>
      <c r="BL13" s="582">
        <f t="shared" si="6"/>
        <v>0</v>
      </c>
      <c r="BM13" s="582">
        <f t="shared" si="6"/>
        <v>3.95E-2</v>
      </c>
      <c r="BN13" s="582">
        <f t="shared" si="6"/>
        <v>0.52974900000000003</v>
      </c>
      <c r="BO13" s="582">
        <f t="shared" si="6"/>
        <v>0</v>
      </c>
      <c r="BP13" s="582">
        <f t="shared" si="6"/>
        <v>0.28767999999999999</v>
      </c>
      <c r="BQ13" s="582">
        <f t="shared" si="6"/>
        <v>0</v>
      </c>
      <c r="BR13" s="582">
        <f t="shared" si="6"/>
        <v>0</v>
      </c>
      <c r="BS13" s="582">
        <f t="shared" si="6"/>
        <v>0</v>
      </c>
      <c r="BT13" s="582">
        <f t="shared" si="6"/>
        <v>0</v>
      </c>
      <c r="BU13" s="582">
        <f t="shared" si="6"/>
        <v>0</v>
      </c>
      <c r="BV13" s="582">
        <f t="shared" si="6"/>
        <v>3.7131065999999997</v>
      </c>
      <c r="BW13" s="582">
        <f t="shared" si="6"/>
        <v>0</v>
      </c>
      <c r="BX13" s="582">
        <f t="shared" si="6"/>
        <v>0</v>
      </c>
      <c r="BY13" s="582">
        <f t="shared" si="6"/>
        <v>0</v>
      </c>
      <c r="BZ13" s="582">
        <f t="shared" si="6"/>
        <v>0.66440189999999999</v>
      </c>
      <c r="CA13" s="582">
        <f t="shared" si="6"/>
        <v>0</v>
      </c>
      <c r="CB13" s="582">
        <f t="shared" si="6"/>
        <v>0.82308000000000003</v>
      </c>
      <c r="CC13" s="582">
        <f t="shared" si="6"/>
        <v>0</v>
      </c>
      <c r="CD13" s="582">
        <f t="shared" si="6"/>
        <v>0.46106999999999998</v>
      </c>
      <c r="CE13" s="582">
        <f t="shared" si="6"/>
        <v>0</v>
      </c>
      <c r="CF13" s="582">
        <f t="shared" ref="CF13:EQ15" si="10">+CF6/100000</f>
        <v>0.46106999999999998</v>
      </c>
      <c r="CG13" s="582">
        <f t="shared" si="10"/>
        <v>0.42379919999999999</v>
      </c>
      <c r="CH13" s="582">
        <f t="shared" si="10"/>
        <v>0</v>
      </c>
      <c r="CI13" s="582">
        <f t="shared" si="10"/>
        <v>0</v>
      </c>
      <c r="CJ13" s="582">
        <f t="shared" si="10"/>
        <v>0</v>
      </c>
      <c r="CK13" s="582">
        <f t="shared" si="10"/>
        <v>0</v>
      </c>
      <c r="CL13" s="582">
        <f t="shared" si="10"/>
        <v>0</v>
      </c>
      <c r="CM13" s="582">
        <f t="shared" si="10"/>
        <v>0</v>
      </c>
      <c r="CN13" s="582">
        <f t="shared" si="10"/>
        <v>0</v>
      </c>
      <c r="CO13" s="582">
        <f t="shared" si="10"/>
        <v>0</v>
      </c>
      <c r="CP13" s="582">
        <f t="shared" si="10"/>
        <v>0</v>
      </c>
      <c r="CQ13" s="582">
        <f t="shared" si="10"/>
        <v>0</v>
      </c>
      <c r="CR13" s="582">
        <f t="shared" si="10"/>
        <v>0</v>
      </c>
      <c r="CS13" s="582">
        <f t="shared" si="10"/>
        <v>0</v>
      </c>
      <c r="CT13" s="582">
        <f t="shared" si="10"/>
        <v>0</v>
      </c>
      <c r="CU13" s="582">
        <f t="shared" si="10"/>
        <v>0</v>
      </c>
      <c r="CV13" s="582">
        <f t="shared" si="10"/>
        <v>0</v>
      </c>
      <c r="CW13" s="582">
        <f t="shared" si="10"/>
        <v>0</v>
      </c>
      <c r="CX13" s="582">
        <f t="shared" si="10"/>
        <v>0</v>
      </c>
      <c r="CY13" s="582">
        <f t="shared" si="10"/>
        <v>0</v>
      </c>
      <c r="CZ13" s="582">
        <f t="shared" si="10"/>
        <v>0</v>
      </c>
      <c r="DA13" s="582">
        <f t="shared" si="10"/>
        <v>0</v>
      </c>
      <c r="DB13" s="582">
        <f t="shared" si="10"/>
        <v>0</v>
      </c>
      <c r="DC13" s="582">
        <f t="shared" si="10"/>
        <v>0</v>
      </c>
      <c r="DD13" s="582">
        <f t="shared" si="10"/>
        <v>0</v>
      </c>
      <c r="DE13" s="582">
        <f t="shared" si="10"/>
        <v>0</v>
      </c>
      <c r="DF13" s="582">
        <f t="shared" si="10"/>
        <v>0</v>
      </c>
      <c r="DG13" s="582">
        <f t="shared" si="10"/>
        <v>0</v>
      </c>
      <c r="DH13" s="582">
        <f t="shared" si="10"/>
        <v>0</v>
      </c>
      <c r="DI13" s="582">
        <f t="shared" si="10"/>
        <v>0</v>
      </c>
      <c r="DJ13" s="582">
        <f t="shared" si="10"/>
        <v>1.2911542999999999</v>
      </c>
      <c r="DK13" s="582">
        <f t="shared" si="10"/>
        <v>0</v>
      </c>
      <c r="DL13" s="582">
        <f t="shared" si="10"/>
        <v>0.35213300000000003</v>
      </c>
      <c r="DM13" s="582">
        <f t="shared" si="10"/>
        <v>0</v>
      </c>
      <c r="DN13" s="582">
        <f t="shared" si="10"/>
        <v>0.35213300000000003</v>
      </c>
      <c r="DO13" s="582">
        <f t="shared" si="10"/>
        <v>0</v>
      </c>
      <c r="DP13" s="582">
        <f t="shared" si="10"/>
        <v>0</v>
      </c>
      <c r="DQ13" s="582">
        <f t="shared" si="10"/>
        <v>0</v>
      </c>
      <c r="DR13" s="582">
        <f t="shared" si="10"/>
        <v>8.9351800000000009E-2</v>
      </c>
      <c r="DS13" s="583">
        <f t="shared" si="10"/>
        <v>21.997522100000001</v>
      </c>
      <c r="DT13" s="582">
        <f t="shared" si="10"/>
        <v>0.35917569999999999</v>
      </c>
      <c r="DU13" s="582">
        <f t="shared" si="10"/>
        <v>0</v>
      </c>
      <c r="DV13" s="582">
        <f t="shared" si="10"/>
        <v>0.31394830000000001</v>
      </c>
      <c r="DW13" s="582">
        <f t="shared" si="10"/>
        <v>5.5199999999999997E-3</v>
      </c>
      <c r="DX13" s="582">
        <f t="shared" si="10"/>
        <v>1.2566145</v>
      </c>
      <c r="DY13" s="582">
        <f t="shared" si="10"/>
        <v>0</v>
      </c>
      <c r="DZ13" s="582">
        <f t="shared" si="10"/>
        <v>0.54838330000000002</v>
      </c>
      <c r="EA13" s="582">
        <f t="shared" si="10"/>
        <v>0</v>
      </c>
      <c r="EB13" s="582">
        <f t="shared" si="10"/>
        <v>0.1096767</v>
      </c>
      <c r="EC13" s="582">
        <f t="shared" si="10"/>
        <v>0</v>
      </c>
      <c r="ED13" s="582">
        <f t="shared" si="10"/>
        <v>0.18551689999999998</v>
      </c>
      <c r="EE13" s="582">
        <f t="shared" si="10"/>
        <v>0</v>
      </c>
      <c r="EF13" s="582">
        <f t="shared" si="10"/>
        <v>0.70426600000000006</v>
      </c>
      <c r="EG13" s="582">
        <f t="shared" si="10"/>
        <v>0</v>
      </c>
      <c r="EH13" s="582">
        <f t="shared" si="10"/>
        <v>0.35003190000000001</v>
      </c>
      <c r="EI13" s="582">
        <f t="shared" si="10"/>
        <v>0</v>
      </c>
      <c r="EJ13" s="582">
        <f t="shared" si="10"/>
        <v>0</v>
      </c>
      <c r="EK13" s="582">
        <f t="shared" si="10"/>
        <v>7.8359999999999996E-4</v>
      </c>
      <c r="EL13" s="582">
        <f t="shared" si="10"/>
        <v>0.2347554</v>
      </c>
      <c r="EM13" s="582">
        <f t="shared" si="10"/>
        <v>0.94267999999999996</v>
      </c>
      <c r="EN13" s="582">
        <f t="shared" si="10"/>
        <v>0</v>
      </c>
      <c r="EO13" s="582">
        <f t="shared" si="10"/>
        <v>0.46141129999999997</v>
      </c>
      <c r="EP13" s="582">
        <f t="shared" si="10"/>
        <v>0.2347553</v>
      </c>
      <c r="EQ13" s="582">
        <f t="shared" si="10"/>
        <v>0</v>
      </c>
      <c r="ER13" s="582">
        <f t="shared" si="8"/>
        <v>0</v>
      </c>
      <c r="ES13" s="582">
        <f t="shared" si="8"/>
        <v>0</v>
      </c>
      <c r="ET13" s="582">
        <f t="shared" si="8"/>
        <v>5.7075189000000002</v>
      </c>
      <c r="EU13" s="583">
        <f t="shared" si="8"/>
        <v>27.705041000000001</v>
      </c>
      <c r="EV13" s="582">
        <f t="shared" si="8"/>
        <v>0.1373259</v>
      </c>
      <c r="EW13" s="582">
        <f t="shared" si="8"/>
        <v>0.4235507</v>
      </c>
      <c r="EX13" s="582">
        <f t="shared" si="8"/>
        <v>0.57246620000000004</v>
      </c>
      <c r="EY13" s="582">
        <f t="shared" si="8"/>
        <v>1.5691097000000001</v>
      </c>
      <c r="EZ13" s="582">
        <f t="shared" si="8"/>
        <v>1.4927899999999999E-2</v>
      </c>
      <c r="FA13" s="582">
        <f t="shared" si="8"/>
        <v>0</v>
      </c>
      <c r="FB13" s="582">
        <f t="shared" si="8"/>
        <v>0</v>
      </c>
      <c r="FC13" s="582">
        <f t="shared" si="8"/>
        <v>0</v>
      </c>
      <c r="FD13" s="582">
        <f t="shared" si="8"/>
        <v>0</v>
      </c>
      <c r="FE13" s="582">
        <f t="shared" si="8"/>
        <v>0</v>
      </c>
      <c r="FF13" s="582">
        <f t="shared" si="8"/>
        <v>0</v>
      </c>
      <c r="FG13" s="582">
        <f t="shared" si="8"/>
        <v>0</v>
      </c>
      <c r="FH13" s="582">
        <f t="shared" si="8"/>
        <v>0.27583049999999998</v>
      </c>
      <c r="FI13" s="582">
        <f t="shared" si="8"/>
        <v>0</v>
      </c>
      <c r="FJ13" s="582">
        <f t="shared" si="8"/>
        <v>5.5166099999999996E-2</v>
      </c>
      <c r="FK13" s="582">
        <f t="shared" si="8"/>
        <v>0</v>
      </c>
      <c r="FL13" s="582">
        <f t="shared" si="8"/>
        <v>0.18429150000000002</v>
      </c>
      <c r="FM13" s="582">
        <f t="shared" si="8"/>
        <v>5.7178100000000003E-2</v>
      </c>
      <c r="FN13" s="582">
        <f t="shared" si="8"/>
        <v>5.5202399999999999E-2</v>
      </c>
      <c r="FO13" s="582">
        <f t="shared" si="8"/>
        <v>8.149700000000001E-3</v>
      </c>
      <c r="FP13" s="582">
        <f t="shared" si="8"/>
        <v>3.0917300000000002E-2</v>
      </c>
      <c r="FQ13" s="582">
        <f t="shared" si="8"/>
        <v>4.8180000000000002E-3</v>
      </c>
      <c r="FR13" s="582">
        <f t="shared" si="8"/>
        <v>2.4090199999999999E-2</v>
      </c>
      <c r="FS13" s="582">
        <f t="shared" si="8"/>
        <v>1.5767799999999998E-2</v>
      </c>
      <c r="FT13" s="582">
        <f t="shared" si="8"/>
        <v>9.2260200000000001E-2</v>
      </c>
      <c r="FU13" s="582">
        <f t="shared" si="8"/>
        <v>1.53767E-2</v>
      </c>
      <c r="FV13" s="583">
        <f t="shared" si="8"/>
        <v>1.5691097000000001</v>
      </c>
      <c r="FW13" s="582">
        <f t="shared" si="8"/>
        <v>0.1683645</v>
      </c>
      <c r="FX13" s="582">
        <f t="shared" si="8"/>
        <v>2.4856100000000002E-2</v>
      </c>
      <c r="FY13" s="582">
        <f t="shared" si="8"/>
        <v>9.4146599999999997E-2</v>
      </c>
      <c r="FZ13" s="582">
        <f t="shared" si="8"/>
        <v>1.4694800000000001E-2</v>
      </c>
      <c r="GA13" s="582">
        <f t="shared" si="8"/>
        <v>7.3473900000000009E-2</v>
      </c>
      <c r="GB13" s="582">
        <f t="shared" si="8"/>
        <v>4.8014799999999996E-2</v>
      </c>
      <c r="GC13" s="582">
        <f t="shared" si="8"/>
        <v>0.28138920000000001</v>
      </c>
      <c r="GD13" s="582">
        <f t="shared" si="8"/>
        <v>4.6898199999999994E-2</v>
      </c>
      <c r="GE13" s="582"/>
      <c r="GF13" s="582"/>
      <c r="GG13" s="582">
        <f t="shared" ref="GG13:GH13" si="11">+GG6/100000</f>
        <v>5.8573766999999997</v>
      </c>
      <c r="GH13" s="582">
        <f t="shared" si="11"/>
        <v>33.562417699999997</v>
      </c>
    </row>
    <row r="14" spans="2:190" x14ac:dyDescent="0.2">
      <c r="D14" t="s">
        <v>719</v>
      </c>
      <c r="S14" s="582">
        <f t="shared" si="4"/>
        <v>0</v>
      </c>
      <c r="T14" s="582">
        <f t="shared" si="6"/>
        <v>0</v>
      </c>
      <c r="U14" s="582">
        <f t="shared" si="6"/>
        <v>1.28478</v>
      </c>
      <c r="V14" s="582">
        <f t="shared" si="6"/>
        <v>0</v>
      </c>
      <c r="W14" s="582">
        <f t="shared" si="6"/>
        <v>0</v>
      </c>
      <c r="X14" s="582">
        <f t="shared" si="6"/>
        <v>0</v>
      </c>
      <c r="Y14" s="582">
        <f t="shared" si="6"/>
        <v>1.28478</v>
      </c>
      <c r="Z14" s="582">
        <f t="shared" si="6"/>
        <v>0</v>
      </c>
      <c r="AA14" s="582">
        <f t="shared" si="6"/>
        <v>0</v>
      </c>
      <c r="AB14" s="582">
        <f t="shared" si="6"/>
        <v>0.60361799999999999</v>
      </c>
      <c r="AC14" s="582">
        <f t="shared" si="6"/>
        <v>0.14286750000000001</v>
      </c>
      <c r="AD14" s="582">
        <f t="shared" si="6"/>
        <v>2.4828676000000001</v>
      </c>
      <c r="AE14" s="582">
        <f t="shared" si="6"/>
        <v>0</v>
      </c>
      <c r="AF14" s="582">
        <f t="shared" si="6"/>
        <v>0.58765839999999991</v>
      </c>
      <c r="AG14" s="582">
        <f t="shared" si="6"/>
        <v>0</v>
      </c>
      <c r="AH14" s="582">
        <f t="shared" si="6"/>
        <v>2.7488503000000004</v>
      </c>
      <c r="AI14" s="582">
        <f t="shared" si="6"/>
        <v>0</v>
      </c>
      <c r="AJ14" s="582">
        <f t="shared" si="6"/>
        <v>0.65061259999999999</v>
      </c>
      <c r="AK14" s="582">
        <f t="shared" si="6"/>
        <v>0</v>
      </c>
      <c r="AL14" s="582">
        <f t="shared" si="6"/>
        <v>3.8999999999999999E-6</v>
      </c>
      <c r="AM14" s="582">
        <f t="shared" si="6"/>
        <v>0</v>
      </c>
      <c r="AN14" s="582">
        <f t="shared" si="6"/>
        <v>0</v>
      </c>
      <c r="AO14" s="582">
        <f t="shared" si="6"/>
        <v>0</v>
      </c>
      <c r="AP14" s="582">
        <f t="shared" si="6"/>
        <v>0</v>
      </c>
      <c r="AQ14" s="583">
        <f t="shared" si="6"/>
        <v>2.0481600000000002</v>
      </c>
      <c r="AR14" s="582">
        <f t="shared" si="6"/>
        <v>0</v>
      </c>
      <c r="AS14" s="582">
        <f t="shared" si="6"/>
        <v>0</v>
      </c>
      <c r="AT14" s="582">
        <f t="shared" si="6"/>
        <v>0</v>
      </c>
      <c r="AU14" s="582">
        <f t="shared" si="6"/>
        <v>0</v>
      </c>
      <c r="AV14" s="582">
        <f t="shared" si="6"/>
        <v>0</v>
      </c>
      <c r="AW14" s="582">
        <f t="shared" si="6"/>
        <v>0</v>
      </c>
      <c r="AX14" s="582">
        <f t="shared" si="6"/>
        <v>0</v>
      </c>
      <c r="AY14" s="582">
        <f t="shared" si="6"/>
        <v>0</v>
      </c>
      <c r="AZ14" s="582">
        <f t="shared" si="6"/>
        <v>0</v>
      </c>
      <c r="BA14" s="582">
        <f t="shared" si="6"/>
        <v>0</v>
      </c>
      <c r="BB14" s="582">
        <f t="shared" si="6"/>
        <v>0</v>
      </c>
      <c r="BC14" s="582">
        <f t="shared" si="6"/>
        <v>0</v>
      </c>
      <c r="BD14" s="582">
        <f t="shared" si="6"/>
        <v>0</v>
      </c>
      <c r="BE14" s="582">
        <f t="shared" si="6"/>
        <v>0</v>
      </c>
      <c r="BF14" s="582">
        <f t="shared" si="6"/>
        <v>0</v>
      </c>
      <c r="BG14" s="582">
        <f t="shared" si="6"/>
        <v>0</v>
      </c>
      <c r="BH14" s="582">
        <f t="shared" si="6"/>
        <v>0</v>
      </c>
      <c r="BI14" s="582">
        <f t="shared" si="6"/>
        <v>0</v>
      </c>
      <c r="BJ14" s="582">
        <f t="shared" si="6"/>
        <v>0</v>
      </c>
      <c r="BK14" s="582">
        <f t="shared" si="6"/>
        <v>1.638528</v>
      </c>
      <c r="BL14" s="582">
        <f t="shared" si="6"/>
        <v>0</v>
      </c>
      <c r="BM14" s="582">
        <f t="shared" si="6"/>
        <v>3.95E-2</v>
      </c>
      <c r="BN14" s="582">
        <f t="shared" si="6"/>
        <v>0.45059519999999997</v>
      </c>
      <c r="BO14" s="582">
        <f t="shared" si="6"/>
        <v>0</v>
      </c>
      <c r="BP14" s="582">
        <f t="shared" si="6"/>
        <v>0.28767999999999999</v>
      </c>
      <c r="BQ14" s="582">
        <f t="shared" si="6"/>
        <v>0</v>
      </c>
      <c r="BR14" s="582">
        <f t="shared" si="6"/>
        <v>0</v>
      </c>
      <c r="BS14" s="582">
        <f t="shared" si="6"/>
        <v>0</v>
      </c>
      <c r="BT14" s="582">
        <f t="shared" si="6"/>
        <v>0</v>
      </c>
      <c r="BU14" s="582">
        <f t="shared" si="6"/>
        <v>5.9331099999999998E-2</v>
      </c>
      <c r="BV14" s="582">
        <f t="shared" si="6"/>
        <v>3.6124328999999999</v>
      </c>
      <c r="BW14" s="582">
        <f t="shared" si="6"/>
        <v>0</v>
      </c>
      <c r="BX14" s="582">
        <f t="shared" si="6"/>
        <v>0</v>
      </c>
      <c r="BY14" s="582">
        <f t="shared" si="6"/>
        <v>0</v>
      </c>
      <c r="BZ14" s="582">
        <f t="shared" si="6"/>
        <v>0.61451540000000004</v>
      </c>
      <c r="CA14" s="582">
        <f t="shared" si="6"/>
        <v>0</v>
      </c>
      <c r="CB14" s="582">
        <f t="shared" si="6"/>
        <v>0.82308000000000003</v>
      </c>
      <c r="CC14" s="582">
        <f t="shared" si="6"/>
        <v>0</v>
      </c>
      <c r="CD14" s="582">
        <f t="shared" si="6"/>
        <v>0.46106999999999998</v>
      </c>
      <c r="CE14" s="582">
        <f t="shared" ref="CE14:EP15" si="12">+CE7/100000</f>
        <v>0</v>
      </c>
      <c r="CF14" s="582">
        <f t="shared" si="12"/>
        <v>0.46106999999999998</v>
      </c>
      <c r="CG14" s="582">
        <f t="shared" si="12"/>
        <v>0.36047620000000002</v>
      </c>
      <c r="CH14" s="582">
        <f t="shared" si="12"/>
        <v>0</v>
      </c>
      <c r="CI14" s="582">
        <f t="shared" si="12"/>
        <v>0</v>
      </c>
      <c r="CJ14" s="582">
        <f t="shared" si="12"/>
        <v>0</v>
      </c>
      <c r="CK14" s="582">
        <f t="shared" si="12"/>
        <v>0</v>
      </c>
      <c r="CL14" s="582">
        <f t="shared" si="12"/>
        <v>0</v>
      </c>
      <c r="CM14" s="582">
        <f t="shared" si="12"/>
        <v>0</v>
      </c>
      <c r="CN14" s="582">
        <f t="shared" si="12"/>
        <v>0</v>
      </c>
      <c r="CO14" s="582">
        <f t="shared" si="12"/>
        <v>0</v>
      </c>
      <c r="CP14" s="582">
        <f t="shared" si="12"/>
        <v>0</v>
      </c>
      <c r="CQ14" s="582">
        <f t="shared" si="12"/>
        <v>0</v>
      </c>
      <c r="CR14" s="582">
        <f t="shared" si="12"/>
        <v>0</v>
      </c>
      <c r="CS14" s="582">
        <f t="shared" si="12"/>
        <v>0</v>
      </c>
      <c r="CT14" s="582">
        <f t="shared" si="12"/>
        <v>0</v>
      </c>
      <c r="CU14" s="582">
        <f t="shared" si="12"/>
        <v>0</v>
      </c>
      <c r="CV14" s="582">
        <f t="shared" si="12"/>
        <v>0</v>
      </c>
      <c r="CW14" s="582">
        <f t="shared" si="12"/>
        <v>0</v>
      </c>
      <c r="CX14" s="582">
        <f t="shared" si="12"/>
        <v>0</v>
      </c>
      <c r="CY14" s="582">
        <f t="shared" si="12"/>
        <v>0</v>
      </c>
      <c r="CZ14" s="582">
        <f t="shared" si="12"/>
        <v>0.36145830000000001</v>
      </c>
      <c r="DA14" s="582">
        <f t="shared" si="12"/>
        <v>0</v>
      </c>
      <c r="DB14" s="582">
        <f t="shared" si="12"/>
        <v>0.36145830000000001</v>
      </c>
      <c r="DC14" s="582">
        <f t="shared" si="12"/>
        <v>0</v>
      </c>
      <c r="DD14" s="582">
        <f t="shared" si="12"/>
        <v>0.6192742</v>
      </c>
      <c r="DE14" s="582">
        <f t="shared" si="12"/>
        <v>0</v>
      </c>
      <c r="DF14" s="582">
        <f t="shared" si="12"/>
        <v>0</v>
      </c>
      <c r="DG14" s="582">
        <f t="shared" si="12"/>
        <v>0</v>
      </c>
      <c r="DH14" s="582">
        <f t="shared" si="12"/>
        <v>0</v>
      </c>
      <c r="DI14" s="582">
        <f t="shared" si="12"/>
        <v>0</v>
      </c>
      <c r="DJ14" s="582">
        <f t="shared" si="12"/>
        <v>1.1942083000000001</v>
      </c>
      <c r="DK14" s="582">
        <f t="shared" si="12"/>
        <v>0</v>
      </c>
      <c r="DL14" s="582">
        <f t="shared" si="12"/>
        <v>0.32569320000000002</v>
      </c>
      <c r="DM14" s="582">
        <f t="shared" si="12"/>
        <v>0</v>
      </c>
      <c r="DN14" s="582">
        <f t="shared" si="12"/>
        <v>0.32569320000000002</v>
      </c>
      <c r="DO14" s="582">
        <f t="shared" si="12"/>
        <v>0</v>
      </c>
      <c r="DP14" s="582">
        <f t="shared" si="12"/>
        <v>0</v>
      </c>
      <c r="DQ14" s="582">
        <f t="shared" si="12"/>
        <v>0</v>
      </c>
      <c r="DR14" s="582">
        <f t="shared" si="12"/>
        <v>0.11579159999999999</v>
      </c>
      <c r="DS14" s="583">
        <f t="shared" si="12"/>
        <v>20.642477100000004</v>
      </c>
      <c r="DT14" s="582">
        <f t="shared" si="12"/>
        <v>0.33220699999999997</v>
      </c>
      <c r="DU14" s="582">
        <f t="shared" si="12"/>
        <v>0</v>
      </c>
      <c r="DV14" s="582">
        <f t="shared" si="12"/>
        <v>0.29945270000000002</v>
      </c>
      <c r="DW14" s="582">
        <f t="shared" si="12"/>
        <v>5.5199999999999997E-3</v>
      </c>
      <c r="DX14" s="582">
        <f t="shared" si="12"/>
        <v>1.1616955</v>
      </c>
      <c r="DY14" s="582">
        <f t="shared" si="12"/>
        <v>0</v>
      </c>
      <c r="DZ14" s="582">
        <f t="shared" si="12"/>
        <v>0.50696089999999994</v>
      </c>
      <c r="EA14" s="582">
        <f t="shared" si="12"/>
        <v>0</v>
      </c>
      <c r="EB14" s="582">
        <f t="shared" si="12"/>
        <v>0.10139219999999999</v>
      </c>
      <c r="EC14" s="582">
        <f t="shared" si="12"/>
        <v>0</v>
      </c>
      <c r="ED14" s="582">
        <f t="shared" si="12"/>
        <v>0.17150380000000001</v>
      </c>
      <c r="EE14" s="582">
        <f t="shared" si="12"/>
        <v>0</v>
      </c>
      <c r="EF14" s="582">
        <f t="shared" si="12"/>
        <v>0.65138629999999997</v>
      </c>
      <c r="EG14" s="582">
        <f t="shared" si="12"/>
        <v>0</v>
      </c>
      <c r="EH14" s="582">
        <f t="shared" si="12"/>
        <v>0.40988330000000001</v>
      </c>
      <c r="EI14" s="582">
        <f t="shared" si="12"/>
        <v>0</v>
      </c>
      <c r="EJ14" s="582">
        <f t="shared" si="12"/>
        <v>0</v>
      </c>
      <c r="EK14" s="582">
        <f t="shared" si="12"/>
        <v>7.8359999999999996E-4</v>
      </c>
      <c r="EL14" s="582">
        <f t="shared" si="12"/>
        <v>0.21712880000000001</v>
      </c>
      <c r="EM14" s="582">
        <f t="shared" si="12"/>
        <v>0.94267999999999996</v>
      </c>
      <c r="EN14" s="582">
        <f t="shared" si="12"/>
        <v>0</v>
      </c>
      <c r="EO14" s="582">
        <f t="shared" si="12"/>
        <v>0.4329885</v>
      </c>
      <c r="EP14" s="582">
        <f t="shared" si="12"/>
        <v>0.21712880000000001</v>
      </c>
      <c r="EQ14" s="582">
        <f t="shared" si="10"/>
        <v>0</v>
      </c>
      <c r="ER14" s="582">
        <f t="shared" si="8"/>
        <v>0</v>
      </c>
      <c r="ES14" s="582">
        <f t="shared" si="8"/>
        <v>0</v>
      </c>
      <c r="ET14" s="582">
        <f t="shared" si="8"/>
        <v>5.4507114000000003</v>
      </c>
      <c r="EU14" s="583">
        <f t="shared" si="8"/>
        <v>26.093188500000007</v>
      </c>
      <c r="EV14" s="582">
        <f t="shared" si="8"/>
        <v>0.1681598</v>
      </c>
      <c r="EW14" s="582">
        <f t="shared" si="8"/>
        <v>0.40140320000000002</v>
      </c>
      <c r="EX14" s="582">
        <f t="shared" si="8"/>
        <v>0.72462460000000006</v>
      </c>
      <c r="EY14" s="582">
        <f t="shared" si="8"/>
        <v>1.4872645999999998</v>
      </c>
      <c r="EZ14" s="582">
        <f t="shared" si="8"/>
        <v>1.3260299999999999E-2</v>
      </c>
      <c r="FA14" s="582">
        <f t="shared" si="8"/>
        <v>0</v>
      </c>
      <c r="FB14" s="582">
        <f t="shared" si="8"/>
        <v>0</v>
      </c>
      <c r="FC14" s="582">
        <f t="shared" si="8"/>
        <v>0</v>
      </c>
      <c r="FD14" s="582">
        <f t="shared" si="8"/>
        <v>0</v>
      </c>
      <c r="FE14" s="582">
        <f t="shared" si="8"/>
        <v>0</v>
      </c>
      <c r="FF14" s="582">
        <f t="shared" si="8"/>
        <v>0</v>
      </c>
      <c r="FG14" s="582">
        <f t="shared" si="8"/>
        <v>0</v>
      </c>
      <c r="FH14" s="582">
        <f t="shared" si="8"/>
        <v>0.24501669999999998</v>
      </c>
      <c r="FI14" s="582">
        <f t="shared" si="8"/>
        <v>0</v>
      </c>
      <c r="FJ14" s="582">
        <f t="shared" si="8"/>
        <v>4.90033E-2</v>
      </c>
      <c r="FK14" s="582">
        <f t="shared" si="8"/>
        <v>0</v>
      </c>
      <c r="FL14" s="582">
        <f t="shared" si="8"/>
        <v>0.1671946</v>
      </c>
      <c r="FM14" s="582">
        <f t="shared" si="8"/>
        <v>0.26340999999999998</v>
      </c>
      <c r="FN14" s="582">
        <f t="shared" si="8"/>
        <v>4.9378699999999998E-2</v>
      </c>
      <c r="FO14" s="582">
        <f t="shared" si="8"/>
        <v>7.2899000000000002E-3</v>
      </c>
      <c r="FP14" s="582">
        <f t="shared" si="8"/>
        <v>2.76729E-2</v>
      </c>
      <c r="FQ14" s="582">
        <f t="shared" si="8"/>
        <v>4.3097999999999999E-3</v>
      </c>
      <c r="FR14" s="582">
        <f t="shared" si="8"/>
        <v>2.15487E-2</v>
      </c>
      <c r="FS14" s="582">
        <f t="shared" si="8"/>
        <v>1.41131E-2</v>
      </c>
      <c r="FT14" s="582">
        <f t="shared" si="8"/>
        <v>8.25269E-2</v>
      </c>
      <c r="FU14" s="582">
        <f t="shared" si="8"/>
        <v>1.7422400000000001E-2</v>
      </c>
      <c r="FV14" s="583">
        <f t="shared" si="8"/>
        <v>1.4872645999999998</v>
      </c>
      <c r="FW14" s="582">
        <f t="shared" si="8"/>
        <v>0.15954979999999999</v>
      </c>
      <c r="FX14" s="582">
        <f t="shared" si="8"/>
        <v>2.3554699999999998E-2</v>
      </c>
      <c r="FY14" s="582">
        <f t="shared" si="8"/>
        <v>8.9235900000000007E-2</v>
      </c>
      <c r="FZ14" s="582">
        <f t="shared" si="8"/>
        <v>1.3925399999999999E-2</v>
      </c>
      <c r="GA14" s="582">
        <f t="shared" si="8"/>
        <v>6.9627099999999997E-2</v>
      </c>
      <c r="GB14" s="582">
        <f t="shared" si="8"/>
        <v>4.5510299999999997E-2</v>
      </c>
      <c r="GC14" s="582">
        <f t="shared" si="8"/>
        <v>0.26665709999999998</v>
      </c>
      <c r="GD14" s="582">
        <f t="shared" si="8"/>
        <v>5.6294300000000005E-2</v>
      </c>
      <c r="GE14" s="582"/>
      <c r="GF14" s="582"/>
      <c r="GG14" s="582">
        <f t="shared" ref="GG14:GH14" si="13">+GG7/100000</f>
        <v>5.9552186999999988</v>
      </c>
      <c r="GH14" s="582">
        <f t="shared" si="13"/>
        <v>32.048407200000007</v>
      </c>
    </row>
    <row r="15" spans="2:190" x14ac:dyDescent="0.2">
      <c r="D15" t="s">
        <v>727</v>
      </c>
      <c r="S15" s="582">
        <f t="shared" si="4"/>
        <v>0</v>
      </c>
      <c r="T15" s="582">
        <f t="shared" ref="T15:CE15" si="14">+T8/100000</f>
        <v>0</v>
      </c>
      <c r="U15" s="582">
        <f t="shared" si="14"/>
        <v>1.2236</v>
      </c>
      <c r="V15" s="582">
        <f t="shared" si="14"/>
        <v>0</v>
      </c>
      <c r="W15" s="582">
        <f t="shared" si="14"/>
        <v>0</v>
      </c>
      <c r="X15" s="582">
        <f t="shared" si="14"/>
        <v>0</v>
      </c>
      <c r="Y15" s="582">
        <f t="shared" si="14"/>
        <v>1.2236</v>
      </c>
      <c r="Z15" s="582">
        <f t="shared" si="14"/>
        <v>0</v>
      </c>
      <c r="AA15" s="582">
        <f t="shared" si="14"/>
        <v>0</v>
      </c>
      <c r="AB15" s="582">
        <f t="shared" si="14"/>
        <v>0.66689500000000002</v>
      </c>
      <c r="AC15" s="582">
        <f t="shared" si="14"/>
        <v>0.1360643</v>
      </c>
      <c r="AD15" s="582">
        <f t="shared" si="14"/>
        <v>2.7431456000000001</v>
      </c>
      <c r="AE15" s="582">
        <f t="shared" si="14"/>
        <v>0</v>
      </c>
      <c r="AF15" s="582">
        <f t="shared" si="14"/>
        <v>0.55967460000000002</v>
      </c>
      <c r="AG15" s="582">
        <f t="shared" si="14"/>
        <v>0</v>
      </c>
      <c r="AH15" s="582">
        <f t="shared" si="14"/>
        <v>3.0370111999999998</v>
      </c>
      <c r="AI15" s="582">
        <f t="shared" si="14"/>
        <v>0</v>
      </c>
      <c r="AJ15" s="582">
        <f t="shared" si="14"/>
        <v>0.61963099999999993</v>
      </c>
      <c r="AK15" s="582">
        <f t="shared" si="14"/>
        <v>0</v>
      </c>
      <c r="AL15" s="582">
        <f t="shared" si="14"/>
        <v>1.7999999999999999E-6</v>
      </c>
      <c r="AM15" s="582">
        <f t="shared" si="14"/>
        <v>0</v>
      </c>
      <c r="AN15" s="582">
        <f t="shared" si="14"/>
        <v>0</v>
      </c>
      <c r="AO15" s="582">
        <f t="shared" si="14"/>
        <v>0</v>
      </c>
      <c r="AP15" s="582">
        <f t="shared" si="14"/>
        <v>0</v>
      </c>
      <c r="AQ15" s="583">
        <f t="shared" si="14"/>
        <v>2.40795</v>
      </c>
      <c r="AR15" s="582">
        <f t="shared" si="14"/>
        <v>0</v>
      </c>
      <c r="AS15" s="582">
        <f t="shared" si="14"/>
        <v>0</v>
      </c>
      <c r="AT15" s="582">
        <f t="shared" si="14"/>
        <v>0</v>
      </c>
      <c r="AU15" s="582">
        <f t="shared" si="14"/>
        <v>0</v>
      </c>
      <c r="AV15" s="582">
        <f t="shared" si="14"/>
        <v>0</v>
      </c>
      <c r="AW15" s="582">
        <f t="shared" si="14"/>
        <v>0</v>
      </c>
      <c r="AX15" s="582">
        <f t="shared" si="14"/>
        <v>0</v>
      </c>
      <c r="AY15" s="582">
        <f t="shared" si="14"/>
        <v>0</v>
      </c>
      <c r="AZ15" s="582">
        <f t="shared" si="14"/>
        <v>0</v>
      </c>
      <c r="BA15" s="582">
        <f t="shared" si="14"/>
        <v>0</v>
      </c>
      <c r="BB15" s="582">
        <f t="shared" si="14"/>
        <v>0</v>
      </c>
      <c r="BC15" s="582">
        <f t="shared" si="14"/>
        <v>0</v>
      </c>
      <c r="BD15" s="582">
        <f t="shared" si="14"/>
        <v>0</v>
      </c>
      <c r="BE15" s="582">
        <f t="shared" si="14"/>
        <v>0</v>
      </c>
      <c r="BF15" s="582">
        <f t="shared" si="14"/>
        <v>0</v>
      </c>
      <c r="BG15" s="582">
        <f t="shared" si="14"/>
        <v>0</v>
      </c>
      <c r="BH15" s="582">
        <f t="shared" si="14"/>
        <v>0</v>
      </c>
      <c r="BI15" s="582">
        <f t="shared" si="14"/>
        <v>0</v>
      </c>
      <c r="BJ15" s="582">
        <f t="shared" si="14"/>
        <v>0</v>
      </c>
      <c r="BK15" s="582">
        <f t="shared" si="14"/>
        <v>1.9263600000000001</v>
      </c>
      <c r="BL15" s="582">
        <f t="shared" si="14"/>
        <v>0</v>
      </c>
      <c r="BM15" s="582">
        <f t="shared" si="14"/>
        <v>0.41475000000000001</v>
      </c>
      <c r="BN15" s="582">
        <f t="shared" si="14"/>
        <v>0.52974900000000003</v>
      </c>
      <c r="BO15" s="582">
        <f t="shared" si="14"/>
        <v>0</v>
      </c>
      <c r="BP15" s="582">
        <f t="shared" si="14"/>
        <v>0.14384</v>
      </c>
      <c r="BQ15" s="582">
        <f t="shared" si="14"/>
        <v>0</v>
      </c>
      <c r="BR15" s="582">
        <f t="shared" si="14"/>
        <v>0</v>
      </c>
      <c r="BS15" s="582">
        <f t="shared" si="14"/>
        <v>0</v>
      </c>
      <c r="BT15" s="582">
        <f t="shared" si="14"/>
        <v>0</v>
      </c>
      <c r="BU15" s="582">
        <f t="shared" si="14"/>
        <v>0</v>
      </c>
      <c r="BV15" s="582">
        <f t="shared" si="14"/>
        <v>3.7239120000000003</v>
      </c>
      <c r="BW15" s="582">
        <f t="shared" si="14"/>
        <v>0</v>
      </c>
      <c r="BX15" s="582">
        <f t="shared" si="14"/>
        <v>0</v>
      </c>
      <c r="BY15" s="582">
        <f t="shared" si="14"/>
        <v>0</v>
      </c>
      <c r="BZ15" s="582">
        <f t="shared" si="14"/>
        <v>0.67893479999999995</v>
      </c>
      <c r="CA15" s="582">
        <f t="shared" si="14"/>
        <v>0</v>
      </c>
      <c r="CB15" s="582">
        <f t="shared" si="14"/>
        <v>0.82308000000000003</v>
      </c>
      <c r="CC15" s="582">
        <f t="shared" si="14"/>
        <v>0</v>
      </c>
      <c r="CD15" s="582">
        <f t="shared" si="14"/>
        <v>0.46106999999999998</v>
      </c>
      <c r="CE15" s="582">
        <f t="shared" si="14"/>
        <v>0</v>
      </c>
      <c r="CF15" s="582">
        <f t="shared" si="12"/>
        <v>0.46106999999999998</v>
      </c>
      <c r="CG15" s="582">
        <f t="shared" si="12"/>
        <v>0.42379919999999999</v>
      </c>
      <c r="CH15" s="582">
        <f t="shared" si="12"/>
        <v>0</v>
      </c>
      <c r="CI15" s="582">
        <f t="shared" si="12"/>
        <v>0</v>
      </c>
      <c r="CJ15" s="582">
        <f t="shared" si="12"/>
        <v>0</v>
      </c>
      <c r="CK15" s="582">
        <f t="shared" si="12"/>
        <v>0</v>
      </c>
      <c r="CL15" s="582">
        <f t="shared" si="12"/>
        <v>0</v>
      </c>
      <c r="CM15" s="582">
        <f t="shared" si="12"/>
        <v>0</v>
      </c>
      <c r="CN15" s="582">
        <f t="shared" si="12"/>
        <v>0</v>
      </c>
      <c r="CO15" s="582">
        <f t="shared" si="12"/>
        <v>0</v>
      </c>
      <c r="CP15" s="582">
        <f t="shared" si="12"/>
        <v>0</v>
      </c>
      <c r="CQ15" s="582">
        <f t="shared" si="12"/>
        <v>0</v>
      </c>
      <c r="CR15" s="582">
        <f t="shared" si="12"/>
        <v>0</v>
      </c>
      <c r="CS15" s="582">
        <f t="shared" si="12"/>
        <v>0</v>
      </c>
      <c r="CT15" s="582">
        <f t="shared" si="12"/>
        <v>0</v>
      </c>
      <c r="CU15" s="582">
        <f t="shared" si="12"/>
        <v>0</v>
      </c>
      <c r="CV15" s="582">
        <f t="shared" si="12"/>
        <v>0</v>
      </c>
      <c r="CW15" s="582">
        <f t="shared" si="12"/>
        <v>0</v>
      </c>
      <c r="CX15" s="582">
        <f t="shared" si="12"/>
        <v>0</v>
      </c>
      <c r="CY15" s="582">
        <f t="shared" si="12"/>
        <v>0</v>
      </c>
      <c r="CZ15" s="582">
        <f t="shared" si="12"/>
        <v>0.39513870000000001</v>
      </c>
      <c r="DA15" s="582">
        <f t="shared" si="12"/>
        <v>0</v>
      </c>
      <c r="DB15" s="582">
        <f t="shared" si="12"/>
        <v>0.39513870000000001</v>
      </c>
      <c r="DC15" s="582">
        <f t="shared" si="12"/>
        <v>0</v>
      </c>
      <c r="DD15" s="582">
        <f t="shared" si="12"/>
        <v>0.6661241</v>
      </c>
      <c r="DE15" s="582">
        <f t="shared" si="12"/>
        <v>0</v>
      </c>
      <c r="DF15" s="582">
        <f t="shared" si="12"/>
        <v>0</v>
      </c>
      <c r="DG15" s="582">
        <f t="shared" si="12"/>
        <v>0</v>
      </c>
      <c r="DH15" s="582">
        <f t="shared" si="12"/>
        <v>0</v>
      </c>
      <c r="DI15" s="582">
        <f t="shared" si="12"/>
        <v>0</v>
      </c>
      <c r="DJ15" s="582">
        <f t="shared" si="12"/>
        <v>1.3193967000000002</v>
      </c>
      <c r="DK15" s="582">
        <f t="shared" si="12"/>
        <v>0</v>
      </c>
      <c r="DL15" s="582">
        <f t="shared" si="12"/>
        <v>0.35983550000000003</v>
      </c>
      <c r="DM15" s="582">
        <f t="shared" si="12"/>
        <v>0</v>
      </c>
      <c r="DN15" s="582">
        <f t="shared" si="12"/>
        <v>0.35983550000000003</v>
      </c>
      <c r="DO15" s="582">
        <f t="shared" si="12"/>
        <v>0</v>
      </c>
      <c r="DP15" s="582">
        <f t="shared" si="12"/>
        <v>0</v>
      </c>
      <c r="DQ15" s="582">
        <f t="shared" si="12"/>
        <v>0</v>
      </c>
      <c r="DR15" s="582">
        <f t="shared" si="12"/>
        <v>8.1649300000000008E-2</v>
      </c>
      <c r="DS15" s="583">
        <f t="shared" si="12"/>
        <v>22.204138499999996</v>
      </c>
      <c r="DT15" s="582">
        <f t="shared" si="12"/>
        <v>0.36703220000000003</v>
      </c>
      <c r="DU15" s="582">
        <f t="shared" si="12"/>
        <v>0</v>
      </c>
      <c r="DV15" s="582">
        <f t="shared" si="12"/>
        <v>0.31241439999999998</v>
      </c>
      <c r="DW15" s="582">
        <f t="shared" si="12"/>
        <v>5.5199999999999997E-3</v>
      </c>
      <c r="DX15" s="582">
        <f t="shared" si="12"/>
        <v>1.2842663000000001</v>
      </c>
      <c r="DY15" s="582">
        <f t="shared" si="12"/>
        <v>0</v>
      </c>
      <c r="DZ15" s="582">
        <f t="shared" si="12"/>
        <v>0.56045050000000007</v>
      </c>
      <c r="EA15" s="582">
        <f t="shared" si="12"/>
        <v>0</v>
      </c>
      <c r="EB15" s="582">
        <f t="shared" si="12"/>
        <v>0.1120901</v>
      </c>
      <c r="EC15" s="582">
        <f t="shared" si="12"/>
        <v>0</v>
      </c>
      <c r="ED15" s="582">
        <f t="shared" si="12"/>
        <v>0.1895992</v>
      </c>
      <c r="EE15" s="582">
        <f t="shared" si="12"/>
        <v>0</v>
      </c>
      <c r="EF15" s="582">
        <f t="shared" si="12"/>
        <v>0.7196709</v>
      </c>
      <c r="EG15" s="582">
        <f t="shared" si="12"/>
        <v>0</v>
      </c>
      <c r="EH15" s="582">
        <f t="shared" si="12"/>
        <v>0.35773430000000001</v>
      </c>
      <c r="EI15" s="582">
        <f t="shared" si="12"/>
        <v>0</v>
      </c>
      <c r="EJ15" s="582">
        <f t="shared" si="12"/>
        <v>0</v>
      </c>
      <c r="EK15" s="582">
        <f t="shared" si="12"/>
        <v>7.8359999999999996E-4</v>
      </c>
      <c r="EL15" s="582">
        <f t="shared" si="12"/>
        <v>0.2398904</v>
      </c>
      <c r="EM15" s="582">
        <f t="shared" si="12"/>
        <v>0.94267999999999996</v>
      </c>
      <c r="EN15" s="582">
        <f t="shared" si="12"/>
        <v>0</v>
      </c>
      <c r="EO15" s="582">
        <f t="shared" si="12"/>
        <v>0.46574529999999997</v>
      </c>
      <c r="EP15" s="582">
        <f t="shared" si="12"/>
        <v>0.2398903</v>
      </c>
      <c r="EQ15" s="582">
        <f t="shared" si="10"/>
        <v>0</v>
      </c>
      <c r="ER15" s="582">
        <f t="shared" si="8"/>
        <v>0</v>
      </c>
      <c r="ES15" s="582">
        <f t="shared" si="8"/>
        <v>0</v>
      </c>
      <c r="ET15" s="582">
        <f t="shared" si="8"/>
        <v>5.7977675</v>
      </c>
      <c r="EU15" s="583">
        <f t="shared" si="8"/>
        <v>28.001905999999995</v>
      </c>
      <c r="EV15" s="582">
        <f t="shared" si="8"/>
        <v>0.44018690000000005</v>
      </c>
      <c r="EW15" s="582">
        <f t="shared" si="8"/>
        <v>0.46108569999999999</v>
      </c>
      <c r="EX15" s="582">
        <f t="shared" si="8"/>
        <v>1.8337894000000001</v>
      </c>
      <c r="EY15" s="582">
        <f t="shared" si="8"/>
        <v>1.7078210999999999</v>
      </c>
      <c r="EZ15" s="582">
        <f t="shared" si="8"/>
        <v>3.9232800000000005E-2</v>
      </c>
      <c r="FA15" s="582">
        <f t="shared" si="8"/>
        <v>0</v>
      </c>
      <c r="FB15" s="582">
        <f t="shared" si="8"/>
        <v>0</v>
      </c>
      <c r="FC15" s="582">
        <f t="shared" si="8"/>
        <v>0</v>
      </c>
      <c r="FD15" s="582">
        <f t="shared" si="8"/>
        <v>0</v>
      </c>
      <c r="FE15" s="582">
        <f t="shared" si="8"/>
        <v>0</v>
      </c>
      <c r="FF15" s="582">
        <f t="shared" si="8"/>
        <v>0</v>
      </c>
      <c r="FG15" s="582">
        <f t="shared" si="8"/>
        <v>0</v>
      </c>
      <c r="FH15" s="582">
        <f t="shared" si="8"/>
        <v>0.72492190000000001</v>
      </c>
      <c r="FI15" s="582">
        <f t="shared" si="8"/>
        <v>0</v>
      </c>
      <c r="FJ15" s="582">
        <f t="shared" si="8"/>
        <v>0.14498450000000002</v>
      </c>
      <c r="FK15" s="582">
        <f t="shared" si="8"/>
        <v>0</v>
      </c>
      <c r="FL15" s="582">
        <f t="shared" si="8"/>
        <v>0.52213120000000002</v>
      </c>
      <c r="FM15" s="582">
        <f t="shared" si="8"/>
        <v>0.44175180000000003</v>
      </c>
      <c r="FN15" s="582">
        <f t="shared" si="8"/>
        <v>0.1491883</v>
      </c>
      <c r="FO15" s="582">
        <f t="shared" si="8"/>
        <v>2.2024999999999999E-2</v>
      </c>
      <c r="FP15" s="582">
        <f t="shared" si="8"/>
        <v>8.3522199999999991E-2</v>
      </c>
      <c r="FQ15" s="582">
        <f t="shared" si="8"/>
        <v>1.3021099999999999E-2</v>
      </c>
      <c r="FR15" s="582">
        <f t="shared" si="8"/>
        <v>6.5105399999999994E-2</v>
      </c>
      <c r="FS15" s="582">
        <f t="shared" si="8"/>
        <v>4.2596400000000006E-2</v>
      </c>
      <c r="FT15" s="582">
        <f t="shared" si="8"/>
        <v>0.24933970000000003</v>
      </c>
      <c r="FU15" s="582">
        <f t="shared" si="8"/>
        <v>4.1556700000000002E-2</v>
      </c>
      <c r="FV15" s="583">
        <f t="shared" si="8"/>
        <v>1.7078210999999999</v>
      </c>
      <c r="FW15" s="582">
        <f t="shared" si="8"/>
        <v>0.18330369999999999</v>
      </c>
      <c r="FX15" s="582">
        <f t="shared" si="8"/>
        <v>2.7061599999999998E-2</v>
      </c>
      <c r="FY15" s="582">
        <f t="shared" si="8"/>
        <v>0.1024692</v>
      </c>
      <c r="FZ15" s="582">
        <f t="shared" si="8"/>
        <v>1.5998599999999998E-2</v>
      </c>
      <c r="GA15" s="582">
        <f t="shared" si="8"/>
        <v>7.9993300000000003E-2</v>
      </c>
      <c r="GB15" s="582">
        <f t="shared" si="8"/>
        <v>5.2259300000000002E-2</v>
      </c>
      <c r="GC15" s="582">
        <f t="shared" si="8"/>
        <v>0.3063572</v>
      </c>
      <c r="GD15" s="582">
        <f t="shared" si="8"/>
        <v>5.1059600000000004E-2</v>
      </c>
      <c r="GE15" s="582"/>
      <c r="GF15" s="582"/>
      <c r="GG15" s="582">
        <f t="shared" ref="GG15:GH15" si="15">+GG8/100000</f>
        <v>9.5085836999999991</v>
      </c>
      <c r="GH15" s="582">
        <f t="shared" si="15"/>
        <v>37.510489700000001</v>
      </c>
    </row>
    <row r="16" spans="2:190" x14ac:dyDescent="0.2">
      <c r="DX16" s="589">
        <v>0.18</v>
      </c>
    </row>
    <row r="17" spans="178:178" x14ac:dyDescent="0.2">
      <c r="FV17" s="58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4"/>
  <sheetViews>
    <sheetView showGridLines="0" topLeftCell="A41" zoomScale="90" zoomScaleNormal="90" workbookViewId="0">
      <selection activeCell="H116" sqref="H116"/>
    </sheetView>
  </sheetViews>
  <sheetFormatPr baseColWidth="10" defaultRowHeight="12.75" x14ac:dyDescent="0.2"/>
  <cols>
    <col min="1" max="1" width="53.7109375" style="21" customWidth="1"/>
    <col min="2" max="2" width="20.85546875" style="21" customWidth="1"/>
    <col min="3" max="3" width="35.7109375" style="21" customWidth="1"/>
    <col min="4" max="4" width="11.85546875" style="21" customWidth="1"/>
    <col min="5" max="5" width="14.5703125" style="21" customWidth="1"/>
    <col min="6" max="6" width="16" style="21" customWidth="1"/>
    <col min="7" max="7" width="12.42578125" style="32" customWidth="1"/>
    <col min="8" max="8" width="18.7109375" style="32" customWidth="1"/>
    <col min="9" max="9" width="17.5703125" style="21" hidden="1" customWidth="1"/>
    <col min="10" max="10" width="12.5703125" style="21" customWidth="1"/>
    <col min="11" max="11" width="8.5703125" style="21" hidden="1" customWidth="1"/>
    <col min="12" max="12" width="7.28515625" style="21" hidden="1" customWidth="1"/>
    <col min="13" max="13" width="9.140625" style="21" hidden="1" customWidth="1"/>
    <col min="14" max="14" width="7.7109375" style="21" hidden="1" customWidth="1"/>
    <col min="15" max="15" width="8.140625" style="21" hidden="1" customWidth="1"/>
    <col min="16" max="16" width="5.85546875" style="21" hidden="1" customWidth="1"/>
    <col min="17" max="17" width="8.28515625" style="21" hidden="1" customWidth="1"/>
    <col min="18" max="18" width="6" style="21" hidden="1" customWidth="1"/>
    <col min="19" max="19" width="8.5703125" style="21" hidden="1" customWidth="1"/>
    <col min="20" max="20" width="9.42578125" style="21" hidden="1" customWidth="1"/>
    <col min="21" max="21" width="7.5703125" style="21" hidden="1" customWidth="1"/>
    <col min="22" max="22" width="5.42578125" style="21" hidden="1" customWidth="1"/>
    <col min="23" max="23" width="9.42578125" style="21" hidden="1" customWidth="1"/>
    <col min="24" max="24" width="7.140625" style="21" hidden="1" customWidth="1"/>
    <col min="25" max="25" width="11.42578125" style="21" hidden="1" customWidth="1"/>
    <col min="26" max="26" width="13" style="21" hidden="1" customWidth="1"/>
    <col min="27" max="27" width="10.28515625" style="32" hidden="1" customWidth="1"/>
    <col min="28" max="28" width="20.140625" style="21" bestFit="1" customWidth="1"/>
    <col min="29" max="29" width="14.140625" style="21" bestFit="1" customWidth="1"/>
    <col min="30" max="16384" width="11.42578125" style="21"/>
  </cols>
  <sheetData>
    <row r="1" spans="1:8" hidden="1" x14ac:dyDescent="0.2"/>
    <row r="2" spans="1:8" ht="23.25" x14ac:dyDescent="0.35">
      <c r="A2" s="333" t="s">
        <v>427</v>
      </c>
      <c r="B2" s="334"/>
      <c r="C2" s="334"/>
      <c r="D2" s="334"/>
      <c r="E2" s="334"/>
      <c r="F2" s="334"/>
      <c r="G2" s="335"/>
      <c r="H2" s="335"/>
    </row>
    <row r="3" spans="1:8" hidden="1" x14ac:dyDescent="0.2"/>
    <row r="5" spans="1:8" x14ac:dyDescent="0.2">
      <c r="A5" s="341"/>
      <c r="B5" s="342"/>
      <c r="C5" s="342"/>
      <c r="D5" s="343"/>
    </row>
    <row r="6" spans="1:8" ht="18" x14ac:dyDescent="0.25">
      <c r="A6" s="362" t="s">
        <v>399</v>
      </c>
      <c r="D6" s="344"/>
    </row>
    <row r="7" spans="1:8" x14ac:dyDescent="0.2">
      <c r="A7" s="345"/>
      <c r="D7" s="344"/>
    </row>
    <row r="8" spans="1:8" x14ac:dyDescent="0.2">
      <c r="A8" s="346" t="s">
        <v>357</v>
      </c>
      <c r="B8" s="347"/>
      <c r="C8" s="348"/>
      <c r="D8" s="344"/>
    </row>
    <row r="9" spans="1:8" x14ac:dyDescent="0.2">
      <c r="A9" s="346" t="s">
        <v>360</v>
      </c>
      <c r="B9" s="347"/>
      <c r="C9" s="348"/>
      <c r="D9" s="344"/>
    </row>
    <row r="10" spans="1:8" x14ac:dyDescent="0.2">
      <c r="A10" s="346" t="s">
        <v>361</v>
      </c>
      <c r="B10" s="347"/>
      <c r="C10" s="348"/>
      <c r="D10" s="344"/>
    </row>
    <row r="11" spans="1:8" x14ac:dyDescent="0.2">
      <c r="A11" s="346" t="s">
        <v>355</v>
      </c>
      <c r="B11" s="349"/>
      <c r="C11" s="348"/>
      <c r="D11" s="344"/>
    </row>
    <row r="12" spans="1:8" x14ac:dyDescent="0.2">
      <c r="A12" s="346" t="s">
        <v>356</v>
      </c>
      <c r="B12" s="349"/>
      <c r="C12" s="348"/>
      <c r="D12" s="344"/>
    </row>
    <row r="13" spans="1:8" x14ac:dyDescent="0.2">
      <c r="A13" s="350"/>
      <c r="B13" s="351"/>
      <c r="C13" s="351"/>
      <c r="D13" s="344"/>
    </row>
    <row r="14" spans="1:8" x14ac:dyDescent="0.2">
      <c r="A14" s="352" t="s">
        <v>365</v>
      </c>
      <c r="B14" s="336">
        <f>H70</f>
        <v>21769546.236666664</v>
      </c>
      <c r="C14" s="353">
        <f>B14/$B$37</f>
        <v>0.50641444113482437</v>
      </c>
      <c r="D14" s="344"/>
      <c r="E14" s="533"/>
      <c r="F14" s="533"/>
    </row>
    <row r="15" spans="1:8" ht="25.5" x14ac:dyDescent="0.2">
      <c r="A15" s="354" t="s">
        <v>367</v>
      </c>
      <c r="B15" s="355"/>
      <c r="C15" s="353"/>
      <c r="D15" s="344"/>
    </row>
    <row r="16" spans="1:8" x14ac:dyDescent="0.2">
      <c r="A16" s="354"/>
      <c r="B16" s="355"/>
      <c r="C16" s="353"/>
      <c r="D16" s="344"/>
    </row>
    <row r="17" spans="1:5" x14ac:dyDescent="0.2">
      <c r="A17" s="352" t="s">
        <v>366</v>
      </c>
      <c r="B17" s="336">
        <f>H83-B23+H89</f>
        <v>11247904.167206572</v>
      </c>
      <c r="C17" s="353">
        <f>B17/$B$37</f>
        <v>0.26165456279377924</v>
      </c>
      <c r="D17" s="344"/>
    </row>
    <row r="18" spans="1:5" x14ac:dyDescent="0.2">
      <c r="A18" s="354" t="s">
        <v>368</v>
      </c>
      <c r="B18" s="355"/>
      <c r="C18" s="353"/>
      <c r="D18" s="344"/>
    </row>
    <row r="19" spans="1:5" x14ac:dyDescent="0.2">
      <c r="A19" s="354"/>
      <c r="B19" s="355"/>
      <c r="C19" s="353"/>
      <c r="D19" s="344"/>
    </row>
    <row r="20" spans="1:5" x14ac:dyDescent="0.2">
      <c r="A20" s="352" t="s">
        <v>374</v>
      </c>
      <c r="B20" s="336">
        <f>H96</f>
        <v>2909674.4</v>
      </c>
      <c r="C20" s="353">
        <f>B20/$B$37</f>
        <v>6.7686350424634598E-2</v>
      </c>
      <c r="D20" s="344"/>
    </row>
    <row r="21" spans="1:5" x14ac:dyDescent="0.2">
      <c r="A21" s="354" t="s">
        <v>375</v>
      </c>
      <c r="B21" s="355"/>
      <c r="C21" s="353"/>
      <c r="D21" s="344"/>
    </row>
    <row r="22" spans="1:5" x14ac:dyDescent="0.2">
      <c r="A22" s="354"/>
      <c r="B22" s="355"/>
      <c r="C22" s="353"/>
      <c r="D22" s="344"/>
    </row>
    <row r="23" spans="1:5" x14ac:dyDescent="0.2">
      <c r="A23" s="356" t="s">
        <v>348</v>
      </c>
      <c r="B23" s="337">
        <f>+AB81</f>
        <v>3850000</v>
      </c>
      <c r="C23" s="353">
        <f>B23/$B$37</f>
        <v>8.9560690754554265E-2</v>
      </c>
      <c r="D23" s="344"/>
      <c r="E23" s="183"/>
    </row>
    <row r="24" spans="1:5" x14ac:dyDescent="0.2">
      <c r="A24" s="354" t="s">
        <v>369</v>
      </c>
      <c r="B24" s="355"/>
      <c r="C24" s="353"/>
      <c r="D24" s="344"/>
    </row>
    <row r="25" spans="1:5" x14ac:dyDescent="0.2">
      <c r="A25" s="354"/>
      <c r="B25" s="355"/>
      <c r="C25" s="353"/>
      <c r="D25" s="344"/>
    </row>
    <row r="26" spans="1:5" x14ac:dyDescent="0.2">
      <c r="A26" s="356" t="s">
        <v>370</v>
      </c>
      <c r="B26" s="336"/>
      <c r="C26" s="353">
        <f>B26/$B$37</f>
        <v>0</v>
      </c>
      <c r="D26" s="344"/>
    </row>
    <row r="27" spans="1:5" x14ac:dyDescent="0.2">
      <c r="A27" s="354" t="s">
        <v>371</v>
      </c>
      <c r="B27" s="355"/>
      <c r="C27" s="353"/>
      <c r="D27" s="344"/>
    </row>
    <row r="28" spans="1:5" x14ac:dyDescent="0.2">
      <c r="A28" s="354"/>
      <c r="B28" s="355"/>
      <c r="C28" s="353"/>
      <c r="D28" s="344"/>
    </row>
    <row r="29" spans="1:5" x14ac:dyDescent="0.2">
      <c r="A29" s="356" t="s">
        <v>362</v>
      </c>
      <c r="B29" s="336">
        <f>H101</f>
        <v>877512.95489891141</v>
      </c>
      <c r="C29" s="353">
        <f>B29/$B$37</f>
        <v>2.0413160100471825E-2</v>
      </c>
      <c r="D29" s="344"/>
    </row>
    <row r="30" spans="1:5" x14ac:dyDescent="0.2">
      <c r="A30" s="354" t="s">
        <v>363</v>
      </c>
      <c r="B30" s="355"/>
      <c r="C30" s="353"/>
      <c r="D30" s="344"/>
    </row>
    <row r="31" spans="1:5" x14ac:dyDescent="0.2">
      <c r="A31" s="354"/>
      <c r="B31" s="355"/>
      <c r="C31" s="353"/>
      <c r="D31" s="344"/>
    </row>
    <row r="32" spans="1:5" x14ac:dyDescent="0.2">
      <c r="A32" s="357" t="s">
        <v>376</v>
      </c>
      <c r="B32" s="338">
        <f>SUM(B14:B29)</f>
        <v>40654637.758772142</v>
      </c>
      <c r="C32" s="339">
        <f>SUM(C14:C29)</f>
        <v>0.9457292052082642</v>
      </c>
      <c r="D32" s="344"/>
    </row>
    <row r="33" spans="1:30" x14ac:dyDescent="0.2">
      <c r="A33" s="354"/>
      <c r="B33" s="355"/>
      <c r="C33" s="353"/>
      <c r="D33" s="344"/>
    </row>
    <row r="34" spans="1:30" x14ac:dyDescent="0.2">
      <c r="A34" s="357" t="s">
        <v>372</v>
      </c>
      <c r="B34" s="340">
        <f>H104</f>
        <v>2332971.7333333334</v>
      </c>
      <c r="C34" s="339">
        <f>I104</f>
        <v>5.4270794791735869E-2</v>
      </c>
      <c r="D34" s="344"/>
    </row>
    <row r="35" spans="1:30" x14ac:dyDescent="0.2">
      <c r="A35" s="354" t="s">
        <v>377</v>
      </c>
      <c r="B35" s="355"/>
      <c r="C35" s="353"/>
      <c r="D35" s="344"/>
    </row>
    <row r="36" spans="1:30" x14ac:dyDescent="0.2">
      <c r="A36" s="354"/>
      <c r="B36" s="355"/>
      <c r="C36" s="353"/>
      <c r="D36" s="344"/>
    </row>
    <row r="37" spans="1:30" x14ac:dyDescent="0.2">
      <c r="A37" s="357" t="s">
        <v>373</v>
      </c>
      <c r="B37" s="340">
        <f>+B32+B34</f>
        <v>42987609.492105477</v>
      </c>
      <c r="C37" s="339">
        <f>+C32+C34</f>
        <v>1</v>
      </c>
      <c r="D37" s="344"/>
    </row>
    <row r="38" spans="1:30" x14ac:dyDescent="0.2">
      <c r="A38" s="354"/>
      <c r="B38" s="355"/>
      <c r="C38" s="353"/>
      <c r="D38" s="344"/>
      <c r="F38" s="59"/>
    </row>
    <row r="39" spans="1:30" x14ac:dyDescent="0.2">
      <c r="A39" s="354" t="s">
        <v>358</v>
      </c>
      <c r="B39" s="358">
        <f>B41/B37</f>
        <v>1.3465721570451723</v>
      </c>
      <c r="C39" s="353"/>
      <c r="D39" s="344"/>
    </row>
    <row r="40" spans="1:30" x14ac:dyDescent="0.2">
      <c r="A40" s="354"/>
      <c r="B40" s="355"/>
      <c r="C40" s="353"/>
      <c r="D40" s="344"/>
    </row>
    <row r="41" spans="1:30" x14ac:dyDescent="0.2">
      <c r="A41" s="357" t="s">
        <v>364</v>
      </c>
      <c r="B41" s="340">
        <f>+H118</f>
        <v>57885918.039999999</v>
      </c>
      <c r="C41" s="353"/>
      <c r="D41" s="344"/>
    </row>
    <row r="42" spans="1:30" x14ac:dyDescent="0.2">
      <c r="A42" s="359"/>
      <c r="B42" s="360"/>
      <c r="C42" s="360"/>
      <c r="D42" s="361"/>
    </row>
    <row r="45" spans="1:30" ht="13.5" thickBot="1" x14ac:dyDescent="0.25"/>
    <row r="46" spans="1:30" ht="13.5" thickBot="1" x14ac:dyDescent="0.25">
      <c r="AB46" s="543"/>
      <c r="AC46" s="548" t="s">
        <v>477</v>
      </c>
      <c r="AD46" s="544" t="s">
        <v>527</v>
      </c>
    </row>
    <row r="47" spans="1:30" ht="13.5" thickBot="1" x14ac:dyDescent="0.25">
      <c r="AB47" s="547">
        <v>45231</v>
      </c>
      <c r="AC47" s="549">
        <f>+H61</f>
        <v>2977294.3366666664</v>
      </c>
      <c r="AD47" s="550">
        <f>+AC47/360</f>
        <v>8270.262046296295</v>
      </c>
    </row>
    <row r="48" spans="1:30" x14ac:dyDescent="0.2">
      <c r="AB48" s="545">
        <v>44986</v>
      </c>
      <c r="AC48" s="551">
        <f>+AC47*1.79</f>
        <v>5329356.8626333326</v>
      </c>
      <c r="AD48" s="552">
        <f>+AC48/842</f>
        <v>6329.4024496832926</v>
      </c>
    </row>
    <row r="49" spans="1:30" ht="13.5" thickBot="1" x14ac:dyDescent="0.25">
      <c r="AB49" s="546"/>
      <c r="AC49" s="553">
        <f>+AC47*1.6</f>
        <v>4763670.9386666669</v>
      </c>
      <c r="AD49" s="554">
        <f>+AC49/842</f>
        <v>5657.5664354711007</v>
      </c>
    </row>
    <row r="50" spans="1:30" ht="15.75" x14ac:dyDescent="0.2">
      <c r="A50" s="167" t="s">
        <v>429</v>
      </c>
      <c r="B50" s="32"/>
      <c r="C50" s="32"/>
    </row>
    <row r="51" spans="1:30" x14ac:dyDescent="0.2">
      <c r="K51" s="617" t="s">
        <v>140</v>
      </c>
      <c r="L51" s="618"/>
      <c r="M51" s="618"/>
      <c r="N51" s="619"/>
      <c r="O51" s="617" t="s">
        <v>139</v>
      </c>
      <c r="P51" s="618"/>
      <c r="Q51" s="618"/>
      <c r="R51" s="618"/>
      <c r="S51" s="618"/>
      <c r="T51" s="619"/>
      <c r="U51" s="70"/>
      <c r="V51" s="71"/>
      <c r="W51" s="72"/>
      <c r="X51" s="49" t="s">
        <v>349</v>
      </c>
      <c r="Y51" s="50"/>
      <c r="Z51" s="50"/>
      <c r="AA51" s="179"/>
    </row>
    <row r="52" spans="1:30" ht="38.25" x14ac:dyDescent="0.2">
      <c r="A52" s="596" t="s">
        <v>4</v>
      </c>
      <c r="B52" s="597"/>
      <c r="C52" s="165" t="s">
        <v>35</v>
      </c>
      <c r="D52" s="598" t="s">
        <v>47</v>
      </c>
      <c r="E52" s="599"/>
      <c r="F52" s="598" t="s">
        <v>48</v>
      </c>
      <c r="G52" s="599"/>
      <c r="H52" s="166" t="s">
        <v>6</v>
      </c>
      <c r="I52" s="61" t="s">
        <v>38</v>
      </c>
      <c r="J52" s="32"/>
      <c r="K52" s="616" t="s">
        <v>128</v>
      </c>
      <c r="L52" s="616"/>
      <c r="M52" s="616" t="s">
        <v>129</v>
      </c>
      <c r="N52" s="616"/>
      <c r="O52" s="598" t="s">
        <v>138</v>
      </c>
      <c r="P52" s="599"/>
      <c r="Q52" s="598" t="s">
        <v>128</v>
      </c>
      <c r="R52" s="599"/>
      <c r="S52" s="616" t="s">
        <v>129</v>
      </c>
      <c r="T52" s="616"/>
      <c r="U52" s="598" t="s">
        <v>137</v>
      </c>
      <c r="V52" s="599"/>
      <c r="W52" s="61" t="s">
        <v>5</v>
      </c>
      <c r="X52" s="180" t="s">
        <v>350</v>
      </c>
      <c r="Y52" s="182" t="s">
        <v>351</v>
      </c>
      <c r="Z52" s="180" t="s">
        <v>347</v>
      </c>
      <c r="AA52" s="180" t="s">
        <v>348</v>
      </c>
    </row>
    <row r="53" spans="1:30" x14ac:dyDescent="0.2">
      <c r="A53" s="134"/>
      <c r="B53" s="65"/>
      <c r="C53" s="65"/>
      <c r="D53" s="65"/>
      <c r="E53" s="65"/>
      <c r="F53" s="65"/>
      <c r="G53" s="65"/>
      <c r="H53" s="65"/>
      <c r="I53" s="65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</row>
    <row r="54" spans="1:30" x14ac:dyDescent="0.2">
      <c r="A54" s="130" t="s">
        <v>54</v>
      </c>
      <c r="B54" s="135" t="s">
        <v>39</v>
      </c>
      <c r="C54" s="135"/>
      <c r="D54" s="32"/>
      <c r="E54" s="32"/>
      <c r="F54" s="32"/>
      <c r="I54" s="32"/>
      <c r="J54" s="32"/>
      <c r="K54" s="137" t="s">
        <v>23</v>
      </c>
      <c r="L54" s="137" t="s">
        <v>124</v>
      </c>
      <c r="M54" s="137" t="s">
        <v>23</v>
      </c>
      <c r="N54" s="137" t="s">
        <v>124</v>
      </c>
      <c r="O54" s="137" t="s">
        <v>23</v>
      </c>
      <c r="P54" s="137" t="s">
        <v>124</v>
      </c>
      <c r="Q54" s="137" t="s">
        <v>23</v>
      </c>
      <c r="R54" s="137" t="s">
        <v>124</v>
      </c>
      <c r="S54" s="137" t="s">
        <v>23</v>
      </c>
      <c r="T54" s="137" t="s">
        <v>124</v>
      </c>
      <c r="U54" s="137" t="s">
        <v>23</v>
      </c>
      <c r="V54" s="137" t="s">
        <v>124</v>
      </c>
      <c r="W54" s="137"/>
    </row>
    <row r="55" spans="1:30" x14ac:dyDescent="0.2">
      <c r="A55" s="21" t="str">
        <f>+MO!A57</f>
        <v>Operador</v>
      </c>
      <c r="C55" s="32" t="s">
        <v>49</v>
      </c>
      <c r="D55" s="604">
        <f>+MO!$AM$63</f>
        <v>14886.471683333331</v>
      </c>
      <c r="E55" s="605"/>
      <c r="F55" s="606">
        <v>200</v>
      </c>
      <c r="G55" s="606"/>
      <c r="H55" s="308">
        <f t="shared" ref="H55:H64" si="0">D55*F55</f>
        <v>2977294.3366666664</v>
      </c>
      <c r="I55" s="32"/>
      <c r="J55" s="32"/>
      <c r="K55" s="83">
        <v>0</v>
      </c>
      <c r="L55" s="32">
        <v>0</v>
      </c>
      <c r="M55" s="83">
        <v>0</v>
      </c>
      <c r="N55" s="32">
        <v>0</v>
      </c>
      <c r="O55" s="83">
        <v>0</v>
      </c>
      <c r="P55" s="32"/>
      <c r="Q55" s="83">
        <v>0</v>
      </c>
      <c r="R55" s="32"/>
      <c r="S55" s="83">
        <v>0</v>
      </c>
      <c r="T55" s="32"/>
      <c r="U55" s="83">
        <v>0</v>
      </c>
      <c r="V55" s="32"/>
      <c r="W55" s="83">
        <f>(K55*L55)+(M55*N55)</f>
        <v>0</v>
      </c>
      <c r="X55" s="11"/>
      <c r="Y55" s="11">
        <v>0</v>
      </c>
      <c r="Z55" s="11">
        <f t="shared" ref="Z55:Z62" si="1">+H55-Y55</f>
        <v>2977294.3366666664</v>
      </c>
      <c r="AA55" s="11"/>
    </row>
    <row r="56" spans="1:30" x14ac:dyDescent="0.2">
      <c r="A56" s="21" t="str">
        <f>+MO!A58</f>
        <v>Operador</v>
      </c>
      <c r="C56" s="32" t="s">
        <v>49</v>
      </c>
      <c r="D56" s="604">
        <f>+D55</f>
        <v>14886.471683333331</v>
      </c>
      <c r="E56" s="605"/>
      <c r="F56" s="606">
        <v>200</v>
      </c>
      <c r="G56" s="606"/>
      <c r="H56" s="308">
        <f t="shared" si="0"/>
        <v>2977294.3366666664</v>
      </c>
      <c r="I56" s="32"/>
      <c r="J56" s="32"/>
      <c r="K56" s="83">
        <v>0</v>
      </c>
      <c r="L56" s="32"/>
      <c r="M56" s="83">
        <v>0</v>
      </c>
      <c r="N56" s="32"/>
      <c r="O56" s="83">
        <v>0</v>
      </c>
      <c r="P56" s="32"/>
      <c r="Q56" s="83">
        <v>0</v>
      </c>
      <c r="R56" s="32"/>
      <c r="S56" s="83">
        <v>0</v>
      </c>
      <c r="T56" s="32"/>
      <c r="U56" s="83">
        <v>0</v>
      </c>
      <c r="V56" s="32"/>
      <c r="W56" s="83">
        <f>(K56*L56)+(M56*N56)</f>
        <v>0</v>
      </c>
      <c r="X56" s="11"/>
      <c r="Y56" s="11">
        <v>0</v>
      </c>
      <c r="Z56" s="11">
        <f t="shared" si="1"/>
        <v>2977294.3366666664</v>
      </c>
      <c r="AA56" s="11"/>
    </row>
    <row r="57" spans="1:30" x14ac:dyDescent="0.2">
      <c r="A57" s="21" t="str">
        <f>+MO!A59</f>
        <v>Supervisor</v>
      </c>
      <c r="C57" s="32" t="s">
        <v>49</v>
      </c>
      <c r="D57" s="604">
        <f>+MO!AM59</f>
        <v>19528.901083333338</v>
      </c>
      <c r="E57" s="605"/>
      <c r="F57" s="606">
        <v>200</v>
      </c>
      <c r="G57" s="606"/>
      <c r="H57" s="308">
        <f t="shared" si="0"/>
        <v>3905780.2166666677</v>
      </c>
      <c r="I57" s="32"/>
      <c r="J57" s="11"/>
      <c r="K57" s="83"/>
      <c r="L57" s="32"/>
      <c r="M57" s="83"/>
      <c r="N57" s="32"/>
      <c r="O57" s="83"/>
      <c r="P57" s="32"/>
      <c r="Q57" s="83"/>
      <c r="R57" s="32"/>
      <c r="S57" s="83"/>
      <c r="T57" s="32"/>
      <c r="U57" s="83"/>
      <c r="V57" s="32"/>
      <c r="W57" s="83"/>
      <c r="X57" s="11"/>
      <c r="Y57" s="11"/>
      <c r="Z57" s="11"/>
      <c r="AA57" s="11"/>
    </row>
    <row r="58" spans="1:30" x14ac:dyDescent="0.2">
      <c r="A58" s="21" t="str">
        <f>+MO!A60</f>
        <v>Operador</v>
      </c>
      <c r="C58" s="32" t="s">
        <v>49</v>
      </c>
      <c r="D58" s="604">
        <f>+D56</f>
        <v>14886.471683333331</v>
      </c>
      <c r="E58" s="605"/>
      <c r="F58" s="606">
        <v>200</v>
      </c>
      <c r="G58" s="606"/>
      <c r="H58" s="308">
        <f t="shared" si="0"/>
        <v>2977294.3366666664</v>
      </c>
      <c r="I58" s="32"/>
      <c r="J58" s="32"/>
      <c r="K58" s="83"/>
      <c r="L58" s="32"/>
      <c r="M58" s="83"/>
      <c r="N58" s="32"/>
      <c r="O58" s="83"/>
      <c r="P58" s="32"/>
      <c r="Q58" s="83"/>
      <c r="R58" s="32"/>
      <c r="S58" s="83"/>
      <c r="T58" s="32"/>
      <c r="U58" s="83"/>
      <c r="V58" s="32"/>
      <c r="W58" s="83"/>
      <c r="X58" s="11"/>
      <c r="Y58" s="11"/>
      <c r="Z58" s="11"/>
      <c r="AA58" s="11"/>
      <c r="AB58" s="542"/>
    </row>
    <row r="59" spans="1:30" x14ac:dyDescent="0.2">
      <c r="A59" s="21" t="str">
        <f>+MO!A61</f>
        <v>Operador</v>
      </c>
      <c r="C59" s="32" t="s">
        <v>49</v>
      </c>
      <c r="D59" s="604">
        <f>+D58</f>
        <v>14886.471683333331</v>
      </c>
      <c r="E59" s="605"/>
      <c r="F59" s="606">
        <v>200</v>
      </c>
      <c r="G59" s="606"/>
      <c r="H59" s="308">
        <f t="shared" si="0"/>
        <v>2977294.3366666664</v>
      </c>
      <c r="I59" s="32"/>
      <c r="J59" s="32"/>
      <c r="K59" s="83"/>
      <c r="L59" s="32"/>
      <c r="M59" s="83"/>
      <c r="N59" s="32"/>
      <c r="O59" s="83"/>
      <c r="P59" s="32"/>
      <c r="Q59" s="83"/>
      <c r="R59" s="32"/>
      <c r="S59" s="83"/>
      <c r="T59" s="32"/>
      <c r="U59" s="83"/>
      <c r="V59" s="32"/>
      <c r="W59" s="83"/>
      <c r="X59" s="11"/>
      <c r="Y59" s="11"/>
      <c r="Z59" s="11"/>
      <c r="AA59" s="11"/>
    </row>
    <row r="60" spans="1:30" x14ac:dyDescent="0.2">
      <c r="A60" s="21" t="str">
        <f>+MO!A62</f>
        <v>Operador</v>
      </c>
      <c r="C60" s="32" t="s">
        <v>49</v>
      </c>
      <c r="D60" s="604">
        <f t="shared" ref="D60:D61" si="2">+D59</f>
        <v>14886.471683333331</v>
      </c>
      <c r="E60" s="605"/>
      <c r="F60" s="606">
        <v>200</v>
      </c>
      <c r="G60" s="606"/>
      <c r="H60" s="308">
        <f t="shared" si="0"/>
        <v>2977294.3366666664</v>
      </c>
      <c r="I60" s="32"/>
      <c r="J60" s="32"/>
      <c r="K60" s="136"/>
      <c r="L60" s="32"/>
      <c r="M60" s="136"/>
      <c r="N60" s="32"/>
      <c r="O60" s="136"/>
      <c r="P60" s="32"/>
      <c r="Q60" s="136"/>
      <c r="R60" s="32"/>
      <c r="S60" s="136"/>
      <c r="T60" s="32"/>
      <c r="U60" s="136"/>
      <c r="V60" s="32"/>
      <c r="W60" s="136"/>
      <c r="X60" s="11"/>
      <c r="Y60" s="11"/>
      <c r="Z60" s="11"/>
      <c r="AA60" s="11"/>
    </row>
    <row r="61" spans="1:30" x14ac:dyDescent="0.2">
      <c r="A61" s="21" t="str">
        <f>+MO!A63</f>
        <v>Operador</v>
      </c>
      <c r="C61" s="32" t="s">
        <v>49</v>
      </c>
      <c r="D61" s="604">
        <f t="shared" si="2"/>
        <v>14886.471683333331</v>
      </c>
      <c r="E61" s="605"/>
      <c r="F61" s="606">
        <v>200</v>
      </c>
      <c r="G61" s="606"/>
      <c r="H61" s="308">
        <f>D61*F61</f>
        <v>2977294.3366666664</v>
      </c>
      <c r="I61" s="32"/>
      <c r="J61" s="32"/>
      <c r="K61" s="136"/>
      <c r="L61" s="32"/>
      <c r="M61" s="136"/>
      <c r="N61" s="32"/>
      <c r="O61" s="136"/>
      <c r="P61" s="32"/>
      <c r="Q61" s="136"/>
      <c r="R61" s="32"/>
      <c r="S61" s="136"/>
      <c r="T61" s="32"/>
      <c r="U61" s="136"/>
      <c r="V61" s="32"/>
      <c r="W61" s="136"/>
      <c r="X61" s="11"/>
      <c r="Y61" s="11">
        <v>0</v>
      </c>
      <c r="Z61" s="11">
        <f t="shared" si="1"/>
        <v>2977294.3366666664</v>
      </c>
      <c r="AA61" s="11"/>
      <c r="AB61" s="59">
        <f>H61/860</f>
        <v>3461.9701589147285</v>
      </c>
    </row>
    <row r="62" spans="1:30" x14ac:dyDescent="0.2">
      <c r="C62" s="32"/>
      <c r="D62" s="604"/>
      <c r="E62" s="604"/>
      <c r="F62" s="607"/>
      <c r="G62" s="607"/>
      <c r="H62" s="308"/>
      <c r="I62" s="32"/>
      <c r="J62" s="32"/>
      <c r="K62" s="136"/>
      <c r="L62" s="32"/>
      <c r="M62" s="136"/>
      <c r="N62" s="32"/>
      <c r="O62" s="136"/>
      <c r="P62" s="32"/>
      <c r="Q62" s="136"/>
      <c r="R62" s="32"/>
      <c r="S62" s="136"/>
      <c r="T62" s="32"/>
      <c r="U62" s="136"/>
      <c r="V62" s="32"/>
      <c r="W62" s="136"/>
      <c r="X62" s="11"/>
      <c r="Y62" s="11">
        <v>0</v>
      </c>
      <c r="Z62" s="11">
        <f t="shared" si="1"/>
        <v>0</v>
      </c>
      <c r="AA62" s="11"/>
    </row>
    <row r="63" spans="1:30" x14ac:dyDescent="0.2">
      <c r="C63" s="32"/>
      <c r="D63" s="615">
        <v>0</v>
      </c>
      <c r="E63" s="615"/>
      <c r="F63" s="610"/>
      <c r="G63" s="610"/>
      <c r="H63" s="11">
        <f t="shared" si="0"/>
        <v>0</v>
      </c>
      <c r="I63" s="32"/>
      <c r="J63" s="32"/>
      <c r="K63" s="136"/>
      <c r="L63" s="32"/>
      <c r="M63" s="136"/>
      <c r="N63" s="32"/>
      <c r="O63" s="136"/>
      <c r="P63" s="32"/>
      <c r="Q63" s="136"/>
      <c r="R63" s="32"/>
      <c r="S63" s="136"/>
      <c r="T63" s="32"/>
      <c r="U63" s="136"/>
      <c r="V63" s="32"/>
      <c r="W63" s="136"/>
    </row>
    <row r="64" spans="1:30" x14ac:dyDescent="0.2">
      <c r="C64" s="32"/>
      <c r="D64" s="615">
        <v>0</v>
      </c>
      <c r="E64" s="615"/>
      <c r="F64" s="610"/>
      <c r="G64" s="610"/>
      <c r="H64" s="11">
        <f t="shared" si="0"/>
        <v>0</v>
      </c>
      <c r="I64" s="32"/>
      <c r="J64" s="32"/>
      <c r="K64" s="136"/>
      <c r="L64" s="32"/>
      <c r="M64" s="136"/>
      <c r="N64" s="32"/>
      <c r="O64" s="136"/>
      <c r="P64" s="32"/>
      <c r="Q64" s="136"/>
      <c r="R64" s="32"/>
      <c r="S64" s="136"/>
      <c r="T64" s="32"/>
      <c r="U64" s="136"/>
      <c r="V64" s="32"/>
      <c r="W64" s="136"/>
    </row>
    <row r="65" spans="1:29" x14ac:dyDescent="0.2">
      <c r="A65" s="130" t="s">
        <v>125</v>
      </c>
      <c r="B65" s="138" t="s">
        <v>39</v>
      </c>
      <c r="C65" s="32"/>
      <c r="D65" s="59"/>
      <c r="E65" s="59"/>
      <c r="G65" s="21"/>
      <c r="H65" s="11"/>
      <c r="I65" s="32"/>
      <c r="J65" s="32"/>
      <c r="K65" s="136"/>
      <c r="L65" s="32"/>
      <c r="M65" s="136"/>
      <c r="N65" s="32"/>
      <c r="O65" s="136"/>
      <c r="P65" s="32"/>
      <c r="Q65" s="136"/>
      <c r="R65" s="32"/>
      <c r="S65" s="136"/>
      <c r="T65" s="32"/>
      <c r="U65" s="136"/>
      <c r="V65" s="32"/>
      <c r="W65" s="136"/>
    </row>
    <row r="66" spans="1:29" x14ac:dyDescent="0.2">
      <c r="C66" s="32"/>
      <c r="D66" s="59">
        <v>0</v>
      </c>
      <c r="E66" s="59"/>
      <c r="F66" s="620">
        <v>0</v>
      </c>
      <c r="G66" s="620"/>
      <c r="H66" s="11">
        <f>D66*F66</f>
        <v>0</v>
      </c>
      <c r="I66" s="32"/>
      <c r="J66" s="32"/>
      <c r="K66" s="136"/>
      <c r="L66" s="32"/>
      <c r="M66" s="136"/>
      <c r="N66" s="32"/>
      <c r="O66" s="136"/>
      <c r="P66" s="32"/>
      <c r="Q66" s="136"/>
      <c r="R66" s="32"/>
      <c r="S66" s="136"/>
      <c r="T66" s="32"/>
      <c r="U66" s="136"/>
      <c r="V66" s="32"/>
      <c r="W66" s="136"/>
    </row>
    <row r="67" spans="1:29" x14ac:dyDescent="0.2">
      <c r="C67" s="32"/>
      <c r="D67" s="59">
        <v>0</v>
      </c>
      <c r="E67" s="59"/>
      <c r="F67" s="610"/>
      <c r="G67" s="610"/>
      <c r="H67" s="11">
        <f>D67*F67</f>
        <v>0</v>
      </c>
      <c r="I67" s="32"/>
      <c r="J67" s="32"/>
      <c r="K67" s="136"/>
      <c r="L67" s="32"/>
      <c r="M67" s="136"/>
      <c r="N67" s="32"/>
      <c r="O67" s="136"/>
      <c r="P67" s="32"/>
      <c r="Q67" s="136"/>
      <c r="R67" s="32"/>
      <c r="S67" s="136"/>
      <c r="T67" s="32"/>
      <c r="U67" s="136"/>
      <c r="V67" s="32"/>
      <c r="W67" s="136"/>
    </row>
    <row r="68" spans="1:29" x14ac:dyDescent="0.2">
      <c r="C68" s="32"/>
      <c r="D68" s="59">
        <v>0</v>
      </c>
      <c r="E68" s="59"/>
      <c r="F68" s="610"/>
      <c r="G68" s="610"/>
      <c r="H68" s="11">
        <f>D68*F68</f>
        <v>0</v>
      </c>
      <c r="I68" s="32"/>
      <c r="J68" s="32"/>
      <c r="K68" s="136"/>
      <c r="L68" s="32"/>
      <c r="M68" s="136"/>
      <c r="N68" s="32"/>
      <c r="O68" s="136"/>
      <c r="P68" s="32"/>
      <c r="Q68" s="136"/>
      <c r="R68" s="32"/>
      <c r="S68" s="136"/>
      <c r="T68" s="32"/>
      <c r="U68" s="136"/>
      <c r="V68" s="32"/>
      <c r="W68" s="136"/>
    </row>
    <row r="69" spans="1:29" x14ac:dyDescent="0.2">
      <c r="C69" s="32"/>
      <c r="D69" s="59">
        <v>0</v>
      </c>
      <c r="E69" s="11"/>
      <c r="F69" s="610"/>
      <c r="G69" s="610"/>
      <c r="H69" s="11">
        <f>D69*F69</f>
        <v>0</v>
      </c>
      <c r="I69" s="32"/>
      <c r="J69" s="32"/>
      <c r="K69" s="136"/>
      <c r="L69" s="32"/>
      <c r="M69" s="136"/>
      <c r="N69" s="32"/>
      <c r="O69" s="136"/>
      <c r="P69" s="32"/>
      <c r="Q69" s="136"/>
      <c r="R69" s="32"/>
      <c r="S69" s="136"/>
      <c r="T69" s="32"/>
      <c r="U69" s="136"/>
      <c r="V69" s="32"/>
      <c r="W69" s="136"/>
    </row>
    <row r="70" spans="1:29" x14ac:dyDescent="0.2">
      <c r="B70" s="139" t="s">
        <v>43</v>
      </c>
      <c r="C70" s="140"/>
      <c r="D70" s="600"/>
      <c r="E70" s="601"/>
      <c r="F70" s="602">
        <f>SUM(F55:G69)</f>
        <v>1400</v>
      </c>
      <c r="G70" s="603"/>
      <c r="H70" s="160">
        <f>((SUM(H55:H69)))</f>
        <v>21769546.236666664</v>
      </c>
      <c r="I70" s="163">
        <f>H70/$H$106</f>
        <v>0.50641444113482437</v>
      </c>
      <c r="J70" s="584">
        <f>+H70/$H$106</f>
        <v>0.50641444113482437</v>
      </c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160">
        <f>(SUM(X55:X69))</f>
        <v>0</v>
      </c>
      <c r="Y70" s="160">
        <f>(SUM(Y55:Y69))</f>
        <v>0</v>
      </c>
      <c r="Z70" s="160">
        <f>(SUM(Z55:Z69))</f>
        <v>8931883.0099999998</v>
      </c>
      <c r="AA70" s="160">
        <f>(SUM(AA55:AA69))</f>
        <v>0</v>
      </c>
      <c r="AC70" s="59"/>
    </row>
    <row r="71" spans="1:29" x14ac:dyDescent="0.2">
      <c r="A71" s="96"/>
      <c r="D71" s="11"/>
      <c r="E71" s="11"/>
      <c r="F71" s="32"/>
      <c r="H71" s="11"/>
      <c r="I71" s="32"/>
      <c r="J71" s="584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Z71" s="32"/>
      <c r="AC71" s="59"/>
    </row>
    <row r="72" spans="1:29" x14ac:dyDescent="0.2">
      <c r="A72" s="130" t="s">
        <v>426</v>
      </c>
      <c r="B72" s="135" t="s">
        <v>39</v>
      </c>
      <c r="C72" s="135"/>
      <c r="D72" s="66" t="s">
        <v>81</v>
      </c>
      <c r="E72" s="66" t="s">
        <v>82</v>
      </c>
      <c r="F72" s="60" t="s">
        <v>49</v>
      </c>
      <c r="G72" s="60" t="s">
        <v>78</v>
      </c>
      <c r="H72" s="21"/>
      <c r="I72" s="32"/>
      <c r="J72" s="584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Z72" s="32"/>
      <c r="AB72" s="66" t="s">
        <v>20</v>
      </c>
      <c r="AC72" s="59"/>
    </row>
    <row r="73" spans="1:29" x14ac:dyDescent="0.2">
      <c r="B73" s="135"/>
      <c r="C73" s="32"/>
      <c r="D73" s="308"/>
      <c r="E73" s="308"/>
      <c r="F73" s="137"/>
      <c r="G73" s="137"/>
      <c r="H73" s="308"/>
      <c r="I73" s="32"/>
      <c r="J73" s="584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11"/>
      <c r="Y73" s="11"/>
      <c r="Z73" s="32"/>
      <c r="AA73" s="11"/>
      <c r="AB73" s="308"/>
      <c r="AC73" s="59"/>
    </row>
    <row r="74" spans="1:29" x14ac:dyDescent="0.2">
      <c r="A74" s="21" t="s">
        <v>432</v>
      </c>
      <c r="B74" s="135"/>
      <c r="C74" s="32"/>
      <c r="D74" s="308">
        <f>+Veh!N7</f>
        <v>6600.6666666666661</v>
      </c>
      <c r="E74" s="308">
        <f>+Veh!V7</f>
        <v>163.33333333333334</v>
      </c>
      <c r="F74" s="137">
        <v>200</v>
      </c>
      <c r="G74" s="137">
        <v>5000</v>
      </c>
      <c r="H74" s="308">
        <f>(D74*F74)+(E74*G74)</f>
        <v>2136800</v>
      </c>
      <c r="I74" s="32"/>
      <c r="J74" s="584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11"/>
      <c r="Y74" s="11"/>
      <c r="Z74" s="32"/>
      <c r="AA74" s="11"/>
      <c r="AB74" s="308">
        <f>+G74*Veh!Q7</f>
        <v>550000</v>
      </c>
      <c r="AC74" s="59"/>
    </row>
    <row r="75" spans="1:29" x14ac:dyDescent="0.2">
      <c r="A75" s="21" t="s">
        <v>435</v>
      </c>
      <c r="B75" s="135"/>
      <c r="C75" s="32"/>
      <c r="D75" s="308">
        <f>+Veh!N8</f>
        <v>6600.6666666666661</v>
      </c>
      <c r="E75" s="308">
        <f>+Veh!V8</f>
        <v>163.33333333333334</v>
      </c>
      <c r="F75" s="137">
        <f t="shared" ref="F75:G80" si="3">+F74</f>
        <v>200</v>
      </c>
      <c r="G75" s="137">
        <f t="shared" si="3"/>
        <v>5000</v>
      </c>
      <c r="H75" s="308">
        <f t="shared" ref="H75:H80" si="4">(D75*F75)+(E75*G75)</f>
        <v>2136800</v>
      </c>
      <c r="I75" s="32"/>
      <c r="J75" s="584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11"/>
      <c r="Y75" s="11"/>
      <c r="Z75" s="32"/>
      <c r="AA75" s="11"/>
      <c r="AB75" s="308">
        <f>+G75*Veh!Q8</f>
        <v>550000</v>
      </c>
      <c r="AC75" s="59"/>
    </row>
    <row r="76" spans="1:29" x14ac:dyDescent="0.2">
      <c r="A76" s="21" t="s">
        <v>435</v>
      </c>
      <c r="B76" s="135"/>
      <c r="C76" s="32"/>
      <c r="D76" s="308">
        <f>+Veh!N9</f>
        <v>6600.6666666666661</v>
      </c>
      <c r="E76" s="308">
        <f>+Veh!V9</f>
        <v>163.33333333333334</v>
      </c>
      <c r="F76" s="137">
        <f t="shared" si="3"/>
        <v>200</v>
      </c>
      <c r="G76" s="137">
        <f t="shared" si="3"/>
        <v>5000</v>
      </c>
      <c r="H76" s="308">
        <f>(D76*F76)+(E76*G76)</f>
        <v>2136800</v>
      </c>
      <c r="I76" s="32"/>
      <c r="J76" s="584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11"/>
      <c r="Y76" s="11"/>
      <c r="Z76" s="32"/>
      <c r="AA76" s="11"/>
      <c r="AB76" s="308">
        <f>+G76*Veh!Q9</f>
        <v>550000</v>
      </c>
      <c r="AC76" s="59"/>
    </row>
    <row r="77" spans="1:29" x14ac:dyDescent="0.2">
      <c r="A77" s="21" t="s">
        <v>435</v>
      </c>
      <c r="B77" s="135"/>
      <c r="C77" s="32"/>
      <c r="D77" s="308">
        <f>+Veh!N10</f>
        <v>6600.6666666666661</v>
      </c>
      <c r="E77" s="308">
        <f>+Veh!V10</f>
        <v>163.33333333333334</v>
      </c>
      <c r="F77" s="137">
        <f t="shared" si="3"/>
        <v>200</v>
      </c>
      <c r="G77" s="137">
        <f t="shared" si="3"/>
        <v>5000</v>
      </c>
      <c r="H77" s="308">
        <f t="shared" si="4"/>
        <v>2136800</v>
      </c>
      <c r="I77" s="32"/>
      <c r="J77" s="584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11"/>
      <c r="Y77" s="11"/>
      <c r="Z77" s="32"/>
      <c r="AA77" s="11"/>
      <c r="AB77" s="308">
        <f>+G77*Veh!Q10</f>
        <v>550000</v>
      </c>
      <c r="AC77" s="59"/>
    </row>
    <row r="78" spans="1:29" x14ac:dyDescent="0.2">
      <c r="A78" s="21" t="s">
        <v>435</v>
      </c>
      <c r="B78" s="135"/>
      <c r="C78" s="32"/>
      <c r="D78" s="308">
        <f>+Veh!N11</f>
        <v>6600.6666666666661</v>
      </c>
      <c r="E78" s="308">
        <f>+Veh!V11</f>
        <v>163.33333333333334</v>
      </c>
      <c r="F78" s="137">
        <f t="shared" si="3"/>
        <v>200</v>
      </c>
      <c r="G78" s="137">
        <f t="shared" si="3"/>
        <v>5000</v>
      </c>
      <c r="H78" s="308">
        <f t="shared" si="4"/>
        <v>2136800</v>
      </c>
      <c r="I78" s="32"/>
      <c r="J78" s="584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11">
        <f>+H78-AA78</f>
        <v>2136800</v>
      </c>
      <c r="Y78" s="11"/>
      <c r="Z78" s="32"/>
      <c r="AA78" s="11"/>
      <c r="AB78" s="308">
        <f>+G78*Veh!Q11</f>
        <v>550000</v>
      </c>
      <c r="AC78" s="59"/>
    </row>
    <row r="79" spans="1:29" x14ac:dyDescent="0.2">
      <c r="A79" s="21" t="s">
        <v>435</v>
      </c>
      <c r="B79" s="135"/>
      <c r="C79" s="32"/>
      <c r="D79" s="308">
        <f>+Veh!N12</f>
        <v>6600.6666666666661</v>
      </c>
      <c r="E79" s="308">
        <f>+Veh!V12</f>
        <v>163.33333333333334</v>
      </c>
      <c r="F79" s="137">
        <f t="shared" si="3"/>
        <v>200</v>
      </c>
      <c r="G79" s="137">
        <f t="shared" si="3"/>
        <v>5000</v>
      </c>
      <c r="H79" s="308">
        <f t="shared" si="4"/>
        <v>2136800</v>
      </c>
      <c r="I79" s="32"/>
      <c r="J79" s="584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11"/>
      <c r="Y79" s="11"/>
      <c r="Z79" s="32"/>
      <c r="AA79" s="11"/>
      <c r="AB79" s="308">
        <f>+G79*Veh!Q12</f>
        <v>550000</v>
      </c>
      <c r="AC79" s="59"/>
    </row>
    <row r="80" spans="1:29" x14ac:dyDescent="0.2">
      <c r="A80" s="21" t="s">
        <v>446</v>
      </c>
      <c r="B80" s="135"/>
      <c r="C80" s="32"/>
      <c r="D80" s="308">
        <f>+Veh!N13</f>
        <v>6600.6666666666661</v>
      </c>
      <c r="E80" s="308">
        <f>+Veh!V13</f>
        <v>163.33333333333334</v>
      </c>
      <c r="F80" s="137">
        <f t="shared" si="3"/>
        <v>200</v>
      </c>
      <c r="G80" s="137">
        <f t="shared" si="3"/>
        <v>5000</v>
      </c>
      <c r="H80" s="308">
        <f t="shared" si="4"/>
        <v>2136800</v>
      </c>
      <c r="I80" s="32"/>
      <c r="J80" s="584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11">
        <f>+H80-AA80</f>
        <v>2136800</v>
      </c>
      <c r="Y80" s="11"/>
      <c r="Z80" s="32"/>
      <c r="AA80" s="11">
        <v>0</v>
      </c>
      <c r="AB80" s="308">
        <f>+G80*Veh!Q13</f>
        <v>550000</v>
      </c>
      <c r="AC80" s="59"/>
    </row>
    <row r="81" spans="1:29" x14ac:dyDescent="0.2">
      <c r="B81" s="135"/>
      <c r="C81" s="32"/>
      <c r="D81" s="11">
        <v>0</v>
      </c>
      <c r="E81" s="11">
        <v>0</v>
      </c>
      <c r="F81" s="32"/>
      <c r="H81" s="11">
        <f>(D81*F81)+(E81*G81)</f>
        <v>0</v>
      </c>
      <c r="I81" s="32"/>
      <c r="J81" s="584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11"/>
      <c r="Y81" s="11"/>
      <c r="Z81" s="32"/>
      <c r="AA81" s="11"/>
      <c r="AB81" s="486">
        <f>+SUM(AB73:AB80)</f>
        <v>3850000</v>
      </c>
      <c r="AC81" s="59"/>
    </row>
    <row r="82" spans="1:29" x14ac:dyDescent="0.2">
      <c r="B82" s="135"/>
      <c r="C82" s="32"/>
      <c r="D82" s="11">
        <v>0</v>
      </c>
      <c r="E82" s="11">
        <v>0</v>
      </c>
      <c r="F82" s="32"/>
      <c r="H82" s="11">
        <f>(D82*F82)+(E82*G82)</f>
        <v>0</v>
      </c>
      <c r="I82" s="32"/>
      <c r="J82" s="584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11"/>
      <c r="Y82" s="11"/>
      <c r="Z82" s="32"/>
      <c r="AA82" s="11"/>
      <c r="AC82" s="59"/>
    </row>
    <row r="83" spans="1:29" x14ac:dyDescent="0.2">
      <c r="B83" s="139" t="s">
        <v>89</v>
      </c>
      <c r="C83" s="140"/>
      <c r="D83" s="612"/>
      <c r="E83" s="601"/>
      <c r="F83" s="613"/>
      <c r="G83" s="614"/>
      <c r="H83" s="160">
        <f>SUM(H73:H82)</f>
        <v>14957600</v>
      </c>
      <c r="I83" s="163">
        <f>H83/$H$106</f>
        <v>0.34795142546242097</v>
      </c>
      <c r="J83" s="584">
        <f>+H83/$H$106</f>
        <v>0.34795142546242097</v>
      </c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160">
        <f>SUM(X73:X82)</f>
        <v>4273600</v>
      </c>
      <c r="Y83" s="160">
        <f>SUM(Y73:Y82)</f>
        <v>0</v>
      </c>
      <c r="Z83" s="160">
        <f>SUM(Z73:Z82)</f>
        <v>0</v>
      </c>
      <c r="AA83" s="160">
        <f>SUM(AA73:AA82)</f>
        <v>0</v>
      </c>
      <c r="AC83" s="59"/>
    </row>
    <row r="84" spans="1:29" x14ac:dyDescent="0.2">
      <c r="A84" s="130"/>
      <c r="D84" s="11"/>
      <c r="E84" s="11"/>
      <c r="F84" s="32"/>
      <c r="H84" s="11"/>
      <c r="I84" s="32"/>
      <c r="J84" s="584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Z84" s="32"/>
      <c r="AC84" s="59"/>
    </row>
    <row r="85" spans="1:29" x14ac:dyDescent="0.2">
      <c r="A85" s="130" t="s">
        <v>158</v>
      </c>
      <c r="B85" s="138" t="s">
        <v>39</v>
      </c>
      <c r="C85" s="135"/>
      <c r="D85" s="66" t="s">
        <v>186</v>
      </c>
      <c r="E85" s="66" t="s">
        <v>187</v>
      </c>
      <c r="F85" s="60" t="s">
        <v>122</v>
      </c>
      <c r="G85" s="60" t="s">
        <v>123</v>
      </c>
      <c r="H85" s="11"/>
      <c r="I85" s="32"/>
      <c r="J85" s="584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Z85" s="11"/>
      <c r="AC85" s="59"/>
    </row>
    <row r="86" spans="1:29" x14ac:dyDescent="0.2">
      <c r="A86" s="21" t="s">
        <v>452</v>
      </c>
      <c r="B86" s="21">
        <v>200</v>
      </c>
      <c r="C86" s="32" t="s">
        <v>49</v>
      </c>
      <c r="D86" s="303">
        <f>+Maq!K6</f>
        <v>701.52083603286087</v>
      </c>
      <c r="E86" s="304">
        <f>+D86</f>
        <v>701.52083603286087</v>
      </c>
      <c r="F86" s="137"/>
      <c r="G86" s="137">
        <v>200</v>
      </c>
      <c r="H86" s="308">
        <f>(D86*F86)+(E86*G86)</f>
        <v>140304.16720657217</v>
      </c>
      <c r="I86" s="32"/>
      <c r="J86" s="584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59"/>
      <c r="Y86" s="59">
        <f>+H86</f>
        <v>140304.16720657217</v>
      </c>
      <c r="Z86" s="11"/>
      <c r="AC86" s="59"/>
    </row>
    <row r="87" spans="1:29" x14ac:dyDescent="0.2">
      <c r="A87" s="96"/>
      <c r="C87" s="32"/>
      <c r="D87" s="11"/>
      <c r="E87" s="11"/>
      <c r="F87" s="32"/>
      <c r="H87" s="11"/>
      <c r="I87" s="32"/>
      <c r="J87" s="584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59"/>
      <c r="Y87" s="59"/>
      <c r="AC87" s="59"/>
    </row>
    <row r="88" spans="1:29" x14ac:dyDescent="0.2">
      <c r="A88" s="96"/>
      <c r="C88" s="32"/>
      <c r="D88" s="11">
        <v>0</v>
      </c>
      <c r="E88" s="11">
        <v>0</v>
      </c>
      <c r="F88" s="32"/>
      <c r="H88" s="11">
        <f>(D88*F88)+(E88*G88)</f>
        <v>0</v>
      </c>
      <c r="I88" s="32"/>
      <c r="J88" s="584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59"/>
      <c r="Y88" s="59"/>
      <c r="AC88" s="59"/>
    </row>
    <row r="89" spans="1:29" x14ac:dyDescent="0.2">
      <c r="A89" s="130"/>
      <c r="B89" s="139" t="s">
        <v>45</v>
      </c>
      <c r="C89" s="140"/>
      <c r="D89" s="612"/>
      <c r="E89" s="601"/>
      <c r="F89" s="613"/>
      <c r="G89" s="614"/>
      <c r="H89" s="160">
        <f>SUM(H86:H88)</f>
        <v>140304.16720657217</v>
      </c>
      <c r="I89" s="163">
        <f>H89/$H$106</f>
        <v>3.2638280859124892E-3</v>
      </c>
      <c r="J89" s="584">
        <f>+H89/$H$106</f>
        <v>3.2638280859124892E-3</v>
      </c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160">
        <f>SUM(X86:X88)</f>
        <v>0</v>
      </c>
      <c r="Y89" s="160">
        <f>SUM(Y86:Y88)</f>
        <v>140304.16720657217</v>
      </c>
      <c r="Z89" s="160">
        <f>SUM(Z86:Z88)</f>
        <v>0</v>
      </c>
      <c r="AA89" s="160">
        <f>SUM(AA86:AA88)</f>
        <v>0</v>
      </c>
      <c r="AC89" s="59"/>
    </row>
    <row r="90" spans="1:29" x14ac:dyDescent="0.2">
      <c r="A90" s="130"/>
      <c r="D90" s="32"/>
      <c r="E90" s="32"/>
      <c r="F90" s="32"/>
      <c r="H90" s="11"/>
      <c r="I90" s="32"/>
      <c r="J90" s="584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Z90" s="32"/>
      <c r="AC90" s="59"/>
    </row>
    <row r="91" spans="1:29" x14ac:dyDescent="0.2">
      <c r="A91" s="130" t="s">
        <v>50</v>
      </c>
      <c r="B91" s="135" t="s">
        <v>39</v>
      </c>
      <c r="D91" s="32"/>
      <c r="E91" s="32"/>
      <c r="F91" s="32"/>
      <c r="I91" s="32"/>
      <c r="J91" s="584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AC91" s="59"/>
    </row>
    <row r="92" spans="1:29" x14ac:dyDescent="0.2">
      <c r="A92" s="96" t="s">
        <v>449</v>
      </c>
      <c r="C92" s="32">
        <v>0</v>
      </c>
      <c r="D92" s="615">
        <f>+Mat!C4</f>
        <v>567600</v>
      </c>
      <c r="E92" s="615"/>
      <c r="F92" s="600">
        <v>1</v>
      </c>
      <c r="G92" s="601"/>
      <c r="H92" s="11">
        <f>D92*F92</f>
        <v>567600</v>
      </c>
      <c r="I92" s="32"/>
      <c r="J92" s="584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59"/>
      <c r="Y92" s="59"/>
      <c r="AC92" s="59"/>
    </row>
    <row r="93" spans="1:29" x14ac:dyDescent="0.2">
      <c r="A93" s="96" t="s">
        <v>450</v>
      </c>
      <c r="C93" s="32">
        <v>0</v>
      </c>
      <c r="D93" s="615">
        <f>+Mat!C5</f>
        <v>2150000</v>
      </c>
      <c r="E93" s="615"/>
      <c r="F93" s="600">
        <v>1</v>
      </c>
      <c r="G93" s="601"/>
      <c r="H93" s="11">
        <f>D93*F93</f>
        <v>2150000</v>
      </c>
      <c r="I93" s="32"/>
      <c r="J93" s="584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AC93" s="59"/>
    </row>
    <row r="94" spans="1:29" x14ac:dyDescent="0.2">
      <c r="A94" s="96" t="s">
        <v>480</v>
      </c>
      <c r="C94" s="32">
        <v>0</v>
      </c>
      <c r="D94" s="615">
        <f>+Mat!C6</f>
        <v>192074.40000000002</v>
      </c>
      <c r="E94" s="615"/>
      <c r="F94" s="600">
        <v>1</v>
      </c>
      <c r="G94" s="601"/>
      <c r="H94" s="11">
        <f>D94*F94</f>
        <v>192074.40000000002</v>
      </c>
      <c r="I94" s="32"/>
      <c r="J94" s="584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AC94" s="59"/>
    </row>
    <row r="95" spans="1:29" x14ac:dyDescent="0.2">
      <c r="A95" s="96"/>
      <c r="C95" s="32">
        <v>0</v>
      </c>
      <c r="D95" s="615">
        <v>0</v>
      </c>
      <c r="E95" s="615"/>
      <c r="F95" s="610"/>
      <c r="G95" s="610"/>
      <c r="H95" s="11">
        <f>D95*F95</f>
        <v>0</v>
      </c>
      <c r="I95" s="32"/>
      <c r="J95" s="584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AC95" s="59"/>
    </row>
    <row r="96" spans="1:29" x14ac:dyDescent="0.2">
      <c r="A96" s="130"/>
      <c r="B96" s="139" t="s">
        <v>46</v>
      </c>
      <c r="C96" s="140"/>
      <c r="D96" s="612"/>
      <c r="E96" s="601"/>
      <c r="F96" s="613"/>
      <c r="G96" s="614"/>
      <c r="H96" s="160">
        <f>SUM(H92:H95)</f>
        <v>2909674.4</v>
      </c>
      <c r="I96" s="163">
        <f>H96/$H$106</f>
        <v>6.7686350424634598E-2</v>
      </c>
      <c r="J96" s="584">
        <f>+H96/$H$106</f>
        <v>6.7686350424634598E-2</v>
      </c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160">
        <f>SUM(X92:X95)</f>
        <v>0</v>
      </c>
      <c r="Y96" s="160">
        <f>SUM(Y92:Y95)</f>
        <v>0</v>
      </c>
      <c r="Z96" s="160">
        <f>SUM(Z92:Z95)</f>
        <v>0</v>
      </c>
      <c r="AA96" s="160">
        <f>SUM(AA92:AA95)</f>
        <v>0</v>
      </c>
      <c r="AC96" s="59"/>
    </row>
    <row r="97" spans="1:31" x14ac:dyDescent="0.2">
      <c r="A97" s="130"/>
      <c r="D97" s="32"/>
      <c r="E97" s="32"/>
      <c r="F97" s="32"/>
      <c r="H97" s="11"/>
      <c r="I97" s="74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AC97" s="59"/>
    </row>
    <row r="98" spans="1:31" x14ac:dyDescent="0.2">
      <c r="A98" s="130" t="s">
        <v>118</v>
      </c>
      <c r="B98" s="135" t="s">
        <v>39</v>
      </c>
      <c r="D98" s="32"/>
      <c r="E98" s="32"/>
      <c r="F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AC98" s="59"/>
    </row>
    <row r="99" spans="1:31" x14ac:dyDescent="0.2">
      <c r="A99" s="206" t="s">
        <v>523</v>
      </c>
      <c r="C99" s="175">
        <v>0</v>
      </c>
      <c r="D99" s="611">
        <f>+Otros!C5</f>
        <v>877512.95489891141</v>
      </c>
      <c r="E99" s="611"/>
      <c r="F99" s="606">
        <v>1</v>
      </c>
      <c r="G99" s="606"/>
      <c r="H99" s="308">
        <f>D99*F99</f>
        <v>877512.95489891141</v>
      </c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59"/>
      <c r="Y99" s="59">
        <f>+H99</f>
        <v>877512.95489891141</v>
      </c>
      <c r="AC99" s="59"/>
    </row>
    <row r="100" spans="1:31" x14ac:dyDescent="0.2">
      <c r="A100" s="96"/>
      <c r="C100" s="11">
        <v>0</v>
      </c>
      <c r="D100" s="615">
        <v>0</v>
      </c>
      <c r="E100" s="615"/>
      <c r="F100" s="610"/>
      <c r="G100" s="610"/>
      <c r="H100" s="11">
        <f>D100*F100</f>
        <v>0</v>
      </c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AC100" s="59"/>
    </row>
    <row r="101" spans="1:31" x14ac:dyDescent="0.2">
      <c r="A101" s="130"/>
      <c r="B101" s="139" t="s">
        <v>146</v>
      </c>
      <c r="C101" s="140"/>
      <c r="D101" s="140"/>
      <c r="E101" s="142"/>
      <c r="F101" s="613"/>
      <c r="G101" s="614"/>
      <c r="H101" s="160">
        <f>SUM(H99:H100)</f>
        <v>877512.95489891141</v>
      </c>
      <c r="I101" s="163">
        <f>H101/$H$106</f>
        <v>2.0413160100471825E-2</v>
      </c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160">
        <f>SUM(X99:X100)</f>
        <v>0</v>
      </c>
      <c r="Y101" s="160">
        <f>SUM(Y99:Y100)</f>
        <v>877512.95489891141</v>
      </c>
      <c r="Z101" s="160">
        <f>SUM(Z99:Z100)</f>
        <v>0</v>
      </c>
      <c r="AA101" s="160">
        <f>SUM(AA99:AA100)</f>
        <v>0</v>
      </c>
      <c r="AC101" s="59"/>
    </row>
    <row r="102" spans="1:31" x14ac:dyDescent="0.2">
      <c r="D102" s="32"/>
      <c r="E102" s="32"/>
      <c r="F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C102" s="59"/>
    </row>
    <row r="103" spans="1:31" x14ac:dyDescent="0.2">
      <c r="D103" s="32"/>
      <c r="E103" s="32"/>
      <c r="F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C103" s="59"/>
    </row>
    <row r="104" spans="1:31" x14ac:dyDescent="0.2">
      <c r="A104" s="130" t="s">
        <v>66</v>
      </c>
      <c r="B104" s="138" t="s">
        <v>39</v>
      </c>
      <c r="C104" s="11"/>
      <c r="D104" s="615"/>
      <c r="E104" s="615"/>
      <c r="F104" s="610"/>
      <c r="G104" s="610"/>
      <c r="H104" s="160">
        <f>+GE!G67</f>
        <v>2332971.7333333334</v>
      </c>
      <c r="I104" s="163">
        <f>H104/$H$106</f>
        <v>5.4270794791735869E-2</v>
      </c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160" t="e">
        <f>+$F$104*#REF!</f>
        <v>#REF!</v>
      </c>
      <c r="Y104" s="160" t="e">
        <f>+$F$104*#REF!</f>
        <v>#REF!</v>
      </c>
      <c r="Z104" s="160" t="e">
        <f>+$F$104*#REF!</f>
        <v>#REF!</v>
      </c>
      <c r="AA104" s="160" t="e">
        <f>+$F$104*#REF!</f>
        <v>#REF!</v>
      </c>
      <c r="AB104" s="534"/>
      <c r="AC104" s="59"/>
    </row>
    <row r="105" spans="1:31" x14ac:dyDescent="0.2">
      <c r="D105" s="32"/>
      <c r="E105" s="32"/>
      <c r="F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C105" s="59"/>
    </row>
    <row r="106" spans="1:31" x14ac:dyDescent="0.2">
      <c r="A106" s="49" t="s">
        <v>51</v>
      </c>
      <c r="B106" s="50"/>
      <c r="C106" s="50"/>
      <c r="D106" s="168"/>
      <c r="E106" s="168"/>
      <c r="F106" s="608"/>
      <c r="G106" s="609"/>
      <c r="H106" s="169">
        <f>H70+H83+H89+H96+H101+H104</f>
        <v>42987609.492105477</v>
      </c>
      <c r="I106" s="185">
        <f>H106/$H$106</f>
        <v>1</v>
      </c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169" t="e">
        <f>+#REF!+X104</f>
        <v>#REF!</v>
      </c>
      <c r="Y106" s="169" t="e">
        <f>+#REF!+Y104</f>
        <v>#REF!</v>
      </c>
      <c r="Z106" s="169" t="e">
        <f>+#REF!+Z104</f>
        <v>#REF!</v>
      </c>
      <c r="AA106" s="169" t="e">
        <f>+#REF!+AA104</f>
        <v>#REF!</v>
      </c>
      <c r="AC106" s="446"/>
    </row>
    <row r="107" spans="1:31" x14ac:dyDescent="0.2">
      <c r="B107" s="32"/>
      <c r="D107" s="32"/>
      <c r="E107" s="32"/>
      <c r="F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C107" s="446"/>
    </row>
    <row r="108" spans="1:31" x14ac:dyDescent="0.2">
      <c r="A108" s="130" t="s">
        <v>52</v>
      </c>
      <c r="B108" s="443">
        <v>0.1</v>
      </c>
      <c r="C108" s="444" t="s">
        <v>425</v>
      </c>
      <c r="D108" s="32"/>
      <c r="E108" s="32"/>
      <c r="F108" s="32"/>
      <c r="H108" s="160">
        <f>B108*$H$106</f>
        <v>4298760.9492105478</v>
      </c>
      <c r="I108" s="163">
        <f>H108/$H$106</f>
        <v>0.1</v>
      </c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160" t="e">
        <f>+X106*$B$108</f>
        <v>#REF!</v>
      </c>
      <c r="Y108" s="160" t="e">
        <f>+Y106*$B$108</f>
        <v>#REF!</v>
      </c>
      <c r="Z108" s="160" t="e">
        <f>+Z106*$B$108</f>
        <v>#REF!</v>
      </c>
      <c r="AA108" s="160" t="e">
        <f>+AA106*$B$108</f>
        <v>#REF!</v>
      </c>
      <c r="AC108" s="446"/>
    </row>
    <row r="109" spans="1:31" x14ac:dyDescent="0.2">
      <c r="B109" s="74"/>
      <c r="D109" s="32"/>
      <c r="E109" s="32"/>
      <c r="F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C109" s="446"/>
    </row>
    <row r="110" spans="1:31" s="129" customFormat="1" x14ac:dyDescent="0.2">
      <c r="A110" s="320" t="s">
        <v>378</v>
      </c>
      <c r="B110" s="443">
        <v>4.4999999999999998E-2</v>
      </c>
      <c r="C110" s="444" t="s">
        <v>425</v>
      </c>
      <c r="F110" s="131"/>
      <c r="G110" s="131"/>
      <c r="H110" s="317">
        <f>B110*($H$106+$H$108)</f>
        <v>2127886.6698592212</v>
      </c>
      <c r="I110" s="316">
        <f>H110/$H$106</f>
        <v>4.9500000000000002E-2</v>
      </c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317" t="e">
        <f>+$B$110*#REF!</f>
        <v>#REF!</v>
      </c>
      <c r="Y110" s="317" t="e">
        <f>+$B$110*#REF!</f>
        <v>#REF!</v>
      </c>
      <c r="Z110" s="317" t="e">
        <f>+$B$110*#REF!</f>
        <v>#REF!</v>
      </c>
      <c r="AA110" s="317" t="e">
        <f>+$B$110*#REF!</f>
        <v>#REF!</v>
      </c>
      <c r="AC110" s="447"/>
    </row>
    <row r="111" spans="1:31" s="129" customFormat="1" x14ac:dyDescent="0.2">
      <c r="A111" s="320"/>
      <c r="B111" s="323"/>
      <c r="F111" s="131"/>
      <c r="G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AC111" s="447"/>
    </row>
    <row r="112" spans="1:31" s="129" customFormat="1" x14ac:dyDescent="0.2">
      <c r="A112" s="320" t="s">
        <v>379</v>
      </c>
      <c r="B112" s="321">
        <v>0.01</v>
      </c>
      <c r="F112" s="131"/>
      <c r="G112" s="131"/>
      <c r="H112" s="317">
        <f>B112*$H$106</f>
        <v>429876.09492105478</v>
      </c>
      <c r="I112" s="316">
        <f>H112/$H$106</f>
        <v>0.01</v>
      </c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317" t="e">
        <f>+$B$112*#REF!</f>
        <v>#REF!</v>
      </c>
      <c r="Y112" s="317" t="e">
        <f>+$B$112*#REF!</f>
        <v>#REF!</v>
      </c>
      <c r="Z112" s="317" t="e">
        <f>+$B$112*#REF!</f>
        <v>#REF!</v>
      </c>
      <c r="AA112" s="317" t="e">
        <f>+$B$112*#REF!</f>
        <v>#REF!</v>
      </c>
      <c r="AC112" s="447"/>
      <c r="AE112" s="445"/>
    </row>
    <row r="113" spans="1:256" s="129" customFormat="1" x14ac:dyDescent="0.2">
      <c r="B113" s="323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131"/>
      <c r="AC113" s="447"/>
    </row>
    <row r="114" spans="1:256" s="129" customFormat="1" x14ac:dyDescent="0.2">
      <c r="A114" s="320" t="s">
        <v>354</v>
      </c>
      <c r="B114" s="443">
        <v>0</v>
      </c>
      <c r="C114" s="444" t="s">
        <v>425</v>
      </c>
      <c r="F114" s="131"/>
      <c r="G114" s="131"/>
      <c r="H114" s="317">
        <f>B114*$H$106</f>
        <v>0</v>
      </c>
      <c r="I114" s="316">
        <f>H114/$H$106</f>
        <v>0</v>
      </c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317" t="e">
        <f>+$B$114*#REF!</f>
        <v>#REF!</v>
      </c>
      <c r="Y114" s="317" t="e">
        <f>+$B$114*#REF!</f>
        <v>#REF!</v>
      </c>
      <c r="Z114" s="317" t="e">
        <f>+$B$114*#REF!</f>
        <v>#REF!</v>
      </c>
      <c r="AA114" s="317" t="e">
        <f>+$B$114*#REF!</f>
        <v>#REF!</v>
      </c>
      <c r="AC114" s="447"/>
    </row>
    <row r="115" spans="1:256" x14ac:dyDescent="0.2">
      <c r="A115" s="130"/>
      <c r="F115" s="32"/>
      <c r="H115" s="21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AA115" s="21"/>
      <c r="AC115" s="446"/>
    </row>
    <row r="116" spans="1:256" x14ac:dyDescent="0.2">
      <c r="A116" s="49" t="s">
        <v>493</v>
      </c>
      <c r="B116" s="50"/>
      <c r="C116" s="50"/>
      <c r="D116" s="168"/>
      <c r="E116" s="168"/>
      <c r="F116" s="608"/>
      <c r="G116" s="609"/>
      <c r="H116" s="169">
        <f>+H106+H108+H110+H112+H114</f>
        <v>49844133.206096299</v>
      </c>
      <c r="I116" s="185">
        <f>H116/$H$106</f>
        <v>1.1595</v>
      </c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169" t="e">
        <f>+#REF!+X110+X112+X114</f>
        <v>#REF!</v>
      </c>
      <c r="Y116" s="169" t="e">
        <f>+#REF!+Y110+Y112+Y114</f>
        <v>#REF!</v>
      </c>
      <c r="Z116" s="169" t="e">
        <f>+#REF!+Z110+Z112+Z114</f>
        <v>#REF!</v>
      </c>
      <c r="AA116" s="169" t="e">
        <f>+#REF!+AA110+AA112+AA114</f>
        <v>#REF!</v>
      </c>
      <c r="AB116" s="535"/>
      <c r="AC116" s="446"/>
    </row>
    <row r="117" spans="1:256" x14ac:dyDescent="0.2"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Z117" s="181" t="s">
        <v>352</v>
      </c>
      <c r="AC117" s="446"/>
    </row>
    <row r="118" spans="1:256" s="129" customFormat="1" x14ac:dyDescent="0.2">
      <c r="A118" s="49" t="str">
        <f>+A121</f>
        <v>Última certificación mar-24</v>
      </c>
      <c r="B118" s="50"/>
      <c r="C118" s="50"/>
      <c r="D118" s="168"/>
      <c r="E118" s="168"/>
      <c r="F118" s="168"/>
      <c r="G118" s="450"/>
      <c r="H118" s="169">
        <f>+E126</f>
        <v>57885918.039999999</v>
      </c>
      <c r="I118" s="49"/>
      <c r="J118" s="585"/>
      <c r="L118" s="131"/>
      <c r="M118" s="131"/>
      <c r="N118" s="131"/>
      <c r="O118" s="131"/>
      <c r="P118" s="479"/>
      <c r="Q118" s="320"/>
      <c r="T118" s="131"/>
      <c r="U118" s="131"/>
      <c r="V118" s="131"/>
      <c r="W118" s="131"/>
      <c r="X118" s="479"/>
      <c r="Y118" s="320"/>
      <c r="AB118" s="131"/>
      <c r="AC118" s="131"/>
      <c r="AD118" s="131"/>
      <c r="AE118" s="131"/>
      <c r="AF118" s="479"/>
      <c r="AG118" s="320"/>
      <c r="AJ118" s="131"/>
      <c r="AK118" s="131"/>
      <c r="AL118" s="131"/>
      <c r="AM118" s="131"/>
      <c r="AN118" s="479"/>
      <c r="AO118" s="320"/>
      <c r="AR118" s="131"/>
      <c r="AS118" s="131"/>
      <c r="AT118" s="131"/>
      <c r="AU118" s="131"/>
      <c r="AV118" s="479"/>
      <c r="AW118" s="320"/>
      <c r="AZ118" s="131"/>
      <c r="BA118" s="131"/>
      <c r="BB118" s="131"/>
      <c r="BC118" s="131"/>
      <c r="BD118" s="479"/>
      <c r="BE118" s="320"/>
      <c r="BH118" s="131"/>
      <c r="BI118" s="131"/>
      <c r="BJ118" s="131"/>
      <c r="BK118" s="131"/>
      <c r="BL118" s="479"/>
      <c r="BM118" s="320"/>
      <c r="BP118" s="131"/>
      <c r="BQ118" s="131"/>
      <c r="BR118" s="131"/>
      <c r="BS118" s="131"/>
      <c r="BT118" s="479"/>
      <c r="BU118" s="320"/>
      <c r="BX118" s="131"/>
      <c r="BY118" s="131"/>
      <c r="BZ118" s="131"/>
      <c r="CA118" s="131"/>
      <c r="CB118" s="479"/>
      <c r="CC118" s="320"/>
      <c r="CF118" s="131"/>
      <c r="CG118" s="131"/>
      <c r="CH118" s="131"/>
      <c r="CI118" s="131"/>
      <c r="CJ118" s="479"/>
      <c r="CK118" s="320"/>
      <c r="CN118" s="131"/>
      <c r="CO118" s="131"/>
      <c r="CP118" s="131"/>
      <c r="CQ118" s="131"/>
      <c r="CR118" s="479"/>
      <c r="CS118" s="320"/>
      <c r="CV118" s="131"/>
      <c r="CW118" s="131"/>
      <c r="CX118" s="131"/>
      <c r="CY118" s="131"/>
      <c r="CZ118" s="479"/>
      <c r="DA118" s="320"/>
      <c r="DD118" s="131"/>
      <c r="DE118" s="131"/>
      <c r="DF118" s="131"/>
      <c r="DG118" s="131"/>
      <c r="DH118" s="479"/>
      <c r="DI118" s="320"/>
      <c r="DL118" s="131"/>
      <c r="DM118" s="131"/>
      <c r="DN118" s="131"/>
      <c r="DO118" s="131"/>
      <c r="DP118" s="479"/>
      <c r="DQ118" s="320"/>
      <c r="DT118" s="131"/>
      <c r="DU118" s="131"/>
      <c r="DV118" s="131"/>
      <c r="DW118" s="131"/>
      <c r="DX118" s="479"/>
      <c r="DY118" s="320"/>
      <c r="EB118" s="131"/>
      <c r="EC118" s="131"/>
      <c r="ED118" s="131"/>
      <c r="EE118" s="131"/>
      <c r="EF118" s="479"/>
      <c r="EG118" s="320"/>
      <c r="EJ118" s="131"/>
      <c r="EK118" s="131"/>
      <c r="EL118" s="131"/>
      <c r="EM118" s="131"/>
      <c r="EN118" s="479"/>
      <c r="EO118" s="320"/>
      <c r="ER118" s="131"/>
      <c r="ES118" s="131"/>
      <c r="ET118" s="131"/>
      <c r="EU118" s="131"/>
      <c r="EV118" s="479"/>
      <c r="EW118" s="320"/>
      <c r="EZ118" s="131"/>
      <c r="FA118" s="131"/>
      <c r="FB118" s="131"/>
      <c r="FC118" s="131"/>
      <c r="FD118" s="479"/>
      <c r="FE118" s="320"/>
      <c r="FH118" s="131"/>
      <c r="FI118" s="131"/>
      <c r="FJ118" s="131"/>
      <c r="FK118" s="131"/>
      <c r="FL118" s="479"/>
      <c r="FM118" s="320"/>
      <c r="FP118" s="131"/>
      <c r="FQ118" s="131"/>
      <c r="FR118" s="131"/>
      <c r="FS118" s="131"/>
      <c r="FT118" s="479"/>
      <c r="FU118" s="320"/>
      <c r="FX118" s="131"/>
      <c r="FY118" s="131"/>
      <c r="FZ118" s="131"/>
      <c r="GA118" s="131"/>
      <c r="GB118" s="479"/>
      <c r="GC118" s="320"/>
      <c r="GF118" s="131"/>
      <c r="GG118" s="131"/>
      <c r="GH118" s="131"/>
      <c r="GI118" s="131"/>
      <c r="GJ118" s="479"/>
      <c r="GK118" s="320"/>
      <c r="GN118" s="131"/>
      <c r="GO118" s="131"/>
      <c r="GP118" s="131"/>
      <c r="GQ118" s="131"/>
      <c r="GR118" s="479"/>
      <c r="GS118" s="320"/>
      <c r="GV118" s="131"/>
      <c r="GW118" s="131"/>
      <c r="GX118" s="131"/>
      <c r="GY118" s="131"/>
      <c r="GZ118" s="479"/>
      <c r="HA118" s="320"/>
      <c r="HD118" s="131"/>
      <c r="HE118" s="131"/>
      <c r="HF118" s="131"/>
      <c r="HG118" s="131"/>
      <c r="HH118" s="479"/>
      <c r="HI118" s="320"/>
      <c r="HL118" s="131"/>
      <c r="HM118" s="131"/>
      <c r="HN118" s="131"/>
      <c r="HO118" s="131"/>
      <c r="HP118" s="479"/>
      <c r="HQ118" s="320"/>
      <c r="HT118" s="131"/>
      <c r="HU118" s="131"/>
      <c r="HV118" s="131"/>
      <c r="HW118" s="131"/>
      <c r="HX118" s="479"/>
      <c r="HY118" s="320"/>
      <c r="IB118" s="131"/>
      <c r="IC118" s="131"/>
      <c r="ID118" s="131"/>
      <c r="IE118" s="131"/>
      <c r="IF118" s="479"/>
      <c r="IG118" s="320"/>
      <c r="IJ118" s="131"/>
      <c r="IK118" s="131"/>
      <c r="IL118" s="131"/>
      <c r="IM118" s="131"/>
      <c r="IN118" s="479"/>
      <c r="IO118" s="320"/>
      <c r="IR118" s="131"/>
      <c r="IS118" s="131"/>
      <c r="IT118" s="131"/>
      <c r="IU118" s="131"/>
      <c r="IV118" s="479"/>
    </row>
    <row r="119" spans="1:256" x14ac:dyDescent="0.2">
      <c r="G119" s="21"/>
      <c r="H119" s="184"/>
      <c r="I119" s="32"/>
      <c r="X119" s="59"/>
      <c r="Y119" s="59"/>
    </row>
    <row r="120" spans="1:256" s="188" customFormat="1" ht="13.5" thickBot="1" x14ac:dyDescent="0.25">
      <c r="D120" s="186"/>
      <c r="E120" s="187"/>
    </row>
    <row r="121" spans="1:256" s="188" customFormat="1" ht="18" customHeight="1" thickBot="1" x14ac:dyDescent="0.25">
      <c r="A121" s="537" t="s">
        <v>735</v>
      </c>
      <c r="B121" s="538"/>
      <c r="C121" s="538"/>
      <c r="D121" s="539"/>
      <c r="E121" s="540"/>
      <c r="G121" s="559" t="s">
        <v>738</v>
      </c>
      <c r="H121" s="566" t="s">
        <v>477</v>
      </c>
      <c r="I121" s="560"/>
      <c r="J121" s="561" t="s">
        <v>527</v>
      </c>
    </row>
    <row r="122" spans="1:256" s="529" customFormat="1" ht="15.75" customHeight="1" x14ac:dyDescent="0.2">
      <c r="A122" s="536" t="s">
        <v>490</v>
      </c>
      <c r="B122" s="536" t="s">
        <v>491</v>
      </c>
      <c r="C122" s="536" t="s">
        <v>524</v>
      </c>
      <c r="D122" s="536" t="s">
        <v>101</v>
      </c>
      <c r="E122" s="536" t="s">
        <v>525</v>
      </c>
      <c r="G122" s="559" t="s">
        <v>6</v>
      </c>
      <c r="H122" s="568">
        <f>+H106</f>
        <v>42987609.492105477</v>
      </c>
      <c r="I122" s="560"/>
      <c r="J122" s="569">
        <f>+H122/860</f>
        <v>49985.592432680787</v>
      </c>
    </row>
    <row r="123" spans="1:256" s="188" customFormat="1" ht="15.75" customHeight="1" thickBot="1" x14ac:dyDescent="0.25">
      <c r="A123" s="480" t="s">
        <v>485</v>
      </c>
      <c r="B123" s="480" t="s">
        <v>488</v>
      </c>
      <c r="C123" s="528">
        <v>198478.84</v>
      </c>
      <c r="D123" s="481">
        <f>45+52+19+150</f>
        <v>266</v>
      </c>
      <c r="E123" s="481">
        <f>+D123*C123</f>
        <v>52795371.439999998</v>
      </c>
      <c r="G123" s="564" t="s">
        <v>736</v>
      </c>
      <c r="H123" s="570">
        <f>+H118*AB123</f>
        <v>57885918.039999999</v>
      </c>
      <c r="I123" s="571"/>
      <c r="J123" s="572">
        <f>+H123/860</f>
        <v>67309.207023255818</v>
      </c>
      <c r="AB123" s="188">
        <v>1</v>
      </c>
    </row>
    <row r="124" spans="1:256" s="188" customFormat="1" ht="15.75" customHeight="1" x14ac:dyDescent="0.2">
      <c r="A124" s="480" t="s">
        <v>486</v>
      </c>
      <c r="B124" s="480" t="s">
        <v>488</v>
      </c>
      <c r="C124" s="528">
        <v>404987</v>
      </c>
      <c r="D124" s="481">
        <f>2+1+1+5</f>
        <v>9</v>
      </c>
      <c r="E124" s="481">
        <f>+D124*C124</f>
        <v>3644883</v>
      </c>
      <c r="G124" s="562" t="s">
        <v>737</v>
      </c>
      <c r="H124" s="567">
        <f>+H123-H122-5.5%*H123</f>
        <v>11714583.055694522</v>
      </c>
      <c r="J124" s="563">
        <f>+H124/860</f>
        <v>13621.608204295957</v>
      </c>
    </row>
    <row r="125" spans="1:256" s="188" customFormat="1" ht="15.75" customHeight="1" thickBot="1" x14ac:dyDescent="0.25">
      <c r="A125" s="480" t="s">
        <v>487</v>
      </c>
      <c r="B125" s="480" t="s">
        <v>489</v>
      </c>
      <c r="C125" s="528">
        <v>722831.8</v>
      </c>
      <c r="D125" s="481">
        <v>2</v>
      </c>
      <c r="E125" s="481">
        <f>+D125*C125</f>
        <v>1445663.6</v>
      </c>
      <c r="G125" s="564" t="s">
        <v>737</v>
      </c>
      <c r="H125" s="586">
        <f>+H124/H123</f>
        <v>0.20237362474927975</v>
      </c>
      <c r="I125" s="565" t="e">
        <f t="shared" ref="I125:J125" si="5">+I124/I123</f>
        <v>#DIV/0!</v>
      </c>
      <c r="J125" s="587">
        <f t="shared" si="5"/>
        <v>0.20237362474927972</v>
      </c>
    </row>
    <row r="126" spans="1:256" ht="15.75" customHeight="1" x14ac:dyDescent="0.2">
      <c r="A126" s="480" t="s">
        <v>5</v>
      </c>
      <c r="B126" s="480"/>
      <c r="C126" s="481"/>
      <c r="D126" s="481"/>
      <c r="E126" s="481">
        <f>+SUM(E123:E125)</f>
        <v>57885918.039999999</v>
      </c>
      <c r="H126" s="184"/>
      <c r="I126" s="32"/>
      <c r="X126" s="59"/>
      <c r="Y126" s="59"/>
    </row>
    <row r="127" spans="1:256" x14ac:dyDescent="0.2">
      <c r="G127" s="21"/>
      <c r="H127" s="184"/>
      <c r="I127" s="32"/>
      <c r="X127" s="59"/>
      <c r="Y127" s="59"/>
    </row>
    <row r="128" spans="1:256" x14ac:dyDescent="0.2">
      <c r="G128" s="21"/>
      <c r="I128" s="32"/>
    </row>
    <row r="129" spans="2:9" x14ac:dyDescent="0.2">
      <c r="B129" s="530"/>
      <c r="C129" s="531"/>
      <c r="F129" s="532"/>
      <c r="G129" s="21"/>
      <c r="I129" s="32"/>
    </row>
    <row r="130" spans="2:9" x14ac:dyDescent="0.2">
      <c r="B130" s="530"/>
      <c r="C130" s="531"/>
      <c r="F130" s="532"/>
      <c r="G130" s="21"/>
      <c r="I130" s="32"/>
    </row>
    <row r="131" spans="2:9" x14ac:dyDescent="0.2">
      <c r="B131" s="530"/>
      <c r="C131" s="531"/>
      <c r="F131" s="532"/>
      <c r="G131" s="21"/>
      <c r="I131" s="32"/>
    </row>
    <row r="132" spans="2:9" x14ac:dyDescent="0.2">
      <c r="F132" s="531"/>
      <c r="G132" s="21"/>
      <c r="I132" s="32"/>
    </row>
    <row r="133" spans="2:9" x14ac:dyDescent="0.2">
      <c r="G133" s="21"/>
      <c r="I133" s="32"/>
    </row>
    <row r="134" spans="2:9" x14ac:dyDescent="0.2">
      <c r="G134" s="21"/>
      <c r="I134" s="32"/>
    </row>
    <row r="135" spans="2:9" x14ac:dyDescent="0.2">
      <c r="G135" s="21"/>
      <c r="I135" s="32"/>
    </row>
    <row r="136" spans="2:9" x14ac:dyDescent="0.2">
      <c r="G136" s="21"/>
      <c r="I136" s="32"/>
    </row>
    <row r="137" spans="2:9" x14ac:dyDescent="0.2">
      <c r="G137" s="21"/>
      <c r="I137" s="32"/>
    </row>
    <row r="138" spans="2:9" x14ac:dyDescent="0.2">
      <c r="G138" s="21"/>
      <c r="I138" s="32"/>
    </row>
    <row r="139" spans="2:9" x14ac:dyDescent="0.2">
      <c r="G139" s="21"/>
      <c r="I139" s="32"/>
    </row>
    <row r="140" spans="2:9" x14ac:dyDescent="0.2">
      <c r="G140" s="21"/>
      <c r="I140" s="32"/>
    </row>
    <row r="141" spans="2:9" x14ac:dyDescent="0.2">
      <c r="G141" s="21"/>
      <c r="I141" s="32"/>
    </row>
    <row r="142" spans="2:9" x14ac:dyDescent="0.2">
      <c r="G142" s="21"/>
      <c r="I142" s="32"/>
    </row>
    <row r="143" spans="2:9" x14ac:dyDescent="0.2">
      <c r="G143" s="21"/>
      <c r="I143" s="32"/>
    </row>
    <row r="144" spans="2:9" x14ac:dyDescent="0.2">
      <c r="G144" s="21"/>
      <c r="I144" s="32"/>
    </row>
    <row r="145" spans="7:9" x14ac:dyDescent="0.2">
      <c r="G145" s="21"/>
      <c r="I145" s="32"/>
    </row>
    <row r="146" spans="7:9" x14ac:dyDescent="0.2">
      <c r="G146" s="21"/>
      <c r="I146" s="32"/>
    </row>
    <row r="147" spans="7:9" x14ac:dyDescent="0.2">
      <c r="G147" s="21"/>
      <c r="I147" s="32"/>
    </row>
    <row r="148" spans="7:9" x14ac:dyDescent="0.2">
      <c r="G148" s="21"/>
      <c r="I148" s="32"/>
    </row>
    <row r="149" spans="7:9" x14ac:dyDescent="0.2">
      <c r="G149" s="21"/>
      <c r="I149" s="32"/>
    </row>
    <row r="150" spans="7:9" x14ac:dyDescent="0.2">
      <c r="G150" s="21"/>
      <c r="I150" s="32"/>
    </row>
    <row r="151" spans="7:9" x14ac:dyDescent="0.2">
      <c r="G151" s="21"/>
      <c r="I151" s="32"/>
    </row>
    <row r="152" spans="7:9" x14ac:dyDescent="0.2">
      <c r="G152" s="21"/>
      <c r="I152" s="32"/>
    </row>
    <row r="153" spans="7:9" x14ac:dyDescent="0.2">
      <c r="G153" s="21"/>
      <c r="I153" s="32"/>
    </row>
    <row r="154" spans="7:9" x14ac:dyDescent="0.2">
      <c r="G154" s="21"/>
      <c r="I154" s="32"/>
    </row>
    <row r="155" spans="7:9" x14ac:dyDescent="0.2">
      <c r="G155" s="21"/>
      <c r="I155" s="32"/>
    </row>
    <row r="156" spans="7:9" x14ac:dyDescent="0.2">
      <c r="G156" s="21"/>
      <c r="I156" s="32"/>
    </row>
    <row r="157" spans="7:9" x14ac:dyDescent="0.2">
      <c r="G157" s="21"/>
      <c r="I157" s="32"/>
    </row>
    <row r="158" spans="7:9" x14ac:dyDescent="0.2">
      <c r="G158" s="21"/>
      <c r="I158" s="32"/>
    </row>
    <row r="159" spans="7:9" x14ac:dyDescent="0.2">
      <c r="G159" s="21"/>
      <c r="I159" s="32"/>
    </row>
    <row r="160" spans="7:9" x14ac:dyDescent="0.2">
      <c r="G160" s="21"/>
      <c r="I160" s="32"/>
    </row>
    <row r="161" spans="7:9" x14ac:dyDescent="0.2">
      <c r="G161" s="21"/>
      <c r="I161" s="32"/>
    </row>
    <row r="162" spans="7:9" x14ac:dyDescent="0.2">
      <c r="G162" s="21"/>
      <c r="I162" s="32"/>
    </row>
    <row r="163" spans="7:9" x14ac:dyDescent="0.2">
      <c r="G163" s="21"/>
      <c r="I163" s="32"/>
    </row>
    <row r="164" spans="7:9" x14ac:dyDescent="0.2">
      <c r="G164" s="21"/>
      <c r="I164" s="32"/>
    </row>
    <row r="165" spans="7:9" x14ac:dyDescent="0.2">
      <c r="G165" s="21"/>
      <c r="I165" s="32"/>
    </row>
    <row r="166" spans="7:9" x14ac:dyDescent="0.2">
      <c r="G166" s="21"/>
      <c r="I166" s="32"/>
    </row>
    <row r="167" spans="7:9" x14ac:dyDescent="0.2">
      <c r="G167" s="21"/>
      <c r="I167" s="32"/>
    </row>
    <row r="168" spans="7:9" x14ac:dyDescent="0.2">
      <c r="G168" s="21"/>
      <c r="I168" s="32"/>
    </row>
    <row r="169" spans="7:9" x14ac:dyDescent="0.2">
      <c r="G169" s="21"/>
      <c r="I169" s="32"/>
    </row>
    <row r="170" spans="7:9" x14ac:dyDescent="0.2">
      <c r="G170" s="21"/>
      <c r="I170" s="32"/>
    </row>
    <row r="171" spans="7:9" x14ac:dyDescent="0.2">
      <c r="G171" s="21"/>
      <c r="I171" s="32"/>
    </row>
    <row r="172" spans="7:9" x14ac:dyDescent="0.2">
      <c r="G172" s="21"/>
      <c r="I172" s="32"/>
    </row>
    <row r="173" spans="7:9" x14ac:dyDescent="0.2">
      <c r="G173" s="21"/>
      <c r="I173" s="32"/>
    </row>
    <row r="174" spans="7:9" x14ac:dyDescent="0.2">
      <c r="G174" s="21"/>
      <c r="I174" s="32"/>
    </row>
    <row r="175" spans="7:9" x14ac:dyDescent="0.2">
      <c r="G175" s="21"/>
      <c r="I175" s="32"/>
    </row>
    <row r="176" spans="7:9" x14ac:dyDescent="0.2">
      <c r="G176" s="21"/>
      <c r="I176" s="32"/>
    </row>
    <row r="177" spans="7:9" x14ac:dyDescent="0.2">
      <c r="G177" s="21"/>
      <c r="I177" s="32"/>
    </row>
    <row r="178" spans="7:9" x14ac:dyDescent="0.2">
      <c r="G178" s="21"/>
      <c r="I178" s="32"/>
    </row>
    <row r="179" spans="7:9" x14ac:dyDescent="0.2">
      <c r="G179" s="21"/>
      <c r="I179" s="32"/>
    </row>
    <row r="180" spans="7:9" x14ac:dyDescent="0.2">
      <c r="G180" s="21"/>
      <c r="I180" s="32"/>
    </row>
    <row r="181" spans="7:9" x14ac:dyDescent="0.2">
      <c r="G181" s="21"/>
      <c r="I181" s="32"/>
    </row>
    <row r="182" spans="7:9" x14ac:dyDescent="0.2">
      <c r="G182" s="21"/>
      <c r="I182" s="32"/>
    </row>
    <row r="183" spans="7:9" x14ac:dyDescent="0.2">
      <c r="G183" s="21"/>
      <c r="I183" s="32"/>
    </row>
    <row r="184" spans="7:9" x14ac:dyDescent="0.2">
      <c r="G184" s="21"/>
      <c r="I184" s="32"/>
    </row>
    <row r="185" spans="7:9" x14ac:dyDescent="0.2">
      <c r="G185" s="21"/>
      <c r="I185" s="32"/>
    </row>
    <row r="186" spans="7:9" x14ac:dyDescent="0.2">
      <c r="G186" s="21"/>
      <c r="I186" s="32"/>
    </row>
    <row r="187" spans="7:9" x14ac:dyDescent="0.2">
      <c r="G187" s="21"/>
      <c r="I187" s="32"/>
    </row>
    <row r="188" spans="7:9" x14ac:dyDescent="0.2">
      <c r="G188" s="21"/>
      <c r="I188" s="32"/>
    </row>
    <row r="189" spans="7:9" x14ac:dyDescent="0.2">
      <c r="G189" s="21"/>
      <c r="I189" s="32"/>
    </row>
    <row r="190" spans="7:9" x14ac:dyDescent="0.2">
      <c r="G190" s="21"/>
      <c r="I190" s="32"/>
    </row>
    <row r="191" spans="7:9" x14ac:dyDescent="0.2">
      <c r="G191" s="21"/>
      <c r="I191" s="32"/>
    </row>
    <row r="192" spans="7:9" x14ac:dyDescent="0.2">
      <c r="G192" s="21"/>
      <c r="I192" s="32"/>
    </row>
    <row r="193" spans="7:9" x14ac:dyDescent="0.2">
      <c r="G193" s="21"/>
      <c r="I193" s="32"/>
    </row>
    <row r="194" spans="7:9" x14ac:dyDescent="0.2">
      <c r="G194" s="21"/>
      <c r="I194" s="32"/>
    </row>
    <row r="195" spans="7:9" x14ac:dyDescent="0.2">
      <c r="G195" s="21"/>
      <c r="I195" s="32"/>
    </row>
    <row r="196" spans="7:9" x14ac:dyDescent="0.2">
      <c r="G196" s="21"/>
      <c r="I196" s="32"/>
    </row>
    <row r="197" spans="7:9" x14ac:dyDescent="0.2">
      <c r="G197" s="21"/>
      <c r="I197" s="32"/>
    </row>
    <row r="198" spans="7:9" x14ac:dyDescent="0.2">
      <c r="G198" s="21"/>
      <c r="I198" s="32"/>
    </row>
    <row r="199" spans="7:9" x14ac:dyDescent="0.2">
      <c r="G199" s="21"/>
      <c r="I199" s="32"/>
    </row>
    <row r="200" spans="7:9" x14ac:dyDescent="0.2">
      <c r="G200" s="21"/>
      <c r="I200" s="32"/>
    </row>
    <row r="201" spans="7:9" x14ac:dyDescent="0.2">
      <c r="G201" s="21"/>
      <c r="I201" s="32"/>
    </row>
    <row r="202" spans="7:9" x14ac:dyDescent="0.2">
      <c r="G202" s="21"/>
      <c r="I202" s="32"/>
    </row>
    <row r="203" spans="7:9" x14ac:dyDescent="0.2">
      <c r="G203" s="21"/>
      <c r="I203" s="32"/>
    </row>
    <row r="204" spans="7:9" x14ac:dyDescent="0.2">
      <c r="G204" s="21"/>
      <c r="I204" s="32"/>
    </row>
    <row r="205" spans="7:9" x14ac:dyDescent="0.2">
      <c r="G205" s="21"/>
      <c r="I205" s="32"/>
    </row>
    <row r="206" spans="7:9" x14ac:dyDescent="0.2">
      <c r="G206" s="21"/>
      <c r="I206" s="32"/>
    </row>
    <row r="207" spans="7:9" x14ac:dyDescent="0.2">
      <c r="G207" s="21"/>
      <c r="I207" s="32"/>
    </row>
    <row r="208" spans="7:9" x14ac:dyDescent="0.2">
      <c r="G208" s="21"/>
      <c r="I208" s="32"/>
    </row>
    <row r="209" spans="7:9" x14ac:dyDescent="0.2">
      <c r="G209" s="21"/>
      <c r="I209" s="32"/>
    </row>
    <row r="210" spans="7:9" x14ac:dyDescent="0.2">
      <c r="G210" s="21"/>
      <c r="I210" s="32"/>
    </row>
    <row r="211" spans="7:9" x14ac:dyDescent="0.2">
      <c r="G211" s="21"/>
      <c r="I211" s="32"/>
    </row>
    <row r="212" spans="7:9" x14ac:dyDescent="0.2">
      <c r="G212" s="21"/>
      <c r="I212" s="32"/>
    </row>
    <row r="213" spans="7:9" x14ac:dyDescent="0.2">
      <c r="G213" s="21"/>
      <c r="I213" s="32"/>
    </row>
    <row r="214" spans="7:9" x14ac:dyDescent="0.2">
      <c r="G214" s="21"/>
      <c r="I214" s="32"/>
    </row>
    <row r="215" spans="7:9" x14ac:dyDescent="0.2">
      <c r="G215" s="21"/>
      <c r="I215" s="32"/>
    </row>
    <row r="216" spans="7:9" x14ac:dyDescent="0.2">
      <c r="G216" s="21"/>
      <c r="I216" s="32"/>
    </row>
    <row r="217" spans="7:9" x14ac:dyDescent="0.2">
      <c r="G217" s="21"/>
      <c r="I217" s="32"/>
    </row>
    <row r="218" spans="7:9" x14ac:dyDescent="0.2">
      <c r="G218" s="21"/>
      <c r="I218" s="32"/>
    </row>
    <row r="219" spans="7:9" x14ac:dyDescent="0.2">
      <c r="G219" s="21"/>
      <c r="I219" s="32"/>
    </row>
    <row r="220" spans="7:9" x14ac:dyDescent="0.2">
      <c r="G220" s="21"/>
      <c r="I220" s="32"/>
    </row>
    <row r="221" spans="7:9" x14ac:dyDescent="0.2">
      <c r="G221" s="21"/>
      <c r="I221" s="32"/>
    </row>
    <row r="222" spans="7:9" x14ac:dyDescent="0.2">
      <c r="G222" s="21"/>
      <c r="I222" s="32"/>
    </row>
    <row r="223" spans="7:9" x14ac:dyDescent="0.2">
      <c r="G223" s="21"/>
      <c r="I223" s="32"/>
    </row>
    <row r="224" spans="7:9" x14ac:dyDescent="0.2">
      <c r="G224" s="21"/>
      <c r="I224" s="32"/>
    </row>
  </sheetData>
  <sheetProtection password="CA17" sheet="1" formatCells="0" formatColumns="0" formatRows="0" insertRows="0" insertHyperlinks="0" deleteRows="0" sort="0" autoFilter="0" pivotTables="0"/>
  <customSheetViews>
    <customSheetView guid="{1DB1CDF8-B399-46E9-9F00-21524E82CD13}" scale="67" showGridLines="0" fitToPage="1" hiddenRows="1" hiddenColumns="1" showRuler="0" topLeftCell="A84">
      <selection activeCell="H168" sqref="H168"/>
      <pageMargins left="0.78740157480314965" right="0.78740157480314965" top="0.59055118110236227" bottom="0.59055118110236227" header="0" footer="0"/>
      <pageSetup paperSize="9" scale="65" orientation="portrait" r:id="rId1"/>
      <headerFooter alignWithMargins="0"/>
    </customSheetView>
    <customSheetView guid="{FD728909-0D0B-441A-8E6A-F7FBB3EE0FF4}" scale="75" showPageBreaks="1" showGridLines="0" fitToPage="1" printArea="1" hiddenRows="1" hiddenColumns="1" topLeftCell="A90">
      <selection activeCell="H152" sqref="H152"/>
      <pageMargins left="0.78740157480314965" right="0.78740157480314965" top="0.59055118110236227" bottom="0.59055118110236227" header="0" footer="0"/>
      <pageSetup paperSize="9" scale="65" orientation="portrait" r:id="rId2"/>
      <headerFooter alignWithMargins="0"/>
    </customSheetView>
    <customSheetView guid="{3E10442F-E643-4030-87D8-6F3C29ED4323}" scale="70" showPageBreaks="1" showGridLines="0" fitToPage="1" printArea="1" hiddenColumns="1" showRuler="0">
      <selection activeCell="AE117" sqref="AE117"/>
      <pageMargins left="0.78740157480314965" right="0.78740157480314965" top="0.59055118110236227" bottom="0.59055118110236227" header="0" footer="0"/>
      <pageSetup paperSize="9" scale="54" orientation="portrait" r:id="rId3"/>
      <headerFooter alignWithMargins="0"/>
    </customSheetView>
    <customSheetView guid="{62D5B631-A5F0-449E-B42C-AE7ECEC2A7D1}" scale="67" showGridLines="0" fitToPage="1" hiddenRows="1" hiddenColumns="1" topLeftCell="A2">
      <selection activeCell="A2" sqref="A2"/>
      <pageMargins left="0.78740157480314965" right="0.78740157480314965" top="0.59055118110236227" bottom="0.59055118110236227" header="0" footer="0"/>
      <pageSetup paperSize="9" scale="65" orientation="portrait" r:id="rId4"/>
      <headerFooter alignWithMargins="0"/>
    </customSheetView>
    <customSheetView guid="{F95940C3-2AB4-49FF-ABAA-F9CFD2FCC6F5}" scale="67" showGridLines="0" fitToPage="1" hiddenRows="1" hiddenColumns="1" topLeftCell="A2">
      <selection activeCell="A2" sqref="A2"/>
      <pageMargins left="0.78740157480314965" right="0.78740157480314965" top="0.59055118110236227" bottom="0.59055118110236227" header="0" footer="0"/>
      <pageSetup paperSize="9" scale="65" orientation="portrait" r:id="rId5"/>
      <headerFooter alignWithMargins="0"/>
    </customSheetView>
  </customSheetViews>
  <mergeCells count="60">
    <mergeCell ref="F101:G101"/>
    <mergeCell ref="F64:G64"/>
    <mergeCell ref="F99:G99"/>
    <mergeCell ref="D55:E55"/>
    <mergeCell ref="F116:G116"/>
    <mergeCell ref="F68:G68"/>
    <mergeCell ref="D63:E63"/>
    <mergeCell ref="F63:G63"/>
    <mergeCell ref="D64:E64"/>
    <mergeCell ref="F66:G66"/>
    <mergeCell ref="F104:G104"/>
    <mergeCell ref="D104:E104"/>
    <mergeCell ref="D62:E62"/>
    <mergeCell ref="F94:G94"/>
    <mergeCell ref="D100:E100"/>
    <mergeCell ref="F96:G96"/>
    <mergeCell ref="F60:G60"/>
    <mergeCell ref="D95:E95"/>
    <mergeCell ref="O51:T51"/>
    <mergeCell ref="K52:L52"/>
    <mergeCell ref="M52:N52"/>
    <mergeCell ref="F61:G61"/>
    <mergeCell ref="K51:N51"/>
    <mergeCell ref="U52:V52"/>
    <mergeCell ref="Q52:R52"/>
    <mergeCell ref="S52:T52"/>
    <mergeCell ref="O52:P52"/>
    <mergeCell ref="F56:G56"/>
    <mergeCell ref="F106:G106"/>
    <mergeCell ref="F100:G100"/>
    <mergeCell ref="F67:G67"/>
    <mergeCell ref="D99:E99"/>
    <mergeCell ref="D83:E83"/>
    <mergeCell ref="F95:G95"/>
    <mergeCell ref="F83:G83"/>
    <mergeCell ref="D96:E96"/>
    <mergeCell ref="F93:G93"/>
    <mergeCell ref="F89:G89"/>
    <mergeCell ref="D92:E92"/>
    <mergeCell ref="D94:E94"/>
    <mergeCell ref="F92:G92"/>
    <mergeCell ref="D93:E93"/>
    <mergeCell ref="D89:E89"/>
    <mergeCell ref="F69:G69"/>
    <mergeCell ref="A52:B52"/>
    <mergeCell ref="D52:E52"/>
    <mergeCell ref="F52:G52"/>
    <mergeCell ref="D70:E70"/>
    <mergeCell ref="F70:G70"/>
    <mergeCell ref="D61:E61"/>
    <mergeCell ref="F58:G58"/>
    <mergeCell ref="F55:G55"/>
    <mergeCell ref="F57:G57"/>
    <mergeCell ref="D58:E58"/>
    <mergeCell ref="D60:E60"/>
    <mergeCell ref="F59:G59"/>
    <mergeCell ref="D57:E57"/>
    <mergeCell ref="D56:E56"/>
    <mergeCell ref="D59:E59"/>
    <mergeCell ref="F62:G62"/>
  </mergeCells>
  <phoneticPr fontId="0" type="noConversion"/>
  <conditionalFormatting sqref="C92:C95">
    <cfRule type="cellIs" dxfId="7" priority="12" stopIfTrue="1" operator="equal">
      <formula>0</formula>
    </cfRule>
    <cfRule type="cellIs" dxfId="6" priority="13" stopIfTrue="1" operator="equal">
      <formula>0</formula>
    </cfRule>
  </conditionalFormatting>
  <conditionalFormatting sqref="C92:H95">
    <cfRule type="cellIs" dxfId="5" priority="6" stopIfTrue="1" operator="equal">
      <formula>0</formula>
    </cfRule>
  </conditionalFormatting>
  <conditionalFormatting sqref="D92:E95">
    <cfRule type="cellIs" dxfId="4" priority="9" stopIfTrue="1" operator="equal">
      <formula>0</formula>
    </cfRule>
    <cfRule type="cellIs" dxfId="3" priority="10" stopIfTrue="1" operator="equal">
      <formula>0</formula>
    </cfRule>
  </conditionalFormatting>
  <conditionalFormatting sqref="X55:AA62 D55:H64 D66:H69 D73:H82 X73:Y82 AA73:AA82 Z85:Z86 D86:H88 C99:H100 C104:G104">
    <cfRule type="cellIs" dxfId="2" priority="11" stopIfTrue="1" operator="equal">
      <formula>0</formula>
    </cfRule>
  </conditionalFormatting>
  <conditionalFormatting sqref="AB73:AB81">
    <cfRule type="cellIs" dxfId="1" priority="1" stopIfTrue="1" operator="equal">
      <formula>0</formula>
    </cfRule>
  </conditionalFormatting>
  <dataValidations count="7">
    <dataValidation type="list" allowBlank="1" showInputMessage="1" showErrorMessage="1" errorTitle="no válido" error="No válido" sqref="A73:A82" xr:uid="{00000000-0002-0000-0100-000000000000}">
      <formula1>Vehiculos</formula1>
    </dataValidation>
    <dataValidation type="list" allowBlank="1" showInputMessage="1" showErrorMessage="1" sqref="A66:A69" xr:uid="{00000000-0002-0000-0100-000001000000}">
      <formula1>Adic</formula1>
    </dataValidation>
    <dataValidation type="list" showInputMessage="1" showErrorMessage="1" errorTitle="no" prompt="Completar primero en solapa GE" sqref="A50" xr:uid="{00000000-0002-0000-0100-000002000000}">
      <formula1>Est</formula1>
    </dataValidation>
    <dataValidation type="list" allowBlank="1" showInputMessage="1" showErrorMessage="1" sqref="A86:A88" xr:uid="{00000000-0002-0000-0100-000003000000}">
      <formula1>Máquinas</formula1>
    </dataValidation>
    <dataValidation type="list" allowBlank="1" showInputMessage="1" showErrorMessage="1" sqref="A92:A95" xr:uid="{00000000-0002-0000-0100-000004000000}">
      <formula1>Materiales</formula1>
    </dataValidation>
    <dataValidation type="list" allowBlank="1" showInputMessage="1" showErrorMessage="1" sqref="A55:A64" xr:uid="{00000000-0002-0000-0100-000005000000}">
      <formula1>Personal</formula1>
    </dataValidation>
    <dataValidation type="list" allowBlank="1" showInputMessage="1" showErrorMessage="1" sqref="A99:A100" xr:uid="{00000000-0002-0000-0100-000006000000}">
      <formula1>Otros</formula1>
    </dataValidation>
  </dataValidations>
  <hyperlinks>
    <hyperlink ref="B54" location="MO!A1" display="(Detalle)" xr:uid="{00000000-0004-0000-0100-000000000000}"/>
    <hyperlink ref="B72" location="Veh!A1" display="(Detalle)" xr:uid="{00000000-0004-0000-0100-000001000000}"/>
    <hyperlink ref="B85" location="Maq!A1" display="(Detalle)" xr:uid="{00000000-0004-0000-0100-000002000000}"/>
    <hyperlink ref="B91" location="Mat!A1" display="(Detalle)" xr:uid="{00000000-0004-0000-0100-000003000000}"/>
    <hyperlink ref="B104" location="GE!A1" display="(Detalle)" xr:uid="{00000000-0004-0000-0100-000004000000}"/>
    <hyperlink ref="B98" location="Otros!A1" display="(Detalle)" xr:uid="{00000000-0004-0000-0100-000005000000}"/>
    <hyperlink ref="B65" location="CS!A1" display="(Detalle)" xr:uid="{00000000-0004-0000-0100-000006000000}"/>
  </hyperlinks>
  <pageMargins left="0.78740157480314965" right="0.78740157480314965" top="0.59055118110236227" bottom="0.59055118110236227" header="0" footer="0"/>
  <pageSetup paperSize="9" scale="65" orientation="portrait" r:id="rId6"/>
  <headerFooter alignWithMargins="0"/>
  <drawing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Z198"/>
  <sheetViews>
    <sheetView showGridLines="0" topLeftCell="A49" zoomScale="75" zoomScaleNormal="75" workbookViewId="0">
      <selection activeCell="G67" sqref="G67"/>
    </sheetView>
  </sheetViews>
  <sheetFormatPr baseColWidth="10" defaultRowHeight="12.75" x14ac:dyDescent="0.2"/>
  <cols>
    <col min="1" max="1" width="36" style="32" bestFit="1" customWidth="1"/>
    <col min="2" max="2" width="18.5703125" style="32" customWidth="1"/>
    <col min="3" max="3" width="24.140625" style="32" customWidth="1"/>
    <col min="4" max="7" width="12.7109375" style="32" customWidth="1"/>
    <col min="8" max="8" width="16.85546875" style="32" customWidth="1"/>
    <col min="9" max="9" width="17.28515625" style="32" customWidth="1"/>
    <col min="10" max="10" width="12.7109375" style="32" customWidth="1"/>
    <col min="11" max="12" width="17.42578125" style="32" customWidth="1"/>
    <col min="13" max="13" width="15.140625" style="32" bestFit="1" customWidth="1"/>
    <col min="14" max="14" width="14.85546875" style="32" bestFit="1" customWidth="1"/>
    <col min="15" max="15" width="16.7109375" style="32" bestFit="1" customWidth="1"/>
    <col min="16" max="17" width="12.7109375" style="32" customWidth="1"/>
    <col min="18" max="18" width="15.5703125" style="32" bestFit="1" customWidth="1"/>
    <col min="19" max="28" width="12.7109375" style="32" customWidth="1"/>
    <col min="29" max="29" width="16.7109375" style="32" customWidth="1"/>
    <col min="30" max="30" width="12.7109375" style="32" customWidth="1"/>
    <col min="31" max="31" width="2.85546875" style="32" customWidth="1"/>
    <col min="32" max="32" width="12.42578125" style="21" customWidth="1"/>
    <col min="33" max="33" width="3.28515625" style="21" customWidth="1"/>
    <col min="34" max="34" width="8.5703125" style="32" customWidth="1"/>
    <col min="35" max="35" width="10" style="21" customWidth="1"/>
    <col min="36" max="36" width="8.85546875" style="32" customWidth="1"/>
    <col min="37" max="37" width="8.85546875" style="21" customWidth="1"/>
    <col min="38" max="38" width="2.7109375" style="21" customWidth="1"/>
    <col min="39" max="39" width="21.140625" style="21" customWidth="1"/>
    <col min="40" max="40" width="9.85546875" style="21" hidden="1" customWidth="1"/>
    <col min="41" max="42" width="10" style="21" hidden="1" customWidth="1"/>
    <col min="43" max="43" width="10.42578125" style="21" hidden="1" customWidth="1"/>
    <col min="44" max="44" width="10.28515625" style="21" hidden="1" customWidth="1"/>
    <col min="45" max="45" width="8.42578125" style="21" hidden="1" customWidth="1"/>
    <col min="46" max="16384" width="11.42578125" style="21"/>
  </cols>
  <sheetData>
    <row r="1" spans="1:48" ht="29.25" customHeight="1" x14ac:dyDescent="0.2"/>
    <row r="2" spans="1:48" ht="12.75" customHeight="1" x14ac:dyDescent="0.2">
      <c r="A2" s="68"/>
      <c r="B2" s="69"/>
      <c r="I2" s="170"/>
      <c r="K2" s="170"/>
      <c r="U2" s="497">
        <v>4483.5</v>
      </c>
      <c r="AN2" s="600" t="s">
        <v>140</v>
      </c>
      <c r="AO2" s="601"/>
      <c r="AQ2" s="600" t="s">
        <v>139</v>
      </c>
      <c r="AR2" s="601"/>
      <c r="AS2" s="72"/>
    </row>
    <row r="3" spans="1:48" ht="12.75" customHeight="1" x14ac:dyDescent="0.2">
      <c r="A3" s="49" t="s">
        <v>149</v>
      </c>
      <c r="B3" s="498"/>
      <c r="C3" s="498"/>
      <c r="D3" s="498"/>
      <c r="E3" s="499"/>
      <c r="F3" s="625" t="s">
        <v>77</v>
      </c>
      <c r="G3" s="626"/>
      <c r="H3" s="626"/>
      <c r="I3" s="626"/>
      <c r="J3" s="626"/>
      <c r="K3" s="626"/>
      <c r="L3" s="626"/>
      <c r="M3" s="626"/>
      <c r="N3" s="626"/>
      <c r="O3" s="626"/>
      <c r="P3" s="626"/>
      <c r="Q3" s="627"/>
      <c r="R3" s="616" t="s">
        <v>132</v>
      </c>
      <c r="S3" s="73">
        <f>+[1]CS!T25</f>
        <v>0.56803333333333328</v>
      </c>
      <c r="T3" s="598" t="s">
        <v>98</v>
      </c>
      <c r="U3" s="628"/>
      <c r="V3" s="628"/>
      <c r="W3" s="628"/>
      <c r="X3" s="628"/>
      <c r="Y3" s="628"/>
      <c r="Z3" s="628"/>
      <c r="AA3" s="599"/>
      <c r="AB3" s="616" t="s">
        <v>134</v>
      </c>
      <c r="AC3" s="616" t="s">
        <v>36</v>
      </c>
      <c r="AD3" s="621" t="s">
        <v>119</v>
      </c>
      <c r="AE3" s="74"/>
      <c r="AF3" s="621" t="s">
        <v>34</v>
      </c>
      <c r="AG3" s="75"/>
      <c r="AH3" s="621" t="s">
        <v>169</v>
      </c>
      <c r="AI3" s="621" t="s">
        <v>90</v>
      </c>
      <c r="AJ3" s="621" t="s">
        <v>170</v>
      </c>
      <c r="AK3" s="621" t="s">
        <v>91</v>
      </c>
      <c r="AM3" s="621" t="s">
        <v>142</v>
      </c>
      <c r="AN3" s="621" t="s">
        <v>126</v>
      </c>
      <c r="AO3" s="621" t="s">
        <v>127</v>
      </c>
      <c r="AP3" s="621" t="s">
        <v>141</v>
      </c>
      <c r="AQ3" s="621" t="s">
        <v>135</v>
      </c>
      <c r="AR3" s="621" t="s">
        <v>136</v>
      </c>
      <c r="AS3" s="621" t="s">
        <v>143</v>
      </c>
    </row>
    <row r="4" spans="1:48" ht="53.25" customHeight="1" x14ac:dyDescent="0.2">
      <c r="A4" s="61" t="s">
        <v>3</v>
      </c>
      <c r="B4" s="61" t="s">
        <v>96</v>
      </c>
      <c r="C4" s="61" t="s">
        <v>97</v>
      </c>
      <c r="D4" s="61" t="s">
        <v>0</v>
      </c>
      <c r="E4" s="61" t="s">
        <v>1</v>
      </c>
      <c r="F4" s="61" t="s">
        <v>144</v>
      </c>
      <c r="G4" s="61" t="s">
        <v>176</v>
      </c>
      <c r="H4" s="61" t="s">
        <v>239</v>
      </c>
      <c r="I4" s="61" t="s">
        <v>240</v>
      </c>
      <c r="J4" s="61" t="s">
        <v>241</v>
      </c>
      <c r="K4" s="61" t="s">
        <v>160</v>
      </c>
      <c r="L4" s="178" t="s">
        <v>197</v>
      </c>
      <c r="M4" s="61" t="s">
        <v>242</v>
      </c>
      <c r="N4" s="61" t="s">
        <v>198</v>
      </c>
      <c r="O4" s="178"/>
      <c r="P4" s="61"/>
      <c r="Q4" s="61"/>
      <c r="R4" s="624" t="s">
        <v>131</v>
      </c>
      <c r="S4" s="76" t="s">
        <v>2</v>
      </c>
      <c r="T4" s="61" t="s">
        <v>193</v>
      </c>
      <c r="U4" s="61" t="s">
        <v>194</v>
      </c>
      <c r="V4" s="61" t="s">
        <v>156</v>
      </c>
      <c r="W4" s="61" t="s">
        <v>157</v>
      </c>
      <c r="X4" s="61" t="s">
        <v>199</v>
      </c>
      <c r="Y4" s="61"/>
      <c r="Z4" s="61"/>
      <c r="AA4" s="61"/>
      <c r="AB4" s="624" t="s">
        <v>131</v>
      </c>
      <c r="AC4" s="616"/>
      <c r="AD4" s="622"/>
      <c r="AE4" s="74"/>
      <c r="AF4" s="622"/>
      <c r="AG4" s="32"/>
      <c r="AH4" s="622"/>
      <c r="AI4" s="622"/>
      <c r="AJ4" s="622"/>
      <c r="AK4" s="622"/>
      <c r="AM4" s="622"/>
      <c r="AN4" s="622"/>
      <c r="AO4" s="622"/>
      <c r="AP4" s="622"/>
      <c r="AQ4" s="622"/>
      <c r="AR4" s="622"/>
      <c r="AS4" s="622"/>
    </row>
    <row r="5" spans="1:48" ht="12.75" customHeight="1" x14ac:dyDescent="0.2">
      <c r="A5" s="51" t="s">
        <v>428</v>
      </c>
      <c r="D5" s="500"/>
      <c r="E5" s="136">
        <f ca="1">IF(D5=0,0,ROUNDDOWN((DAYS360(D5,TODAY(),FALSE))/360,0))</f>
        <v>0</v>
      </c>
      <c r="F5" s="54"/>
      <c r="G5" s="54"/>
      <c r="H5" s="11"/>
      <c r="I5" s="11"/>
      <c r="J5" s="11"/>
      <c r="K5" s="501"/>
      <c r="L5" s="501"/>
      <c r="M5" s="11"/>
      <c r="N5" s="11"/>
      <c r="O5" s="501"/>
      <c r="P5" s="11"/>
      <c r="Q5" s="11"/>
      <c r="R5" s="83">
        <f>SUM(F5:Q5)</f>
        <v>0</v>
      </c>
      <c r="S5" s="83">
        <f>R5*$S$3+AB5*[1]CS!$T$22</f>
        <v>16439.5</v>
      </c>
      <c r="T5" s="32">
        <v>44</v>
      </c>
      <c r="U5" s="11">
        <f>+T5*U$2</f>
        <v>197274</v>
      </c>
      <c r="V5" s="11"/>
      <c r="W5" s="11">
        <f>+R5*0.05</f>
        <v>0</v>
      </c>
      <c r="X5" s="11"/>
      <c r="Y5" s="11"/>
      <c r="Z5" s="11"/>
      <c r="AA5" s="11"/>
      <c r="AB5" s="502">
        <f>SUM(U5:AA5)</f>
        <v>197274</v>
      </c>
      <c r="AC5" s="161">
        <f>R5+S5+AB5</f>
        <v>213713.5</v>
      </c>
      <c r="AD5" s="58">
        <v>176</v>
      </c>
      <c r="AE5" s="503"/>
      <c r="AF5" s="84">
        <f>AC5/AD5</f>
        <v>1214.28125</v>
      </c>
      <c r="AG5" s="234"/>
      <c r="AH5" s="504"/>
      <c r="AI5" s="84">
        <f>IF($AH5=0,0,HLOOKUP($AH5,[1]GdP!$F$5:$K$57,53,FALSE))</f>
        <v>0</v>
      </c>
      <c r="AJ5" s="41"/>
      <c r="AK5" s="112">
        <f>IF($AJ5=0,0,HLOOKUP($AJ5,[1]GdP!$F$61:$K$94,34,FALSE))</f>
        <v>0</v>
      </c>
      <c r="AL5" s="234"/>
      <c r="AM5" s="84">
        <f>AF5+AI5+AK5</f>
        <v>1214.28125</v>
      </c>
      <c r="AN5" s="84">
        <f>((($F5+$G5+$H5)*1.5)/$AD5+((($F5+$G5+$H5)*0.5)*$P$164)/$AD5+$S5/$AD5+$AB5/$AD5)+$AI5+$AK5</f>
        <v>1214.28125</v>
      </c>
      <c r="AO5" s="84">
        <f>((($F5+$G5+$H5)*2)/$AD5+((($F5+$G5+$H5)*1)*$P$164)/$AD5+$S5/$AD5+$AB5/$AD5)+$AI5+$AK5</f>
        <v>1214.28125</v>
      </c>
      <c r="AP5" s="88"/>
      <c r="AQ5" s="89"/>
      <c r="AR5" s="89"/>
      <c r="AS5" s="89"/>
      <c r="AU5" s="42"/>
      <c r="AV5" s="59"/>
    </row>
    <row r="6" spans="1:48" ht="12.75" customHeight="1" x14ac:dyDescent="0.2">
      <c r="A6" s="51"/>
      <c r="D6" s="500"/>
      <c r="E6" s="136">
        <f ca="1">IF(D6=0,0,ROUNDDOWN((DAYS360(D6,TODAY(),FALSE))/360,0))</f>
        <v>0</v>
      </c>
      <c r="F6" s="54"/>
      <c r="G6" s="54"/>
      <c r="H6" s="11"/>
      <c r="I6" s="11"/>
      <c r="J6" s="11"/>
      <c r="K6" s="501"/>
      <c r="L6" s="501"/>
      <c r="M6" s="11"/>
      <c r="N6" s="11"/>
      <c r="O6" s="501"/>
      <c r="P6" s="11"/>
      <c r="Q6" s="11"/>
      <c r="R6" s="83">
        <f>SUM(F6:Q6)</f>
        <v>0</v>
      </c>
      <c r="S6" s="83">
        <f>R6*$S$3+AB6*[1]CS!$T$22</f>
        <v>0</v>
      </c>
      <c r="U6" s="11"/>
      <c r="V6" s="11"/>
      <c r="W6" s="11"/>
      <c r="X6" s="11"/>
      <c r="Y6" s="11"/>
      <c r="Z6" s="11"/>
      <c r="AA6" s="11"/>
      <c r="AB6" s="502">
        <f>SUM(U6:AA6)</f>
        <v>0</v>
      </c>
      <c r="AC6" s="161">
        <f>R6+S6+AB6</f>
        <v>0</v>
      </c>
      <c r="AD6" s="58"/>
      <c r="AE6" s="503"/>
      <c r="AF6" s="84"/>
      <c r="AG6" s="234"/>
      <c r="AH6" s="505"/>
      <c r="AI6" s="84">
        <f>IF($AH6=0,0,HLOOKUP($AH6,[1]GdP!$F$5:$K$57,53,FALSE))</f>
        <v>0</v>
      </c>
      <c r="AJ6" s="41"/>
      <c r="AK6" s="112">
        <f>IF($AJ6=0,0,HLOOKUP($AJ6,[1]GdP!$F$61:$K$94,34,FALSE))</f>
        <v>0</v>
      </c>
      <c r="AL6" s="234"/>
      <c r="AM6" s="84">
        <f>AF6+AI6+AK6</f>
        <v>0</v>
      </c>
      <c r="AN6" s="84" t="e">
        <f>((($F6+$G6+$H6)*1.5)/$AD6+((($F6+$G6+$H6)*0.5)*$P$164)/$AD6+$S6/$AD6+$AB6/$AD6)+$AI6+$AK6</f>
        <v>#DIV/0!</v>
      </c>
      <c r="AO6" s="84" t="e">
        <f>((($F6+$G6+$H6)*2)/$AD6+((($F6+$G6+$H6)*1)*$P$164)/$AD6+$S6/$AD6+$AB6/$AD6)+$AI6+$AK6</f>
        <v>#DIV/0!</v>
      </c>
      <c r="AP6" s="88"/>
      <c r="AQ6" s="89"/>
      <c r="AR6" s="89"/>
      <c r="AS6" s="89"/>
      <c r="AU6" s="42"/>
      <c r="AV6" s="59"/>
    </row>
    <row r="7" spans="1:48" ht="12.75" customHeight="1" x14ac:dyDescent="0.2">
      <c r="A7" s="51"/>
      <c r="D7" s="500"/>
      <c r="E7" s="136">
        <f ca="1">IF(D7=0,0,ROUNDDOWN((DAYS360(D7,TODAY(),FALSE))/360,0))</f>
        <v>0</v>
      </c>
      <c r="F7" s="54"/>
      <c r="G7" s="54"/>
      <c r="H7" s="11"/>
      <c r="I7" s="11"/>
      <c r="J7" s="11"/>
      <c r="K7" s="501"/>
      <c r="L7" s="501"/>
      <c r="M7" s="11"/>
      <c r="N7" s="11"/>
      <c r="O7" s="501"/>
      <c r="P7" s="11"/>
      <c r="Q7" s="11"/>
      <c r="R7" s="83">
        <f>SUM(F7:Q7)</f>
        <v>0</v>
      </c>
      <c r="S7" s="83">
        <f>R7*$S$3+AB7*[1]CS!$T$22</f>
        <v>0</v>
      </c>
      <c r="U7" s="11"/>
      <c r="V7" s="11"/>
      <c r="W7" s="11"/>
      <c r="X7" s="11"/>
      <c r="Y7" s="11"/>
      <c r="Z7" s="11"/>
      <c r="AA7" s="11"/>
      <c r="AB7" s="502">
        <f>SUM(U7:AA7)</f>
        <v>0</v>
      </c>
      <c r="AC7" s="161">
        <f>R7+S7+AB7</f>
        <v>0</v>
      </c>
      <c r="AD7" s="58"/>
      <c r="AE7" s="503"/>
      <c r="AF7" s="84"/>
      <c r="AG7" s="234"/>
      <c r="AH7" s="505"/>
      <c r="AI7" s="84">
        <f>IF($AH7=0,0,HLOOKUP($AH7,[1]GdP!$F$5:$K$57,53,FALSE))</f>
        <v>0</v>
      </c>
      <c r="AJ7" s="41"/>
      <c r="AK7" s="112">
        <f>IF($AJ7=0,0,HLOOKUP($AJ7,[1]GdP!$F$61:$K$94,34,FALSE))</f>
        <v>0</v>
      </c>
      <c r="AL7" s="234"/>
      <c r="AM7" s="84">
        <f>AF7+AI7+AK7</f>
        <v>0</v>
      </c>
      <c r="AN7" s="84" t="e">
        <f>((($F7+$G7+$H7)*1.5)/$AD7+((($F7+$G7+$H7)*0.5)*$P$164)/$AD7+$S7/$AD7+$AB7/$AD7)+$AI7+$AK7</f>
        <v>#DIV/0!</v>
      </c>
      <c r="AO7" s="84" t="e">
        <f>((($F7+$G7+$H7)*2)/$AD7+((($F7+$G7+$H7)*1)*$P$164)/$AD7+$S7/$AD7+$AB7/$AD7)+$AI7+$AK7</f>
        <v>#DIV/0!</v>
      </c>
      <c r="AP7" s="88"/>
      <c r="AQ7" s="89"/>
      <c r="AR7" s="89"/>
      <c r="AS7" s="89"/>
      <c r="AU7" s="42"/>
      <c r="AV7" s="59"/>
    </row>
    <row r="8" spans="1:48" ht="12.75" customHeight="1" x14ac:dyDescent="0.2">
      <c r="A8" s="51"/>
      <c r="D8" s="500"/>
      <c r="E8" s="136">
        <f ca="1">IF(D8=0,0,ROUNDDOWN((DAYS360(D8,TODAY(),FALSE))/360,0))</f>
        <v>0</v>
      </c>
      <c r="F8" s="54"/>
      <c r="G8" s="54"/>
      <c r="H8" s="11"/>
      <c r="I8" s="11"/>
      <c r="J8" s="11"/>
      <c r="K8" s="501"/>
      <c r="L8" s="501"/>
      <c r="M8" s="11"/>
      <c r="N8" s="11"/>
      <c r="O8" s="501"/>
      <c r="P8" s="11"/>
      <c r="Q8" s="11"/>
      <c r="R8" s="83">
        <f>SUM(F8:Q8)</f>
        <v>0</v>
      </c>
      <c r="S8" s="83">
        <f>R8*$S$3+AB8*[1]CS!$T$22</f>
        <v>0</v>
      </c>
      <c r="U8" s="11"/>
      <c r="V8" s="11"/>
      <c r="W8" s="11"/>
      <c r="X8" s="11"/>
      <c r="Y8" s="11"/>
      <c r="Z8" s="11"/>
      <c r="AA8" s="11"/>
      <c r="AB8" s="502">
        <f>SUM(U8:AA8)</f>
        <v>0</v>
      </c>
      <c r="AC8" s="161">
        <f>R8+S8+AB8</f>
        <v>0</v>
      </c>
      <c r="AD8" s="58"/>
      <c r="AE8" s="503"/>
      <c r="AF8" s="84"/>
      <c r="AG8" s="234"/>
      <c r="AH8" s="505"/>
      <c r="AI8" s="84">
        <f>IF($AH8=0,0,HLOOKUP($AH8,[1]GdP!$F$5:$K$57,53,FALSE))</f>
        <v>0</v>
      </c>
      <c r="AJ8" s="41"/>
      <c r="AK8" s="112">
        <f>IF($AJ8=0,0,HLOOKUP($AJ8,[1]GdP!$F$61:$K$94,34,FALSE))</f>
        <v>0</v>
      </c>
      <c r="AL8" s="234"/>
      <c r="AM8" s="84">
        <f>AF8+AI8+AK8</f>
        <v>0</v>
      </c>
      <c r="AN8" s="84" t="e">
        <f>((($F8+$G8+$H8)*1.5)/$AD8+((($F8+$G8+$H8)*0.5)*$P$164)/$AD8+$S8/$AD8+$AB8/$AD8)+$AI8+$AK8</f>
        <v>#DIV/0!</v>
      </c>
      <c r="AO8" s="84" t="e">
        <f>((($F8+$G8+$H8)*2)/$AD8+((($F8+$G8+$H8)*1)*$P$164)/$AD8+$S8/$AD8+$AB8/$AD8)+$AI8+$AK8</f>
        <v>#DIV/0!</v>
      </c>
      <c r="AP8" s="88"/>
      <c r="AQ8" s="89"/>
      <c r="AR8" s="89"/>
      <c r="AS8" s="89"/>
      <c r="AU8" s="42"/>
      <c r="AV8" s="59"/>
    </row>
    <row r="9" spans="1:48" ht="12.75" customHeight="1" x14ac:dyDescent="0.2">
      <c r="A9" s="51"/>
      <c r="D9" s="500"/>
      <c r="E9" s="136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83"/>
      <c r="S9" s="83"/>
      <c r="T9" s="11"/>
      <c r="U9" s="11"/>
      <c r="V9" s="11"/>
      <c r="W9" s="11"/>
      <c r="X9" s="11"/>
      <c r="Y9" s="11"/>
      <c r="Z9" s="11"/>
      <c r="AA9" s="11"/>
      <c r="AB9" s="502"/>
      <c r="AC9" s="161"/>
      <c r="AD9" s="58"/>
      <c r="AE9" s="503"/>
      <c r="AF9" s="84"/>
      <c r="AG9" s="234"/>
      <c r="AH9" s="505"/>
      <c r="AI9" s="84"/>
      <c r="AJ9" s="41"/>
      <c r="AK9" s="112"/>
      <c r="AL9" s="234"/>
      <c r="AM9" s="84"/>
      <c r="AN9" s="84"/>
      <c r="AO9" s="84"/>
      <c r="AP9" s="84"/>
      <c r="AQ9" s="86"/>
      <c r="AR9" s="86"/>
      <c r="AS9" s="86"/>
    </row>
    <row r="10" spans="1:48" ht="12.75" customHeight="1" x14ac:dyDescent="0.2">
      <c r="A10" s="51"/>
      <c r="D10" s="500"/>
      <c r="E10" s="136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83"/>
      <c r="S10" s="208"/>
      <c r="T10" s="11"/>
      <c r="U10" s="11"/>
      <c r="V10" s="11"/>
      <c r="W10" s="11"/>
      <c r="X10" s="11"/>
      <c r="Y10" s="11"/>
      <c r="Z10" s="11"/>
      <c r="AA10" s="11"/>
      <c r="AB10" s="502"/>
      <c r="AC10" s="161"/>
      <c r="AD10" s="58"/>
      <c r="AE10" s="503"/>
      <c r="AF10" s="84"/>
      <c r="AG10" s="234"/>
      <c r="AH10" s="505"/>
      <c r="AI10" s="84"/>
      <c r="AJ10" s="41"/>
      <c r="AK10" s="112"/>
      <c r="AL10" s="234"/>
      <c r="AM10" s="84"/>
      <c r="AN10" s="84"/>
      <c r="AO10" s="84"/>
      <c r="AP10" s="84"/>
      <c r="AQ10" s="86"/>
      <c r="AR10" s="86"/>
      <c r="AS10" s="86"/>
    </row>
    <row r="11" spans="1:48" ht="15" x14ac:dyDescent="0.2">
      <c r="A11" s="21"/>
      <c r="D11" s="500"/>
      <c r="E11" s="136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83"/>
      <c r="S11" s="83"/>
      <c r="T11" s="11"/>
      <c r="U11" s="11"/>
      <c r="V11" s="11"/>
      <c r="W11" s="11"/>
      <c r="X11" s="11"/>
      <c r="Y11" s="11"/>
      <c r="Z11" s="11"/>
      <c r="AA11" s="11"/>
      <c r="AB11" s="502"/>
      <c r="AC11" s="161"/>
      <c r="AD11" s="58"/>
      <c r="AE11" s="503"/>
      <c r="AF11" s="84"/>
      <c r="AG11" s="234"/>
      <c r="AH11" s="505"/>
      <c r="AI11" s="84"/>
      <c r="AJ11" s="41"/>
      <c r="AK11" s="112"/>
      <c r="AL11" s="234"/>
      <c r="AM11" s="84"/>
      <c r="AN11" s="84"/>
      <c r="AO11" s="84"/>
      <c r="AP11" s="84"/>
      <c r="AQ11" s="86"/>
      <c r="AR11" s="86"/>
      <c r="AS11" s="86"/>
    </row>
    <row r="12" spans="1:48" ht="15" x14ac:dyDescent="0.2">
      <c r="A12" s="21"/>
      <c r="D12" s="500"/>
      <c r="E12" s="13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83"/>
      <c r="S12" s="83"/>
      <c r="T12" s="11"/>
      <c r="U12" s="11"/>
      <c r="V12" s="11"/>
      <c r="W12" s="11"/>
      <c r="X12" s="11"/>
      <c r="Y12" s="11"/>
      <c r="Z12" s="11"/>
      <c r="AA12" s="11"/>
      <c r="AB12" s="502"/>
      <c r="AC12" s="161"/>
      <c r="AD12" s="58"/>
      <c r="AE12" s="503"/>
      <c r="AF12" s="84"/>
      <c r="AG12" s="234"/>
      <c r="AH12" s="505"/>
      <c r="AI12" s="84"/>
      <c r="AJ12" s="41"/>
      <c r="AK12" s="112"/>
      <c r="AL12" s="234"/>
      <c r="AM12" s="84"/>
      <c r="AN12" s="84"/>
      <c r="AO12" s="84"/>
      <c r="AP12" s="84"/>
      <c r="AQ12" s="86"/>
      <c r="AR12" s="86"/>
      <c r="AS12" s="86"/>
    </row>
    <row r="13" spans="1:48" ht="15" x14ac:dyDescent="0.2">
      <c r="A13" s="21"/>
      <c r="D13" s="500"/>
      <c r="E13" s="136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83"/>
      <c r="S13" s="83"/>
      <c r="T13" s="11"/>
      <c r="U13" s="11"/>
      <c r="V13" s="11"/>
      <c r="W13" s="11"/>
      <c r="X13" s="11"/>
      <c r="Y13" s="11"/>
      <c r="Z13" s="11"/>
      <c r="AA13" s="11"/>
      <c r="AB13" s="502"/>
      <c r="AC13" s="161"/>
      <c r="AD13" s="58"/>
      <c r="AE13" s="503"/>
      <c r="AF13" s="84"/>
      <c r="AG13" s="234"/>
      <c r="AH13" s="505"/>
      <c r="AI13" s="84"/>
      <c r="AJ13" s="41"/>
      <c r="AK13" s="112"/>
      <c r="AL13" s="234"/>
      <c r="AM13" s="84"/>
      <c r="AN13" s="84"/>
      <c r="AO13" s="84"/>
      <c r="AP13" s="84"/>
      <c r="AQ13" s="86"/>
      <c r="AR13" s="86"/>
      <c r="AS13" s="86"/>
    </row>
    <row r="14" spans="1:48" ht="15" x14ac:dyDescent="0.2">
      <c r="A14" s="21"/>
      <c r="D14" s="500"/>
      <c r="E14" s="136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83"/>
      <c r="S14" s="83"/>
      <c r="T14" s="11"/>
      <c r="U14" s="11"/>
      <c r="V14" s="11"/>
      <c r="W14" s="11"/>
      <c r="X14" s="11"/>
      <c r="Y14" s="11"/>
      <c r="Z14" s="11"/>
      <c r="AA14" s="11"/>
      <c r="AB14" s="502"/>
      <c r="AC14" s="161"/>
      <c r="AD14" s="58"/>
      <c r="AE14" s="503"/>
      <c r="AF14" s="84"/>
      <c r="AG14" s="234"/>
      <c r="AH14" s="505"/>
      <c r="AI14" s="84"/>
      <c r="AJ14" s="41"/>
      <c r="AK14" s="112"/>
      <c r="AL14" s="234"/>
      <c r="AM14" s="84"/>
      <c r="AN14" s="84"/>
      <c r="AO14" s="84"/>
      <c r="AP14" s="84"/>
      <c r="AQ14" s="86"/>
      <c r="AR14" s="86"/>
      <c r="AS14" s="86"/>
    </row>
    <row r="15" spans="1:48" ht="15" x14ac:dyDescent="0.2">
      <c r="A15" s="21"/>
      <c r="D15" s="500"/>
      <c r="E15" s="136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83"/>
      <c r="S15" s="83"/>
      <c r="T15" s="11"/>
      <c r="U15" s="11"/>
      <c r="V15" s="11"/>
      <c r="W15" s="11"/>
      <c r="X15" s="11"/>
      <c r="Y15" s="11"/>
      <c r="Z15" s="11"/>
      <c r="AA15" s="11"/>
      <c r="AB15" s="502"/>
      <c r="AC15" s="161"/>
      <c r="AD15" s="58"/>
      <c r="AE15" s="503"/>
      <c r="AF15" s="84"/>
      <c r="AG15" s="234"/>
      <c r="AH15" s="505"/>
      <c r="AI15" s="84"/>
      <c r="AJ15" s="41"/>
      <c r="AK15" s="112"/>
      <c r="AL15" s="234"/>
      <c r="AM15" s="84"/>
      <c r="AN15" s="84"/>
      <c r="AO15" s="84"/>
      <c r="AP15" s="84"/>
      <c r="AQ15" s="86"/>
      <c r="AR15" s="86"/>
      <c r="AS15" s="86"/>
    </row>
    <row r="16" spans="1:48" ht="15" x14ac:dyDescent="0.2">
      <c r="A16" s="21"/>
      <c r="D16" s="500"/>
      <c r="E16" s="136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54"/>
      <c r="Q16" s="11"/>
      <c r="R16" s="208"/>
      <c r="S16" s="83"/>
      <c r="T16" s="11"/>
      <c r="U16" s="11"/>
      <c r="V16" s="11"/>
      <c r="W16" s="11"/>
      <c r="X16" s="11"/>
      <c r="Y16" s="11"/>
      <c r="Z16" s="11"/>
      <c r="AA16" s="11"/>
      <c r="AB16" s="502"/>
      <c r="AC16" s="161"/>
      <c r="AD16" s="58"/>
      <c r="AE16" s="503"/>
      <c r="AF16" s="84"/>
      <c r="AG16" s="234"/>
      <c r="AH16" s="505"/>
      <c r="AI16" s="84"/>
      <c r="AJ16" s="41"/>
      <c r="AK16" s="112"/>
      <c r="AL16" s="234"/>
      <c r="AM16" s="84"/>
      <c r="AN16" s="84"/>
      <c r="AO16" s="84"/>
      <c r="AP16" s="84"/>
      <c r="AQ16" s="86"/>
      <c r="AR16" s="86"/>
      <c r="AS16" s="86"/>
    </row>
    <row r="17" spans="1:45" ht="15" x14ac:dyDescent="0.2">
      <c r="A17" s="21"/>
      <c r="D17" s="500"/>
      <c r="E17" s="136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83"/>
      <c r="S17" s="83"/>
      <c r="T17" s="11"/>
      <c r="U17" s="11"/>
      <c r="V17" s="11"/>
      <c r="W17" s="11"/>
      <c r="X17" s="11"/>
      <c r="Y17" s="11"/>
      <c r="Z17" s="11"/>
      <c r="AA17" s="11"/>
      <c r="AB17" s="502"/>
      <c r="AC17" s="161"/>
      <c r="AD17" s="58"/>
      <c r="AE17" s="503"/>
      <c r="AF17" s="84"/>
      <c r="AG17" s="234"/>
      <c r="AH17" s="505"/>
      <c r="AI17" s="84"/>
      <c r="AJ17" s="41"/>
      <c r="AK17" s="112"/>
      <c r="AL17" s="234"/>
      <c r="AM17" s="84"/>
      <c r="AN17" s="84"/>
      <c r="AO17" s="84"/>
      <c r="AP17" s="84"/>
      <c r="AQ17" s="86"/>
      <c r="AR17" s="86"/>
      <c r="AS17" s="86"/>
    </row>
    <row r="18" spans="1:45" ht="15" x14ac:dyDescent="0.2">
      <c r="A18" s="21"/>
      <c r="D18" s="500"/>
      <c r="E18" s="136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83"/>
      <c r="S18" s="83"/>
      <c r="T18" s="11"/>
      <c r="U18" s="11"/>
      <c r="V18" s="11"/>
      <c r="W18" s="11"/>
      <c r="X18" s="11"/>
      <c r="Y18" s="11"/>
      <c r="Z18" s="11"/>
      <c r="AA18" s="11"/>
      <c r="AB18" s="506"/>
      <c r="AC18" s="161"/>
      <c r="AD18" s="58"/>
      <c r="AE18" s="503"/>
      <c r="AF18" s="84"/>
      <c r="AG18" s="234"/>
      <c r="AH18" s="505"/>
      <c r="AI18" s="84"/>
      <c r="AJ18" s="41"/>
      <c r="AK18" s="112"/>
      <c r="AL18" s="234"/>
      <c r="AM18" s="84"/>
      <c r="AN18" s="84"/>
      <c r="AO18" s="84"/>
      <c r="AP18" s="84"/>
      <c r="AQ18" s="86"/>
      <c r="AR18" s="86"/>
      <c r="AS18" s="86"/>
    </row>
    <row r="19" spans="1:45" ht="12.75" customHeight="1" x14ac:dyDescent="0.2">
      <c r="A19" s="21"/>
      <c r="D19" s="500"/>
      <c r="E19" s="136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83"/>
      <c r="S19" s="83"/>
      <c r="T19" s="11"/>
      <c r="U19" s="11"/>
      <c r="V19" s="11"/>
      <c r="W19" s="11"/>
      <c r="X19" s="11"/>
      <c r="Y19" s="11"/>
      <c r="Z19" s="11"/>
      <c r="AA19" s="11"/>
      <c r="AB19" s="502"/>
      <c r="AC19" s="161"/>
      <c r="AD19" s="58"/>
      <c r="AE19" s="503"/>
      <c r="AF19" s="84"/>
      <c r="AG19" s="234"/>
      <c r="AH19" s="505"/>
      <c r="AI19" s="84"/>
      <c r="AJ19" s="41"/>
      <c r="AK19" s="112"/>
      <c r="AL19" s="234"/>
      <c r="AM19" s="84"/>
      <c r="AN19" s="84"/>
      <c r="AO19" s="84"/>
      <c r="AP19" s="84"/>
      <c r="AQ19" s="86"/>
      <c r="AR19" s="86"/>
      <c r="AS19" s="86"/>
    </row>
    <row r="20" spans="1:45" ht="12.75" customHeight="1" x14ac:dyDescent="0.2">
      <c r="A20" s="21"/>
      <c r="D20" s="500"/>
      <c r="E20" s="136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87"/>
      <c r="S20" s="83"/>
      <c r="T20" s="11"/>
      <c r="U20" s="11"/>
      <c r="V20" s="11"/>
      <c r="W20" s="11"/>
      <c r="X20" s="11"/>
      <c r="Y20" s="11"/>
      <c r="Z20" s="11"/>
      <c r="AA20" s="11"/>
      <c r="AB20" s="502"/>
      <c r="AC20" s="161"/>
      <c r="AD20" s="58"/>
      <c r="AE20" s="503"/>
      <c r="AF20" s="84"/>
      <c r="AG20" s="234"/>
      <c r="AH20" s="505"/>
      <c r="AI20" s="84"/>
      <c r="AJ20" s="41"/>
      <c r="AK20" s="112"/>
      <c r="AL20" s="234"/>
      <c r="AM20" s="84"/>
      <c r="AN20" s="85"/>
      <c r="AO20" s="86"/>
      <c r="AP20" s="86"/>
      <c r="AQ20" s="86"/>
      <c r="AR20" s="86"/>
      <c r="AS20" s="86"/>
    </row>
    <row r="21" spans="1:45" ht="12.75" customHeight="1" x14ac:dyDescent="0.2">
      <c r="A21" s="51"/>
      <c r="D21" s="500"/>
      <c r="E21" s="136"/>
      <c r="F21" s="11"/>
      <c r="G21" s="11"/>
      <c r="H21" s="507"/>
      <c r="I21" s="11"/>
      <c r="J21" s="11"/>
      <c r="K21" s="11"/>
      <c r="L21" s="11"/>
      <c r="M21" s="11"/>
      <c r="N21" s="11"/>
      <c r="O21" s="11"/>
      <c r="P21" s="11"/>
      <c r="Q21" s="11"/>
      <c r="R21" s="83"/>
      <c r="S21" s="83"/>
      <c r="T21" s="11"/>
      <c r="U21" s="11"/>
      <c r="V21" s="11"/>
      <c r="W21" s="11"/>
      <c r="X21" s="11"/>
      <c r="Y21" s="11"/>
      <c r="Z21" s="11"/>
      <c r="AA21" s="11"/>
      <c r="AB21" s="502"/>
      <c r="AC21" s="161"/>
      <c r="AD21" s="58"/>
      <c r="AE21" s="503"/>
      <c r="AF21" s="84"/>
      <c r="AG21" s="234"/>
      <c r="AH21" s="505"/>
      <c r="AI21" s="84"/>
      <c r="AJ21" s="41"/>
      <c r="AK21" s="112"/>
      <c r="AL21" s="234"/>
      <c r="AM21" s="84"/>
      <c r="AN21" s="85"/>
      <c r="AO21" s="86"/>
      <c r="AP21" s="86"/>
      <c r="AQ21" s="86"/>
      <c r="AR21" s="86"/>
      <c r="AS21" s="86"/>
    </row>
    <row r="22" spans="1:45" ht="12.75" customHeight="1" x14ac:dyDescent="0.2">
      <c r="A22" s="51"/>
      <c r="E22" s="136"/>
      <c r="F22" s="11"/>
      <c r="G22" s="54"/>
      <c r="H22" s="507"/>
      <c r="I22" s="11"/>
      <c r="J22" s="11"/>
      <c r="K22" s="11"/>
      <c r="L22" s="11"/>
      <c r="M22" s="11"/>
      <c r="N22" s="11"/>
      <c r="O22" s="11"/>
      <c r="P22" s="11"/>
      <c r="Q22" s="11"/>
      <c r="R22" s="136"/>
      <c r="S22" s="136"/>
      <c r="T22" s="11"/>
      <c r="U22" s="11"/>
      <c r="V22" s="11"/>
      <c r="W22" s="11"/>
      <c r="X22" s="11"/>
      <c r="Y22" s="11"/>
      <c r="Z22" s="11"/>
      <c r="AA22" s="11"/>
      <c r="AB22" s="502"/>
      <c r="AC22" s="161"/>
      <c r="AD22" s="58"/>
      <c r="AE22" s="503"/>
      <c r="AF22" s="84"/>
      <c r="AG22" s="234"/>
      <c r="AH22" s="505"/>
      <c r="AI22" s="84"/>
      <c r="AJ22" s="41"/>
      <c r="AK22" s="112"/>
      <c r="AL22" s="234"/>
      <c r="AM22" s="84"/>
      <c r="AN22" s="84"/>
      <c r="AO22" s="84"/>
      <c r="AP22" s="84"/>
      <c r="AQ22" s="86"/>
      <c r="AR22" s="86"/>
      <c r="AS22" s="86"/>
    </row>
    <row r="23" spans="1:45" ht="12.75" customHeight="1" x14ac:dyDescent="0.2">
      <c r="A23" s="51"/>
      <c r="D23" s="500"/>
      <c r="E23" s="136"/>
      <c r="F23" s="11"/>
      <c r="G23" s="11"/>
      <c r="H23" s="507"/>
      <c r="I23" s="11"/>
      <c r="J23" s="11"/>
      <c r="K23" s="11"/>
      <c r="L23" s="11"/>
      <c r="M23" s="11"/>
      <c r="N23" s="11"/>
      <c r="O23" s="11"/>
      <c r="P23" s="11"/>
      <c r="Q23" s="11"/>
      <c r="R23" s="83"/>
      <c r="S23" s="83"/>
      <c r="T23" s="11"/>
      <c r="U23" s="11"/>
      <c r="V23" s="11"/>
      <c r="W23" s="11"/>
      <c r="X23" s="11"/>
      <c r="Y23" s="11"/>
      <c r="Z23" s="11"/>
      <c r="AA23" s="11"/>
      <c r="AB23" s="506"/>
      <c r="AC23" s="161"/>
      <c r="AD23" s="58"/>
      <c r="AE23" s="503"/>
      <c r="AF23" s="84"/>
      <c r="AG23" s="234"/>
      <c r="AH23" s="505"/>
      <c r="AI23" s="84"/>
      <c r="AJ23" s="41"/>
      <c r="AK23" s="112"/>
      <c r="AL23" s="234"/>
      <c r="AM23" s="84"/>
      <c r="AN23" s="84"/>
      <c r="AO23" s="84"/>
      <c r="AP23" s="84"/>
      <c r="AQ23" s="86"/>
      <c r="AR23" s="86"/>
      <c r="AS23" s="86"/>
    </row>
    <row r="24" spans="1:45" ht="12.75" customHeight="1" x14ac:dyDescent="0.2">
      <c r="A24" s="49" t="s">
        <v>151</v>
      </c>
      <c r="B24" s="498"/>
      <c r="C24" s="498"/>
      <c r="D24" s="498"/>
      <c r="E24" s="499"/>
      <c r="F24" s="625" t="s">
        <v>77</v>
      </c>
      <c r="G24" s="626"/>
      <c r="H24" s="626"/>
      <c r="I24" s="626"/>
      <c r="J24" s="626"/>
      <c r="K24" s="626"/>
      <c r="L24" s="626"/>
      <c r="M24" s="626"/>
      <c r="N24" s="626"/>
      <c r="O24" s="626"/>
      <c r="P24" s="626"/>
      <c r="Q24" s="627"/>
      <c r="R24" s="616" t="s">
        <v>132</v>
      </c>
      <c r="S24" s="73">
        <f>[1]CS!$M$25</f>
        <v>0.48686666666666667</v>
      </c>
      <c r="T24" s="598" t="s">
        <v>98</v>
      </c>
      <c r="U24" s="628"/>
      <c r="V24" s="628"/>
      <c r="W24" s="628"/>
      <c r="X24" s="628"/>
      <c r="Y24" s="628"/>
      <c r="Z24" s="628"/>
      <c r="AA24" s="599"/>
      <c r="AB24" s="616" t="s">
        <v>134</v>
      </c>
      <c r="AC24" s="616" t="s">
        <v>36</v>
      </c>
      <c r="AD24" s="621" t="s">
        <v>119</v>
      </c>
      <c r="AE24" s="74"/>
      <c r="AF24" s="621" t="s">
        <v>34</v>
      </c>
      <c r="AG24" s="75"/>
      <c r="AH24" s="621" t="s">
        <v>169</v>
      </c>
      <c r="AI24" s="621" t="s">
        <v>90</v>
      </c>
      <c r="AJ24" s="621" t="s">
        <v>170</v>
      </c>
      <c r="AK24" s="621" t="s">
        <v>91</v>
      </c>
      <c r="AM24" s="621" t="s">
        <v>142</v>
      </c>
      <c r="AN24" s="621" t="s">
        <v>126</v>
      </c>
      <c r="AO24" s="621" t="s">
        <v>127</v>
      </c>
      <c r="AP24" s="621" t="s">
        <v>141</v>
      </c>
      <c r="AQ24" s="621" t="s">
        <v>135</v>
      </c>
      <c r="AR24" s="621" t="s">
        <v>136</v>
      </c>
      <c r="AS24" s="621" t="s">
        <v>143</v>
      </c>
    </row>
    <row r="25" spans="1:45" ht="52.5" customHeight="1" x14ac:dyDescent="0.2">
      <c r="A25" s="61" t="s">
        <v>3</v>
      </c>
      <c r="B25" s="61" t="s">
        <v>96</v>
      </c>
      <c r="C25" s="61" t="s">
        <v>97</v>
      </c>
      <c r="D25" s="61" t="s">
        <v>0</v>
      </c>
      <c r="E25" s="61" t="s">
        <v>1</v>
      </c>
      <c r="F25" s="61" t="s">
        <v>181</v>
      </c>
      <c r="G25" s="61" t="s">
        <v>182</v>
      </c>
      <c r="H25" s="61" t="s">
        <v>183</v>
      </c>
      <c r="I25" s="61" t="s">
        <v>184</v>
      </c>
      <c r="J25" s="61"/>
      <c r="K25" s="61"/>
      <c r="L25" s="61"/>
      <c r="M25" s="61"/>
      <c r="N25" s="61"/>
      <c r="O25" s="61"/>
      <c r="P25" s="61"/>
      <c r="Q25" s="61"/>
      <c r="R25" s="624" t="s">
        <v>131</v>
      </c>
      <c r="S25" s="76" t="s">
        <v>2</v>
      </c>
      <c r="T25" s="61" t="s">
        <v>177</v>
      </c>
      <c r="U25" s="61" t="s">
        <v>178</v>
      </c>
      <c r="V25" s="61" t="s">
        <v>179</v>
      </c>
      <c r="W25" s="61" t="s">
        <v>180</v>
      </c>
      <c r="X25" s="61"/>
      <c r="Y25" s="61"/>
      <c r="Z25" s="61"/>
      <c r="AA25" s="61"/>
      <c r="AB25" s="624" t="s">
        <v>131</v>
      </c>
      <c r="AC25" s="616"/>
      <c r="AD25" s="622"/>
      <c r="AE25" s="74"/>
      <c r="AF25" s="622"/>
      <c r="AG25" s="32"/>
      <c r="AH25" s="622"/>
      <c r="AI25" s="622"/>
      <c r="AJ25" s="622"/>
      <c r="AK25" s="622"/>
      <c r="AM25" s="622"/>
      <c r="AN25" s="622"/>
      <c r="AO25" s="622"/>
      <c r="AP25" s="622"/>
      <c r="AQ25" s="622"/>
      <c r="AR25" s="622"/>
      <c r="AS25" s="622"/>
    </row>
    <row r="26" spans="1:45" ht="12.75" customHeight="1" x14ac:dyDescent="0.2">
      <c r="A26" s="36"/>
      <c r="D26" s="500"/>
      <c r="E26" s="136">
        <f ca="1">IF(D26=0,0,ROUNDDOWN((DAYS360(D26,TODAY(),FALSE))/360,0))</f>
        <v>0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83">
        <f>SUM(F26:Q26)</f>
        <v>0</v>
      </c>
      <c r="S26" s="83">
        <f>R26*$S$24</f>
        <v>0</v>
      </c>
      <c r="T26" s="11"/>
      <c r="U26" s="11"/>
      <c r="V26" s="11"/>
      <c r="W26" s="11"/>
      <c r="X26" s="11"/>
      <c r="Y26" s="11"/>
      <c r="Z26" s="11"/>
      <c r="AA26" s="11"/>
      <c r="AB26" s="83">
        <f>SUM(T26:AA26)</f>
        <v>0</v>
      </c>
      <c r="AC26" s="84">
        <f>R26+S26+AB26</f>
        <v>0</v>
      </c>
      <c r="AD26" s="58"/>
      <c r="AE26" s="503"/>
      <c r="AF26" s="84" t="e">
        <f>AC26/AD26</f>
        <v>#DIV/0!</v>
      </c>
      <c r="AG26" s="234"/>
      <c r="AH26" s="504"/>
      <c r="AI26" s="84">
        <f>IF($AH26=0,0,HLOOKUP($AH26,[1]GdP!$F$5:$K$57,53,FALSE))</f>
        <v>0</v>
      </c>
      <c r="AJ26" s="41"/>
      <c r="AK26" s="112">
        <f>IF($AJ26=0,0,HLOOKUP($AJ26,[1]GdP!$F$61:$K$94,34,FALSE))</f>
        <v>0</v>
      </c>
      <c r="AL26" s="234"/>
      <c r="AM26" s="84" t="e">
        <f>AF26+AI26+AK26</f>
        <v>#DIV/0!</v>
      </c>
      <c r="AN26" s="84" t="e">
        <f>((($F26+$G26+$H26)*1.5)/$AD26+((($F26+$G26+$H26)*0.5)*$P$164)/$AD26+$S26/$AD26+$AB26/$AD26)+$AI26+$AK26</f>
        <v>#DIV/0!</v>
      </c>
      <c r="AO26" s="84" t="e">
        <f>((($F26+$G26+$H26)*2)/$AD26+((($F26+$G26+$H26)*1)*$P$164)/$AD26+$S26/$AD26+$AB26/$AD26)+$AI26+$AK26</f>
        <v>#DIV/0!</v>
      </c>
      <c r="AP26" s="84"/>
      <c r="AQ26" s="86"/>
      <c r="AR26" s="86"/>
      <c r="AS26" s="86"/>
    </row>
    <row r="27" spans="1:45" ht="12.75" customHeight="1" x14ac:dyDescent="0.2">
      <c r="A27" s="36"/>
      <c r="D27" s="500"/>
      <c r="E27" s="136">
        <f ca="1">IF(D27=0,0,ROUNDDOWN((DAYS360(D27,TODAY(),FALSE))/360,0))</f>
        <v>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83">
        <f>SUM(F27:Q27)</f>
        <v>0</v>
      </c>
      <c r="S27" s="83">
        <f>R27*$S$24</f>
        <v>0</v>
      </c>
      <c r="T27" s="11"/>
      <c r="U27" s="11"/>
      <c r="V27" s="11"/>
      <c r="W27" s="11"/>
      <c r="X27" s="11"/>
      <c r="Y27" s="11"/>
      <c r="Z27" s="11"/>
      <c r="AA27" s="11"/>
      <c r="AB27" s="83">
        <f>SUM(T27:AA27)</f>
        <v>0</v>
      </c>
      <c r="AC27" s="84">
        <f>R27+S27+AB27</f>
        <v>0</v>
      </c>
      <c r="AD27" s="58"/>
      <c r="AE27" s="503"/>
      <c r="AF27" s="84" t="e">
        <f>AC27/AD27</f>
        <v>#DIV/0!</v>
      </c>
      <c r="AG27" s="234"/>
      <c r="AH27" s="505"/>
      <c r="AI27" s="84">
        <f>IF($AH27=0,0,HLOOKUP($AH27,[1]GdP!$F$5:$K$57,53,FALSE))</f>
        <v>0</v>
      </c>
      <c r="AJ27" s="41"/>
      <c r="AK27" s="112">
        <f>IF($AJ27=0,0,HLOOKUP($AJ27,[1]GdP!$F$61:$K$94,34,FALSE))</f>
        <v>0</v>
      </c>
      <c r="AL27" s="234"/>
      <c r="AM27" s="84" t="e">
        <f>AF27+AI27+AK27</f>
        <v>#DIV/0!</v>
      </c>
      <c r="AN27" s="84" t="e">
        <f>((($F27+$G27+$H27)*1.5)/$AD27+((($F27+$G27+$H27)*0.5)*$P$164)/$AD27+$S27/$AD27+$AB27/$AD27)+$AI27+$AK27</f>
        <v>#DIV/0!</v>
      </c>
      <c r="AO27" s="84" t="e">
        <f>((($F27+$G27+$H27)*2)/$AD27+((($F27+$G27+$H27)*1)*$P$164)/$AD27+$S27/$AD27+$AB27/$AD27)+$AI27+$AK27</f>
        <v>#DIV/0!</v>
      </c>
      <c r="AP27" s="84"/>
      <c r="AQ27" s="86"/>
      <c r="AR27" s="86"/>
      <c r="AS27" s="86"/>
    </row>
    <row r="28" spans="1:45" ht="12.75" customHeight="1" x14ac:dyDescent="0.2">
      <c r="A28" s="36"/>
      <c r="D28" s="500"/>
      <c r="E28" s="136">
        <f ca="1">IF(D28=0,0,ROUNDDOWN((DAYS360(D28,TODAY(),FALSE))/360,0))</f>
        <v>0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83">
        <f>SUM(F28:Q28)</f>
        <v>0</v>
      </c>
      <c r="S28" s="83">
        <f>R28*$S$24</f>
        <v>0</v>
      </c>
      <c r="T28" s="11"/>
      <c r="U28" s="11"/>
      <c r="V28" s="11"/>
      <c r="W28" s="11"/>
      <c r="X28" s="11"/>
      <c r="Y28" s="11"/>
      <c r="Z28" s="11"/>
      <c r="AA28" s="11"/>
      <c r="AB28" s="83">
        <f>SUM(T28:AA28)</f>
        <v>0</v>
      </c>
      <c r="AC28" s="84">
        <f>R28+S28+AB28</f>
        <v>0</v>
      </c>
      <c r="AD28" s="58"/>
      <c r="AE28" s="503"/>
      <c r="AF28" s="84" t="e">
        <f>AC28/AD28</f>
        <v>#DIV/0!</v>
      </c>
      <c r="AG28" s="234"/>
      <c r="AH28" s="505"/>
      <c r="AI28" s="84">
        <f>IF($AH28=0,0,HLOOKUP($AH28,[1]GdP!$F$5:$K$57,53,FALSE))</f>
        <v>0</v>
      </c>
      <c r="AJ28" s="41"/>
      <c r="AK28" s="112">
        <f>IF($AJ28=0,0,HLOOKUP($AJ28,[1]GdP!$F$61:$K$94,34,FALSE))</f>
        <v>0</v>
      </c>
      <c r="AL28" s="234"/>
      <c r="AM28" s="84" t="e">
        <f>AF28+AI28+AK28</f>
        <v>#DIV/0!</v>
      </c>
      <c r="AN28" s="84" t="e">
        <f>((($F28+$G28+$H28)*1.5)/$AD28+((($F28+$G28+$H28)*0.5)*$P$164)/$AD28+$S28/$AD28+$AB28/$AD28)+$AI28+$AK28</f>
        <v>#DIV/0!</v>
      </c>
      <c r="AO28" s="84" t="e">
        <f>((($F28+$G28+$H28)*2)/$AD28+((($F28+$G28+$H28)*1)*$P$164)/$AD28+$S28/$AD28+$AB28/$AD28)+$AI28+$AK28</f>
        <v>#DIV/0!</v>
      </c>
      <c r="AP28" s="84"/>
      <c r="AQ28" s="86"/>
      <c r="AR28" s="86"/>
      <c r="AS28" s="86"/>
    </row>
    <row r="29" spans="1:45" ht="12.75" customHeight="1" x14ac:dyDescent="0.2">
      <c r="A29" s="36"/>
      <c r="D29" s="500"/>
      <c r="E29" s="136">
        <f ca="1">IF(D29=0,0,ROUNDDOWN((DAYS360(D29,TODAY(),FALSE))/360,0))</f>
        <v>0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83">
        <f>SUM(F29:Q29)</f>
        <v>0</v>
      </c>
      <c r="S29" s="83">
        <f>R29*$S$24</f>
        <v>0</v>
      </c>
      <c r="T29" s="11"/>
      <c r="U29" s="11"/>
      <c r="V29" s="11"/>
      <c r="W29" s="11"/>
      <c r="X29" s="11"/>
      <c r="Y29" s="11"/>
      <c r="Z29" s="11"/>
      <c r="AA29" s="11"/>
      <c r="AB29" s="83">
        <f>SUM(T29:AA29)</f>
        <v>0</v>
      </c>
      <c r="AC29" s="84">
        <f>R29+S29+AB29</f>
        <v>0</v>
      </c>
      <c r="AD29" s="58"/>
      <c r="AE29" s="503"/>
      <c r="AF29" s="84" t="e">
        <f>AC29/AD29</f>
        <v>#DIV/0!</v>
      </c>
      <c r="AG29" s="234"/>
      <c r="AH29" s="505"/>
      <c r="AI29" s="84">
        <f>IF($AH29=0,0,HLOOKUP($AH29,[1]GdP!$F$5:$K$57,53,FALSE))</f>
        <v>0</v>
      </c>
      <c r="AJ29" s="41"/>
      <c r="AK29" s="112">
        <f>IF($AJ29=0,0,HLOOKUP($AJ29,[1]GdP!$F$61:$K$94,34,FALSE))</f>
        <v>0</v>
      </c>
      <c r="AL29" s="234"/>
      <c r="AM29" s="84" t="e">
        <f>AF29+AI29+AK29</f>
        <v>#DIV/0!</v>
      </c>
      <c r="AN29" s="84" t="e">
        <f>((($F29+$G29+$H29)*1.5)/$AD29+((($F29+$G29+$H29)*0.5)*$P$164)/$AD29+$S29/$AD29+$AB29/$AD29)+$AI29+$AK29</f>
        <v>#DIV/0!</v>
      </c>
      <c r="AO29" s="84" t="e">
        <f>((($F29+$G29+$H29)*2)/$AD29+((($F29+$G29+$H29)*1)*$P$164)/$AD29+$S29/$AD29+$AB29/$AD29)+$AI29+$AK29</f>
        <v>#DIV/0!</v>
      </c>
      <c r="AP29" s="84"/>
      <c r="AQ29" s="86"/>
      <c r="AR29" s="86"/>
      <c r="AS29" s="86"/>
    </row>
    <row r="30" spans="1:45" ht="12.75" customHeight="1" x14ac:dyDescent="0.2">
      <c r="A30" s="36"/>
      <c r="D30" s="500"/>
      <c r="E30" s="136">
        <f ca="1">IF(D30=0,0,ROUNDDOWN((DAYS360(D30,TODAY(),FALSE))/360,0))</f>
        <v>0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83">
        <f>SUM(F30:Q30)</f>
        <v>0</v>
      </c>
      <c r="S30" s="83">
        <f>R30*$S$24</f>
        <v>0</v>
      </c>
      <c r="T30" s="11"/>
      <c r="U30" s="11"/>
      <c r="V30" s="11"/>
      <c r="W30" s="11"/>
      <c r="X30" s="11"/>
      <c r="Y30" s="11"/>
      <c r="Z30" s="11"/>
      <c r="AA30" s="11"/>
      <c r="AB30" s="83">
        <f>SUM(T30:AA30)</f>
        <v>0</v>
      </c>
      <c r="AC30" s="84">
        <f>R30+S30+AB30</f>
        <v>0</v>
      </c>
      <c r="AD30" s="58"/>
      <c r="AE30" s="503"/>
      <c r="AF30" s="84" t="e">
        <f>AC30/AD30</f>
        <v>#DIV/0!</v>
      </c>
      <c r="AG30" s="234"/>
      <c r="AH30" s="505"/>
      <c r="AI30" s="84">
        <f>IF($AH30=0,0,HLOOKUP($AH30,[1]GdP!$F$5:$K$57,53,FALSE))</f>
        <v>0</v>
      </c>
      <c r="AJ30" s="41"/>
      <c r="AK30" s="112">
        <f>IF($AJ30=0,0,HLOOKUP($AJ30,[1]GdP!$F$61:$K$94,34,FALSE))</f>
        <v>0</v>
      </c>
      <c r="AL30" s="234"/>
      <c r="AM30" s="84" t="e">
        <f>AF30+AI30+AK30</f>
        <v>#DIV/0!</v>
      </c>
      <c r="AN30" s="84" t="e">
        <f>((($F30+$G30+$H30)*1.5)/$AD30+((($F30+$G30+$H30)*0.5)*$P$164)/$AD30+$S30/$AD30+$AB30/$AD30)+$AI30+$AK30</f>
        <v>#DIV/0!</v>
      </c>
      <c r="AO30" s="84" t="e">
        <f>((($F30+$G30+$H30)*2)/$AD30+((($F30+$G30+$H30)*1)*$P$164)/$AD30+$S30/$AD30+$AB30/$AD30)+$AI30+$AK30</f>
        <v>#DIV/0!</v>
      </c>
      <c r="AP30" s="84"/>
      <c r="AQ30" s="86"/>
      <c r="AR30" s="86"/>
      <c r="AS30" s="86"/>
    </row>
    <row r="31" spans="1:45" ht="12.75" customHeight="1" x14ac:dyDescent="0.2">
      <c r="A31" s="51"/>
      <c r="D31" s="500"/>
      <c r="E31" s="136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83"/>
      <c r="S31" s="83"/>
      <c r="T31" s="11"/>
      <c r="U31" s="11"/>
      <c r="V31" s="11"/>
      <c r="W31" s="11"/>
      <c r="X31" s="11"/>
      <c r="Y31" s="11"/>
      <c r="Z31" s="11"/>
      <c r="AA31" s="11"/>
      <c r="AB31" s="83"/>
      <c r="AC31" s="84"/>
      <c r="AD31" s="58"/>
      <c r="AE31" s="503"/>
      <c r="AF31" s="84"/>
      <c r="AG31" s="234"/>
      <c r="AH31" s="505"/>
      <c r="AI31" s="84"/>
      <c r="AJ31" s="41"/>
      <c r="AK31" s="112"/>
      <c r="AL31" s="234"/>
      <c r="AM31" s="84"/>
      <c r="AN31" s="85"/>
      <c r="AO31" s="86"/>
      <c r="AP31" s="86"/>
      <c r="AQ31" s="86"/>
      <c r="AR31" s="86"/>
      <c r="AS31" s="86"/>
    </row>
    <row r="32" spans="1:45" ht="12.75" customHeight="1" x14ac:dyDescent="0.2">
      <c r="A32" s="51"/>
      <c r="D32" s="500"/>
      <c r="E32" s="136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83"/>
      <c r="S32" s="83"/>
      <c r="T32" s="11"/>
      <c r="U32" s="11"/>
      <c r="V32" s="11"/>
      <c r="W32" s="11"/>
      <c r="X32" s="11"/>
      <c r="Y32" s="11"/>
      <c r="Z32" s="11"/>
      <c r="AA32" s="11"/>
      <c r="AB32" s="83"/>
      <c r="AC32" s="84"/>
      <c r="AD32" s="58"/>
      <c r="AE32" s="503"/>
      <c r="AF32" s="84"/>
      <c r="AG32" s="234"/>
      <c r="AH32" s="505"/>
      <c r="AI32" s="84"/>
      <c r="AJ32" s="41"/>
      <c r="AK32" s="112"/>
      <c r="AL32" s="234"/>
      <c r="AM32" s="84"/>
      <c r="AN32" s="85"/>
      <c r="AO32" s="86"/>
      <c r="AP32" s="86"/>
      <c r="AQ32" s="86"/>
      <c r="AR32" s="86"/>
      <c r="AS32" s="86"/>
    </row>
    <row r="33" spans="1:45" ht="12.75" customHeight="1" x14ac:dyDescent="0.2">
      <c r="A33" s="51"/>
      <c r="D33" s="500"/>
      <c r="E33" s="136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83"/>
      <c r="S33" s="83"/>
      <c r="T33" s="11"/>
      <c r="U33" s="11"/>
      <c r="V33" s="11"/>
      <c r="W33" s="11"/>
      <c r="X33" s="11"/>
      <c r="Y33" s="11"/>
      <c r="Z33" s="11"/>
      <c r="AA33" s="11"/>
      <c r="AB33" s="83"/>
      <c r="AC33" s="84"/>
      <c r="AD33" s="58"/>
      <c r="AE33" s="503"/>
      <c r="AF33" s="84"/>
      <c r="AG33" s="234"/>
      <c r="AH33" s="505"/>
      <c r="AI33" s="84"/>
      <c r="AJ33" s="41"/>
      <c r="AK33" s="112"/>
      <c r="AL33" s="234"/>
      <c r="AM33" s="84"/>
      <c r="AN33" s="85"/>
      <c r="AO33" s="86"/>
      <c r="AP33" s="86"/>
      <c r="AQ33" s="86"/>
      <c r="AR33" s="86"/>
      <c r="AS33" s="86"/>
    </row>
    <row r="34" spans="1:45" ht="12.75" customHeight="1" x14ac:dyDescent="0.2">
      <c r="A34" s="51"/>
      <c r="D34" s="500"/>
      <c r="E34" s="136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83"/>
      <c r="S34" s="83"/>
      <c r="T34" s="11"/>
      <c r="U34" s="11"/>
      <c r="V34" s="11"/>
      <c r="W34" s="11"/>
      <c r="X34" s="11"/>
      <c r="Y34" s="11"/>
      <c r="Z34" s="11"/>
      <c r="AA34" s="11"/>
      <c r="AB34" s="83"/>
      <c r="AC34" s="84"/>
      <c r="AD34" s="58"/>
      <c r="AE34" s="503"/>
      <c r="AF34" s="84"/>
      <c r="AG34" s="234"/>
      <c r="AH34" s="505"/>
      <c r="AI34" s="84"/>
      <c r="AJ34" s="41"/>
      <c r="AK34" s="112"/>
      <c r="AL34" s="234"/>
      <c r="AM34" s="84"/>
      <c r="AN34" s="85"/>
      <c r="AO34" s="86"/>
      <c r="AP34" s="86"/>
      <c r="AQ34" s="86"/>
      <c r="AR34" s="86"/>
      <c r="AS34" s="86"/>
    </row>
    <row r="35" spans="1:45" ht="12.75" customHeight="1" x14ac:dyDescent="0.2">
      <c r="A35" s="51"/>
      <c r="D35" s="500"/>
      <c r="E35" s="136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83"/>
      <c r="S35" s="83"/>
      <c r="T35" s="11"/>
      <c r="U35" s="11"/>
      <c r="V35" s="11"/>
      <c r="W35" s="11"/>
      <c r="X35" s="11"/>
      <c r="Y35" s="11"/>
      <c r="Z35" s="11"/>
      <c r="AA35" s="11"/>
      <c r="AB35" s="83"/>
      <c r="AC35" s="84"/>
      <c r="AD35" s="58"/>
      <c r="AE35" s="503"/>
      <c r="AF35" s="84"/>
      <c r="AG35" s="234"/>
      <c r="AH35" s="505"/>
      <c r="AI35" s="84"/>
      <c r="AJ35" s="41"/>
      <c r="AK35" s="112"/>
      <c r="AL35" s="234"/>
      <c r="AM35" s="84"/>
      <c r="AN35" s="85"/>
      <c r="AO35" s="86"/>
      <c r="AP35" s="86"/>
      <c r="AQ35" s="86"/>
      <c r="AR35" s="86"/>
      <c r="AS35" s="86"/>
    </row>
    <row r="36" spans="1:45" ht="12.75" customHeight="1" x14ac:dyDescent="0.2">
      <c r="A36" s="51"/>
      <c r="D36" s="500"/>
      <c r="E36" s="136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83"/>
      <c r="S36" s="83"/>
      <c r="T36" s="11"/>
      <c r="U36" s="11"/>
      <c r="V36" s="11"/>
      <c r="W36" s="11"/>
      <c r="X36" s="11"/>
      <c r="Y36" s="11"/>
      <c r="Z36" s="11"/>
      <c r="AA36" s="11"/>
      <c r="AB36" s="83"/>
      <c r="AC36" s="84"/>
      <c r="AD36" s="58"/>
      <c r="AE36" s="503"/>
      <c r="AF36" s="84"/>
      <c r="AG36" s="234"/>
      <c r="AH36" s="505"/>
      <c r="AI36" s="84"/>
      <c r="AJ36" s="41"/>
      <c r="AK36" s="112"/>
      <c r="AL36" s="234"/>
      <c r="AM36" s="84"/>
      <c r="AN36" s="85"/>
      <c r="AO36" s="86"/>
      <c r="AP36" s="86"/>
      <c r="AQ36" s="86"/>
      <c r="AR36" s="86"/>
      <c r="AS36" s="86"/>
    </row>
    <row r="37" spans="1:45" ht="12.75" customHeight="1" x14ac:dyDescent="0.2">
      <c r="A37" s="51"/>
      <c r="D37" s="500"/>
      <c r="E37" s="136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83"/>
      <c r="S37" s="83"/>
      <c r="T37" s="11"/>
      <c r="U37" s="11"/>
      <c r="V37" s="11"/>
      <c r="W37" s="11"/>
      <c r="X37" s="11"/>
      <c r="Y37" s="11"/>
      <c r="Z37" s="11"/>
      <c r="AA37" s="11"/>
      <c r="AB37" s="83"/>
      <c r="AC37" s="84"/>
      <c r="AD37" s="58"/>
      <c r="AE37" s="503"/>
      <c r="AF37" s="84"/>
      <c r="AG37" s="234"/>
      <c r="AH37" s="505"/>
      <c r="AI37" s="84"/>
      <c r="AJ37" s="41"/>
      <c r="AK37" s="112"/>
      <c r="AL37" s="234"/>
      <c r="AM37" s="84"/>
      <c r="AN37" s="85"/>
      <c r="AO37" s="86"/>
      <c r="AP37" s="86"/>
      <c r="AQ37" s="86"/>
      <c r="AR37" s="86"/>
      <c r="AS37" s="86"/>
    </row>
    <row r="38" spans="1:45" ht="12.75" customHeight="1" x14ac:dyDescent="0.2">
      <c r="A38" s="51"/>
      <c r="D38" s="500"/>
      <c r="E38" s="136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83"/>
      <c r="S38" s="83"/>
      <c r="T38" s="11"/>
      <c r="U38" s="11"/>
      <c r="V38" s="11"/>
      <c r="W38" s="11"/>
      <c r="X38" s="11"/>
      <c r="Y38" s="11"/>
      <c r="Z38" s="11"/>
      <c r="AA38" s="11"/>
      <c r="AB38" s="83"/>
      <c r="AC38" s="84"/>
      <c r="AD38" s="58"/>
      <c r="AE38" s="503"/>
      <c r="AF38" s="84"/>
      <c r="AG38" s="234"/>
      <c r="AH38" s="505"/>
      <c r="AI38" s="84"/>
      <c r="AJ38" s="41"/>
      <c r="AK38" s="112"/>
      <c r="AL38" s="234"/>
      <c r="AM38" s="84"/>
      <c r="AN38" s="85"/>
      <c r="AO38" s="86"/>
      <c r="AP38" s="86"/>
      <c r="AQ38" s="86"/>
      <c r="AR38" s="86"/>
      <c r="AS38" s="86"/>
    </row>
    <row r="39" spans="1:45" ht="12.75" customHeight="1" x14ac:dyDescent="0.2">
      <c r="A39" s="51"/>
      <c r="D39" s="500"/>
      <c r="E39" s="136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83"/>
      <c r="S39" s="83"/>
      <c r="T39" s="11"/>
      <c r="U39" s="11"/>
      <c r="V39" s="11"/>
      <c r="W39" s="11"/>
      <c r="X39" s="11"/>
      <c r="Y39" s="11"/>
      <c r="Z39" s="11"/>
      <c r="AA39" s="11"/>
      <c r="AB39" s="83"/>
      <c r="AC39" s="84"/>
      <c r="AD39" s="58"/>
      <c r="AE39" s="503"/>
      <c r="AF39" s="84"/>
      <c r="AG39" s="234"/>
      <c r="AH39" s="505"/>
      <c r="AI39" s="84"/>
      <c r="AJ39" s="41"/>
      <c r="AK39" s="112"/>
      <c r="AL39" s="234"/>
      <c r="AM39" s="84"/>
      <c r="AN39" s="85"/>
      <c r="AO39" s="86"/>
      <c r="AP39" s="86"/>
      <c r="AQ39" s="86"/>
      <c r="AR39" s="86"/>
      <c r="AS39" s="86"/>
    </row>
    <row r="40" spans="1:45" ht="12.75" customHeight="1" x14ac:dyDescent="0.2">
      <c r="A40" s="51"/>
      <c r="D40" s="500"/>
      <c r="E40" s="136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83"/>
      <c r="S40" s="83"/>
      <c r="T40" s="11"/>
      <c r="U40" s="11"/>
      <c r="V40" s="11"/>
      <c r="W40" s="11"/>
      <c r="X40" s="11"/>
      <c r="Y40" s="11"/>
      <c r="Z40" s="11"/>
      <c r="AA40" s="11"/>
      <c r="AB40" s="83"/>
      <c r="AC40" s="84"/>
      <c r="AD40" s="58"/>
      <c r="AE40" s="503"/>
      <c r="AF40" s="84"/>
      <c r="AG40" s="234"/>
      <c r="AH40" s="505"/>
      <c r="AI40" s="84"/>
      <c r="AJ40" s="41"/>
      <c r="AK40" s="112"/>
      <c r="AL40" s="234"/>
      <c r="AM40" s="84"/>
      <c r="AN40" s="85"/>
      <c r="AO40" s="86"/>
      <c r="AP40" s="86"/>
      <c r="AQ40" s="86"/>
      <c r="AR40" s="86"/>
      <c r="AS40" s="86"/>
    </row>
    <row r="41" spans="1:45" ht="12.75" customHeight="1" x14ac:dyDescent="0.2">
      <c r="A41" s="51"/>
      <c r="D41" s="500"/>
      <c r="E41" s="136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83"/>
      <c r="S41" s="83"/>
      <c r="T41" s="11"/>
      <c r="U41" s="11"/>
      <c r="V41" s="11"/>
      <c r="W41" s="11"/>
      <c r="X41" s="11"/>
      <c r="Y41" s="11"/>
      <c r="Z41" s="11"/>
      <c r="AA41" s="11"/>
      <c r="AB41" s="83"/>
      <c r="AC41" s="84"/>
      <c r="AD41" s="58"/>
      <c r="AE41" s="503"/>
      <c r="AF41" s="84"/>
      <c r="AG41" s="234"/>
      <c r="AH41" s="505"/>
      <c r="AI41" s="84"/>
      <c r="AJ41" s="41"/>
      <c r="AK41" s="112"/>
      <c r="AL41" s="234"/>
      <c r="AM41" s="84"/>
      <c r="AN41" s="85"/>
      <c r="AO41" s="86"/>
      <c r="AP41" s="86"/>
      <c r="AQ41" s="86"/>
      <c r="AR41" s="86"/>
      <c r="AS41" s="86"/>
    </row>
    <row r="42" spans="1:45" ht="12.75" customHeight="1" x14ac:dyDescent="0.2">
      <c r="A42" s="51"/>
      <c r="D42" s="500"/>
      <c r="E42" s="136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83"/>
      <c r="S42" s="83"/>
      <c r="T42" s="11"/>
      <c r="U42" s="11"/>
      <c r="V42" s="11"/>
      <c r="W42" s="11"/>
      <c r="X42" s="11"/>
      <c r="Y42" s="11"/>
      <c r="Z42" s="11"/>
      <c r="AA42" s="11"/>
      <c r="AB42" s="83"/>
      <c r="AC42" s="84"/>
      <c r="AD42" s="58"/>
      <c r="AE42" s="503"/>
      <c r="AF42" s="84"/>
      <c r="AG42" s="234"/>
      <c r="AH42" s="505"/>
      <c r="AI42" s="84"/>
      <c r="AJ42" s="41"/>
      <c r="AK42" s="112"/>
      <c r="AL42" s="234"/>
      <c r="AM42" s="84"/>
      <c r="AN42" s="85"/>
      <c r="AO42" s="86"/>
      <c r="AP42" s="86"/>
      <c r="AQ42" s="86"/>
      <c r="AR42" s="86"/>
      <c r="AS42" s="86"/>
    </row>
    <row r="43" spans="1:45" ht="12.75" customHeight="1" x14ac:dyDescent="0.2">
      <c r="A43" s="51"/>
      <c r="D43" s="500"/>
      <c r="E43" s="136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83"/>
      <c r="S43" s="83"/>
      <c r="T43" s="11"/>
      <c r="U43" s="11"/>
      <c r="V43" s="11"/>
      <c r="W43" s="11"/>
      <c r="X43" s="11"/>
      <c r="Y43" s="11"/>
      <c r="Z43" s="11"/>
      <c r="AA43" s="11"/>
      <c r="AB43" s="83"/>
      <c r="AC43" s="84"/>
      <c r="AD43" s="58"/>
      <c r="AE43" s="503"/>
      <c r="AF43" s="84"/>
      <c r="AG43" s="234"/>
      <c r="AH43" s="505"/>
      <c r="AI43" s="84"/>
      <c r="AJ43" s="41"/>
      <c r="AK43" s="112"/>
      <c r="AL43" s="234"/>
      <c r="AM43" s="84"/>
      <c r="AN43" s="85"/>
      <c r="AO43" s="86"/>
      <c r="AP43" s="86"/>
      <c r="AQ43" s="86"/>
      <c r="AR43" s="86"/>
      <c r="AS43" s="86"/>
    </row>
    <row r="44" spans="1:45" ht="12.75" customHeight="1" x14ac:dyDescent="0.2">
      <c r="A44" s="51"/>
      <c r="D44" s="500"/>
      <c r="E44" s="136"/>
      <c r="F44" s="11"/>
      <c r="G44" s="11"/>
      <c r="H44" s="508"/>
      <c r="I44" s="11"/>
      <c r="J44" s="11"/>
      <c r="K44" s="11"/>
      <c r="L44" s="11"/>
      <c r="M44" s="11"/>
      <c r="N44" s="11"/>
      <c r="O44" s="11"/>
      <c r="P44" s="11"/>
      <c r="Q44" s="11"/>
      <c r="R44" s="83"/>
      <c r="S44" s="83"/>
      <c r="T44" s="11"/>
      <c r="U44" s="11"/>
      <c r="V44" s="11"/>
      <c r="W44" s="11"/>
      <c r="X44" s="11"/>
      <c r="Y44" s="11"/>
      <c r="Z44" s="11"/>
      <c r="AA44" s="11"/>
      <c r="AB44" s="83"/>
      <c r="AC44" s="84"/>
      <c r="AD44" s="58"/>
      <c r="AE44" s="503"/>
      <c r="AF44" s="84"/>
      <c r="AG44" s="234"/>
      <c r="AH44" s="505"/>
      <c r="AI44" s="84"/>
      <c r="AJ44" s="41"/>
      <c r="AK44" s="112"/>
      <c r="AL44" s="234"/>
      <c r="AM44" s="84"/>
      <c r="AN44" s="85"/>
      <c r="AO44" s="86"/>
      <c r="AP44" s="86"/>
      <c r="AQ44" s="86"/>
      <c r="AR44" s="86"/>
      <c r="AS44" s="86"/>
    </row>
    <row r="45" spans="1:45" ht="12.75" customHeight="1" x14ac:dyDescent="0.2">
      <c r="A45" s="51"/>
      <c r="D45" s="500"/>
      <c r="E45" s="136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83"/>
      <c r="S45" s="83"/>
      <c r="T45" s="11"/>
      <c r="U45" s="11"/>
      <c r="V45" s="11"/>
      <c r="W45" s="11"/>
      <c r="X45" s="11"/>
      <c r="Y45" s="11"/>
      <c r="Z45" s="11"/>
      <c r="AA45" s="11"/>
      <c r="AB45" s="83"/>
      <c r="AC45" s="84"/>
      <c r="AD45" s="58"/>
      <c r="AE45" s="503"/>
      <c r="AF45" s="84"/>
      <c r="AG45" s="234"/>
      <c r="AH45" s="505"/>
      <c r="AI45" s="84"/>
      <c r="AJ45" s="41"/>
      <c r="AK45" s="112"/>
      <c r="AL45" s="234"/>
      <c r="AM45" s="84"/>
      <c r="AN45" s="85"/>
      <c r="AO45" s="86"/>
      <c r="AP45" s="86"/>
      <c r="AQ45" s="86"/>
      <c r="AR45" s="86"/>
      <c r="AS45" s="86"/>
    </row>
    <row r="46" spans="1:45" ht="12.75" customHeight="1" x14ac:dyDescent="0.2">
      <c r="A46" s="51"/>
      <c r="D46" s="500"/>
      <c r="E46" s="136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83"/>
      <c r="S46" s="83"/>
      <c r="T46" s="11"/>
      <c r="U46" s="11"/>
      <c r="V46" s="11"/>
      <c r="W46" s="11"/>
      <c r="X46" s="11"/>
      <c r="Y46" s="11"/>
      <c r="Z46" s="11"/>
      <c r="AA46" s="11"/>
      <c r="AB46" s="83"/>
      <c r="AC46" s="84"/>
      <c r="AD46" s="58"/>
      <c r="AE46" s="503"/>
      <c r="AF46" s="84"/>
      <c r="AG46" s="234"/>
      <c r="AH46" s="505"/>
      <c r="AI46" s="84"/>
      <c r="AJ46" s="41"/>
      <c r="AK46" s="112"/>
      <c r="AL46" s="234"/>
      <c r="AM46" s="84"/>
      <c r="AN46" s="85"/>
      <c r="AO46" s="86"/>
      <c r="AP46" s="86"/>
      <c r="AQ46" s="86"/>
      <c r="AR46" s="86"/>
      <c r="AS46" s="86"/>
    </row>
    <row r="47" spans="1:45" ht="12.75" customHeight="1" x14ac:dyDescent="0.2">
      <c r="A47" s="51"/>
      <c r="D47" s="500"/>
      <c r="E47" s="136"/>
      <c r="F47" s="11"/>
      <c r="G47" s="11"/>
      <c r="H47" s="508"/>
      <c r="I47" s="11"/>
      <c r="J47" s="11"/>
      <c r="K47" s="11"/>
      <c r="L47" s="11"/>
      <c r="M47" s="11"/>
      <c r="N47" s="11" t="s">
        <v>519</v>
      </c>
      <c r="O47" s="11"/>
      <c r="P47" s="11"/>
      <c r="Q47" s="11"/>
      <c r="R47" s="83"/>
      <c r="S47" s="83"/>
      <c r="T47" s="11"/>
      <c r="U47" s="11"/>
      <c r="V47" s="11"/>
      <c r="W47" s="11"/>
      <c r="X47" s="11"/>
      <c r="Y47" s="11"/>
      <c r="Z47" s="11"/>
      <c r="AA47" s="11"/>
      <c r="AB47" s="83"/>
      <c r="AC47" s="84"/>
      <c r="AD47" s="58"/>
      <c r="AE47" s="503"/>
      <c r="AF47" s="84"/>
      <c r="AG47" s="234"/>
      <c r="AH47" s="505"/>
      <c r="AI47" s="84"/>
      <c r="AJ47" s="41"/>
      <c r="AK47" s="112"/>
      <c r="AL47" s="234"/>
      <c r="AM47" s="84"/>
      <c r="AN47" s="85"/>
      <c r="AO47" s="86"/>
      <c r="AP47" s="86"/>
      <c r="AQ47" s="86"/>
      <c r="AR47" s="86"/>
      <c r="AS47" s="86"/>
    </row>
    <row r="48" spans="1:45" ht="12.75" customHeight="1" x14ac:dyDescent="0.2">
      <c r="A48" s="51"/>
      <c r="D48" s="500"/>
      <c r="E48" s="136"/>
      <c r="F48" s="11"/>
      <c r="G48" s="11"/>
      <c r="H48" s="11"/>
      <c r="I48" s="11"/>
      <c r="J48" s="11"/>
      <c r="K48" s="11"/>
      <c r="L48" s="509"/>
      <c r="N48" s="11" t="s">
        <v>520</v>
      </c>
      <c r="O48" s="11"/>
      <c r="P48" s="11"/>
      <c r="Q48" s="11"/>
      <c r="R48" s="83"/>
      <c r="S48" s="83"/>
      <c r="T48" s="11"/>
      <c r="U48" s="11"/>
      <c r="V48" s="11"/>
      <c r="W48" s="11"/>
      <c r="X48" s="11"/>
      <c r="Y48" s="11"/>
      <c r="Z48" s="11"/>
      <c r="AA48" s="11"/>
      <c r="AB48" s="83"/>
      <c r="AC48" s="84"/>
      <c r="AD48" s="58"/>
      <c r="AE48" s="503"/>
      <c r="AF48" s="84"/>
      <c r="AG48" s="234"/>
      <c r="AH48" s="505"/>
      <c r="AI48" s="84"/>
      <c r="AJ48" s="41"/>
      <c r="AK48" s="112"/>
      <c r="AL48" s="234"/>
      <c r="AM48" s="84"/>
      <c r="AN48" s="85"/>
      <c r="AO48" s="86"/>
      <c r="AP48" s="86"/>
      <c r="AQ48" s="86"/>
      <c r="AR48" s="86"/>
      <c r="AS48" s="86"/>
    </row>
    <row r="49" spans="1:52" ht="12.75" customHeight="1" x14ac:dyDescent="0.2">
      <c r="A49" s="51"/>
      <c r="D49" s="500"/>
      <c r="E49" s="136"/>
      <c r="F49" s="11"/>
      <c r="G49" s="11"/>
      <c r="H49" s="11"/>
      <c r="I49" s="11"/>
      <c r="J49" s="11"/>
      <c r="K49" s="11"/>
      <c r="L49" s="509"/>
      <c r="M49" s="11"/>
      <c r="N49" s="11"/>
      <c r="O49" s="11"/>
      <c r="P49" s="11"/>
      <c r="Q49" s="11"/>
      <c r="R49" s="83"/>
      <c r="S49" s="83"/>
      <c r="T49" s="11"/>
      <c r="U49" s="11"/>
      <c r="V49" s="11"/>
      <c r="W49" s="11"/>
      <c r="X49" s="11"/>
      <c r="Y49" s="11"/>
      <c r="Z49" s="11"/>
      <c r="AA49" s="11"/>
      <c r="AB49" s="83"/>
      <c r="AC49" s="84"/>
      <c r="AD49" s="58"/>
      <c r="AE49" s="503"/>
      <c r="AF49" s="84"/>
      <c r="AG49" s="234"/>
      <c r="AH49" s="505"/>
      <c r="AI49" s="84"/>
      <c r="AJ49" s="41"/>
      <c r="AK49" s="112"/>
      <c r="AL49" s="234"/>
      <c r="AM49" s="84"/>
      <c r="AN49" s="85"/>
      <c r="AO49" s="86"/>
      <c r="AP49" s="86"/>
      <c r="AQ49" s="86"/>
      <c r="AR49" s="86"/>
      <c r="AS49" s="86"/>
    </row>
    <row r="50" spans="1:52" ht="12.75" customHeight="1" x14ac:dyDescent="0.2">
      <c r="A50" s="51"/>
      <c r="D50" s="500"/>
      <c r="E50" s="136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83"/>
      <c r="S50" s="83"/>
      <c r="T50" s="11"/>
      <c r="U50" s="11"/>
      <c r="V50" s="11"/>
      <c r="W50" s="11"/>
      <c r="X50" s="11"/>
      <c r="Y50" s="11"/>
      <c r="Z50" s="11"/>
      <c r="AA50" s="11"/>
      <c r="AB50" s="83"/>
      <c r="AC50" s="84"/>
      <c r="AD50" s="58"/>
      <c r="AE50" s="503"/>
      <c r="AF50" s="84"/>
      <c r="AG50" s="234"/>
      <c r="AH50" s="505"/>
      <c r="AI50" s="84"/>
      <c r="AJ50" s="41"/>
      <c r="AK50" s="112"/>
      <c r="AL50" s="234"/>
      <c r="AM50" s="84"/>
      <c r="AN50" s="85"/>
      <c r="AO50" s="86"/>
      <c r="AP50" s="86"/>
      <c r="AQ50" s="86"/>
      <c r="AR50" s="86"/>
      <c r="AS50" s="86"/>
    </row>
    <row r="51" spans="1:52" ht="12.75" customHeight="1" x14ac:dyDescent="0.2">
      <c r="A51" s="51"/>
      <c r="D51" s="500"/>
      <c r="E51" s="136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83"/>
      <c r="S51" s="83"/>
      <c r="T51" s="11"/>
      <c r="U51" s="11"/>
      <c r="V51" s="11"/>
      <c r="W51" s="11"/>
      <c r="X51" s="11"/>
      <c r="Y51" s="11"/>
      <c r="Z51" s="11"/>
      <c r="AA51" s="11"/>
      <c r="AB51" s="83"/>
      <c r="AC51" s="84"/>
      <c r="AD51" s="58"/>
      <c r="AE51" s="503"/>
      <c r="AF51" s="84"/>
      <c r="AG51" s="234"/>
      <c r="AH51" s="505"/>
      <c r="AI51" s="84"/>
      <c r="AJ51" s="41"/>
      <c r="AK51" s="112"/>
      <c r="AL51" s="234"/>
      <c r="AM51" s="84"/>
      <c r="AN51" s="85"/>
      <c r="AO51" s="86"/>
      <c r="AP51" s="86"/>
      <c r="AQ51" s="86"/>
      <c r="AR51" s="86"/>
      <c r="AS51" s="86"/>
    </row>
    <row r="52" spans="1:52" ht="12.75" customHeight="1" x14ac:dyDescent="0.2">
      <c r="A52" s="51"/>
      <c r="D52" s="500"/>
      <c r="E52" s="136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83"/>
      <c r="S52" s="83"/>
      <c r="T52" s="11"/>
      <c r="U52" s="11"/>
      <c r="V52" s="11"/>
      <c r="W52" s="11"/>
      <c r="X52" s="11"/>
      <c r="Y52" s="11"/>
      <c r="Z52" s="11"/>
      <c r="AA52" s="11"/>
      <c r="AB52" s="83"/>
      <c r="AC52" s="84"/>
      <c r="AD52" s="58"/>
      <c r="AE52" s="503"/>
      <c r="AF52" s="84"/>
      <c r="AG52" s="234"/>
      <c r="AH52" s="505"/>
      <c r="AI52" s="84"/>
      <c r="AJ52" s="41"/>
      <c r="AK52" s="112"/>
      <c r="AL52" s="234"/>
      <c r="AM52" s="84"/>
      <c r="AN52" s="85"/>
      <c r="AO52" s="86"/>
      <c r="AP52" s="86"/>
      <c r="AQ52" s="86"/>
      <c r="AR52" s="86"/>
      <c r="AS52" s="86"/>
    </row>
    <row r="53" spans="1:52" ht="12.75" customHeight="1" x14ac:dyDescent="0.2">
      <c r="A53" s="51"/>
      <c r="D53" s="500"/>
      <c r="E53" s="136"/>
      <c r="I53" s="170">
        <f>+B159</f>
        <v>1447.2249999999999</v>
      </c>
      <c r="K53" s="170"/>
      <c r="R53" s="83"/>
      <c r="S53" s="83"/>
      <c r="U53" s="170"/>
      <c r="AB53" s="83"/>
      <c r="AC53" s="84"/>
      <c r="AD53" s="58"/>
      <c r="AE53" s="503"/>
      <c r="AF53" s="84"/>
      <c r="AG53" s="234"/>
      <c r="AH53" s="505"/>
      <c r="AI53" s="84"/>
      <c r="AJ53" s="41"/>
      <c r="AK53" s="112"/>
      <c r="AL53" s="234"/>
      <c r="AM53" s="84"/>
      <c r="AN53" s="85"/>
      <c r="AO53" s="86"/>
      <c r="AP53" s="86"/>
      <c r="AQ53" s="86"/>
      <c r="AR53" s="86"/>
      <c r="AS53" s="86"/>
    </row>
    <row r="54" spans="1:52" ht="15" customHeight="1" x14ac:dyDescent="0.2">
      <c r="A54" s="49" t="s">
        <v>154</v>
      </c>
      <c r="B54" s="498"/>
      <c r="C54" s="498"/>
      <c r="D54" s="498"/>
      <c r="E54" s="499"/>
      <c r="F54" s="625" t="s">
        <v>77</v>
      </c>
      <c r="G54" s="626"/>
      <c r="H54" s="626"/>
      <c r="I54" s="626"/>
      <c r="J54" s="626"/>
      <c r="K54" s="626"/>
      <c r="L54" s="626"/>
      <c r="M54" s="626"/>
      <c r="N54" s="626"/>
      <c r="O54" s="626"/>
      <c r="P54" s="626"/>
      <c r="Q54" s="627"/>
      <c r="R54" s="616" t="s">
        <v>132</v>
      </c>
      <c r="S54" s="73">
        <f>+CS!T25</f>
        <v>0.56803333333333328</v>
      </c>
      <c r="T54" s="598" t="s">
        <v>98</v>
      </c>
      <c r="U54" s="628"/>
      <c r="V54" s="628"/>
      <c r="W54" s="628"/>
      <c r="X54" s="628"/>
      <c r="Y54" s="628"/>
      <c r="Z54" s="628"/>
      <c r="AA54" s="599"/>
      <c r="AB54" s="616" t="s">
        <v>134</v>
      </c>
      <c r="AC54" s="616" t="s">
        <v>36</v>
      </c>
      <c r="AD54" s="621" t="s">
        <v>119</v>
      </c>
      <c r="AE54" s="74"/>
      <c r="AF54" s="621" t="s">
        <v>34</v>
      </c>
      <c r="AG54" s="75"/>
      <c r="AH54" s="621" t="s">
        <v>169</v>
      </c>
      <c r="AI54" s="621" t="s">
        <v>90</v>
      </c>
      <c r="AJ54" s="621" t="s">
        <v>170</v>
      </c>
      <c r="AK54" s="621" t="s">
        <v>91</v>
      </c>
      <c r="AM54" s="621" t="s">
        <v>142</v>
      </c>
      <c r="AN54" s="621" t="s">
        <v>126</v>
      </c>
      <c r="AO54" s="621" t="s">
        <v>127</v>
      </c>
      <c r="AP54" s="621" t="s">
        <v>141</v>
      </c>
      <c r="AQ54" s="621" t="s">
        <v>135</v>
      </c>
      <c r="AR54" s="621" t="s">
        <v>136</v>
      </c>
      <c r="AS54" s="621" t="s">
        <v>143</v>
      </c>
    </row>
    <row r="55" spans="1:52" ht="55.5" customHeight="1" x14ac:dyDescent="0.2">
      <c r="A55" s="61" t="s">
        <v>3</v>
      </c>
      <c r="B55" s="61" t="s">
        <v>96</v>
      </c>
      <c r="C55" s="61" t="s">
        <v>97</v>
      </c>
      <c r="D55" s="61" t="s">
        <v>0</v>
      </c>
      <c r="E55" s="61" t="s">
        <v>1</v>
      </c>
      <c r="F55" s="61" t="s">
        <v>144</v>
      </c>
      <c r="G55" s="61" t="s">
        <v>176</v>
      </c>
      <c r="H55" s="61" t="s">
        <v>159</v>
      </c>
      <c r="I55" s="61" t="s">
        <v>160</v>
      </c>
      <c r="J55" s="61" t="s">
        <v>197</v>
      </c>
      <c r="K55" s="61" t="s">
        <v>495</v>
      </c>
      <c r="L55" s="61" t="s">
        <v>496</v>
      </c>
      <c r="M55" s="61" t="s">
        <v>497</v>
      </c>
      <c r="N55" s="178" t="s">
        <v>518</v>
      </c>
      <c r="O55" s="178" t="s">
        <v>498</v>
      </c>
      <c r="P55" s="61" t="s">
        <v>230</v>
      </c>
      <c r="Q55" s="61" t="s">
        <v>183</v>
      </c>
      <c r="R55" s="624" t="s">
        <v>131</v>
      </c>
      <c r="S55" s="76" t="s">
        <v>2</v>
      </c>
      <c r="T55" s="61" t="s">
        <v>196</v>
      </c>
      <c r="U55" s="61" t="s">
        <v>195</v>
      </c>
      <c r="V55" s="61" t="s">
        <v>193</v>
      </c>
      <c r="W55" s="61" t="s">
        <v>194</v>
      </c>
      <c r="X55" s="61" t="s">
        <v>499</v>
      </c>
      <c r="Y55" s="61" t="s">
        <v>500</v>
      </c>
      <c r="Z55" s="61" t="s">
        <v>201</v>
      </c>
      <c r="AA55" s="61"/>
      <c r="AB55" s="624" t="s">
        <v>131</v>
      </c>
      <c r="AC55" s="616"/>
      <c r="AD55" s="622"/>
      <c r="AE55" s="74"/>
      <c r="AF55" s="622"/>
      <c r="AG55" s="32"/>
      <c r="AH55" s="622"/>
      <c r="AI55" s="622"/>
      <c r="AJ55" s="622"/>
      <c r="AK55" s="622"/>
      <c r="AM55" s="622"/>
      <c r="AN55" s="622"/>
      <c r="AO55" s="622"/>
      <c r="AP55" s="622"/>
      <c r="AQ55" s="622"/>
      <c r="AR55" s="622"/>
      <c r="AS55" s="622"/>
    </row>
    <row r="56" spans="1:52" ht="12.75" customHeight="1" x14ac:dyDescent="0.2">
      <c r="A56" s="510"/>
      <c r="D56" s="500"/>
      <c r="E56" s="136"/>
      <c r="F56" s="511"/>
      <c r="G56" s="511"/>
      <c r="H56" s="511"/>
      <c r="I56" s="11"/>
      <c r="K56" s="11"/>
      <c r="M56" s="11"/>
      <c r="N56" s="11"/>
      <c r="O56" s="11"/>
      <c r="Q56" s="11"/>
      <c r="R56" s="83"/>
      <c r="S56" s="83"/>
      <c r="U56" s="11"/>
      <c r="W56" s="11"/>
      <c r="X56" s="11"/>
      <c r="Y56" s="11"/>
      <c r="Z56" s="11"/>
      <c r="AA56" s="11"/>
      <c r="AB56" s="502"/>
      <c r="AC56" s="161"/>
      <c r="AD56" s="58"/>
      <c r="AE56" s="503"/>
      <c r="AF56" s="84"/>
      <c r="AG56" s="234"/>
      <c r="AH56" s="504"/>
      <c r="AI56" s="84"/>
      <c r="AJ56" s="41"/>
      <c r="AK56" s="112"/>
      <c r="AL56" s="234"/>
      <c r="AM56" s="84"/>
      <c r="AN56" s="84"/>
      <c r="AO56" s="84"/>
      <c r="AP56" s="88"/>
      <c r="AQ56" s="89"/>
      <c r="AR56" s="89"/>
      <c r="AS56" s="89"/>
      <c r="AU56" s="42"/>
      <c r="AV56" s="59"/>
      <c r="AW56" s="42"/>
    </row>
    <row r="57" spans="1:52" ht="12.75" customHeight="1" x14ac:dyDescent="0.2">
      <c r="A57" s="289" t="s">
        <v>775</v>
      </c>
      <c r="B57" s="32" t="s">
        <v>501</v>
      </c>
      <c r="C57" s="32" t="s">
        <v>502</v>
      </c>
      <c r="D57" s="500">
        <v>43587</v>
      </c>
      <c r="E57" s="136">
        <v>7</v>
      </c>
      <c r="F57" s="54">
        <f>VLOOKUP($C57,$A$131:$F$156,3)</f>
        <v>176459.27499999999</v>
      </c>
      <c r="G57" s="54">
        <f>VLOOKUP($C57,$A$131:$F$154,4)</f>
        <v>134495.24</v>
      </c>
      <c r="H57" s="54">
        <f>VLOOKUP($C57,$A$131:$F$154,5)</f>
        <v>66575.143799999991</v>
      </c>
      <c r="I57" s="11">
        <f>+I$53*E57</f>
        <v>10130.574999999999</v>
      </c>
      <c r="J57" s="11">
        <v>0</v>
      </c>
      <c r="K57" s="11">
        <v>60316.799999999996</v>
      </c>
      <c r="L57" s="11">
        <v>33787.9</v>
      </c>
      <c r="M57" s="11">
        <v>33787.9</v>
      </c>
      <c r="N57" s="501">
        <f>+SUM(F57:I57,K57:M57)/180*1.5*P57++SUM(F57:I57,K57:M57)/180*2*10</f>
        <v>246319.68726000004</v>
      </c>
      <c r="O57" s="501">
        <v>0</v>
      </c>
      <c r="P57" s="11">
        <f>2*22</f>
        <v>44</v>
      </c>
      <c r="Q57" s="11">
        <f>+SUM(F57:I57,K57:O57)*6%</f>
        <v>45712.351263600001</v>
      </c>
      <c r="R57" s="83">
        <f>+SUM(F57:I57,K57:O57,Q57)</f>
        <v>807584.87232360011</v>
      </c>
      <c r="S57" s="83">
        <f>R57*$S$54+AB57*CS!$T$25</f>
        <v>560606.22497554892</v>
      </c>
      <c r="U57" s="11">
        <f t="shared" ref="U57:U63" si="0">+T57*B$163</f>
        <v>0</v>
      </c>
      <c r="V57" s="32">
        <v>40</v>
      </c>
      <c r="W57" s="11">
        <f t="shared" ref="W57:W63" si="1">+V57*U$2</f>
        <v>179340</v>
      </c>
      <c r="X57" s="11">
        <v>0</v>
      </c>
      <c r="Y57" s="11">
        <v>0</v>
      </c>
      <c r="Z57" s="11">
        <v>0</v>
      </c>
      <c r="AA57" s="11"/>
      <c r="AB57" s="502">
        <f t="shared" ref="AB57:AB63" si="2">+AA57+Z57+Y57+X57+W57+U57</f>
        <v>179340</v>
      </c>
      <c r="AC57" s="161">
        <f>+'MO Florencia'!EU9*100000</f>
        <v>2582908.6199999996</v>
      </c>
      <c r="AD57" s="58">
        <f>20*10</f>
        <v>200</v>
      </c>
      <c r="AE57" s="503"/>
      <c r="AF57" s="84">
        <f>AC57/AD57</f>
        <v>12914.543099999999</v>
      </c>
      <c r="AG57" s="234"/>
      <c r="AH57" s="431" t="s">
        <v>514</v>
      </c>
      <c r="AI57" s="84">
        <f>+GdP!F57</f>
        <v>615.58333333333337</v>
      </c>
      <c r="AJ57" s="41" t="str">
        <f>+AH57</f>
        <v>op</v>
      </c>
      <c r="AK57" s="112">
        <f>+GdP!F94</f>
        <v>269.93535000000003</v>
      </c>
      <c r="AL57" s="234"/>
      <c r="AM57" s="84">
        <f>AF57+AI57+AK57</f>
        <v>13800.061783333333</v>
      </c>
      <c r="AN57" s="84">
        <f t="shared" ref="AN57:AN63" si="3">((($F57+$G57+$I57)*1.5)/$AD57+((($F57+$G57+$I57)*0.5)*$P$164)/$AD57+$S57/$AD57+$AB57/$AD57)+$AI57+$AK57</f>
        <v>6993.3879832110779</v>
      </c>
      <c r="AO57" s="84">
        <f t="shared" ref="AO57:AO63" si="4">((($F57+$G57+$I57)*2)/$AD57+((($F57+$G57+$I57)*1)*$P$164)/$AD57+$S57/$AD57+$AB57/$AD57)+$AI57+$AK57</f>
        <v>7796.1007082110773</v>
      </c>
      <c r="AP57" s="88"/>
      <c r="AQ57" s="89"/>
      <c r="AR57" s="89"/>
      <c r="AS57" s="89"/>
      <c r="AT57" s="541">
        <f>+(AK57+AI57)/AF57</f>
        <v>6.8567558021726177E-2</v>
      </c>
      <c r="AU57" s="42"/>
      <c r="AV57" s="59"/>
      <c r="AW57" s="42"/>
      <c r="AY57" s="42"/>
      <c r="AZ57" s="42"/>
    </row>
    <row r="58" spans="1:52" ht="12.75" customHeight="1" x14ac:dyDescent="0.2">
      <c r="A58" s="289" t="s">
        <v>775</v>
      </c>
      <c r="B58" s="32" t="s">
        <v>501</v>
      </c>
      <c r="C58" s="32" t="s">
        <v>502</v>
      </c>
      <c r="D58" s="500">
        <v>43467</v>
      </c>
      <c r="E58" s="136">
        <v>7</v>
      </c>
      <c r="F58" s="54">
        <f>+F57</f>
        <v>176459.27499999999</v>
      </c>
      <c r="G58" s="54">
        <f>VLOOKUP($C58,$A$131:$F$154,4)</f>
        <v>134495.24</v>
      </c>
      <c r="H58" s="54">
        <f>VLOOKUP($C58,$A$131:$F$154,5)</f>
        <v>66575.143799999991</v>
      </c>
      <c r="I58" s="11">
        <f t="shared" ref="I58:I62" si="5">+I$53*E58</f>
        <v>10130.574999999999</v>
      </c>
      <c r="J58" s="11">
        <f>3*20*I54</f>
        <v>0</v>
      </c>
      <c r="K58" s="11">
        <v>60316.799999999996</v>
      </c>
      <c r="L58" s="11">
        <v>33787.9</v>
      </c>
      <c r="M58" s="11">
        <v>33787.9</v>
      </c>
      <c r="N58" s="501">
        <f t="shared" ref="N58:N63" si="6">+SUM(F58:I58,K58:M58)/180*1.5*P58++SUM(F58:I58,K58:M58)/180*2*10</f>
        <v>246319.68726000004</v>
      </c>
      <c r="O58" s="501">
        <v>0</v>
      </c>
      <c r="P58" s="11">
        <f t="shared" ref="P58:P63" si="7">2*22</f>
        <v>44</v>
      </c>
      <c r="Q58" s="11">
        <f t="shared" ref="Q58:Q63" si="8">+SUM(F58:I58,K58:O58)*6%</f>
        <v>45712.351263600001</v>
      </c>
      <c r="R58" s="83">
        <f t="shared" ref="R58:R63" si="9">+SUM(F58:I58,K58:O58,Q58)</f>
        <v>807584.87232360011</v>
      </c>
      <c r="S58" s="83">
        <f>R58*$S$54+AB58*CS!$T$25</f>
        <v>560606.22497554892</v>
      </c>
      <c r="U58" s="11">
        <f t="shared" si="0"/>
        <v>0</v>
      </c>
      <c r="V58" s="32">
        <v>40</v>
      </c>
      <c r="W58" s="11">
        <f t="shared" si="1"/>
        <v>179340</v>
      </c>
      <c r="X58" s="11">
        <v>0</v>
      </c>
      <c r="Y58" s="11">
        <v>0</v>
      </c>
      <c r="Z58" s="11">
        <v>0</v>
      </c>
      <c r="AA58" s="11"/>
      <c r="AB58" s="502">
        <f t="shared" si="2"/>
        <v>179340</v>
      </c>
      <c r="AC58" s="161">
        <f>+'MO Florencia'!EU10*100000</f>
        <v>2782607.8699999996</v>
      </c>
      <c r="AD58" s="58">
        <f t="shared" ref="AD58:AD63" si="10">20*10</f>
        <v>200</v>
      </c>
      <c r="AE58" s="503"/>
      <c r="AF58" s="84">
        <f t="shared" ref="AF58:AF63" si="11">AC58/AD58</f>
        <v>13913.039349999999</v>
      </c>
      <c r="AG58" s="234"/>
      <c r="AH58" s="431" t="s">
        <v>514</v>
      </c>
      <c r="AI58" s="84">
        <f>+AI57</f>
        <v>615.58333333333337</v>
      </c>
      <c r="AJ58" s="41" t="str">
        <f t="shared" ref="AJ58:AJ63" si="12">+AH58</f>
        <v>op</v>
      </c>
      <c r="AK58" s="112">
        <f>+AK57</f>
        <v>269.93535000000003</v>
      </c>
      <c r="AL58" s="234"/>
      <c r="AM58" s="84">
        <f t="shared" ref="AM58:AM63" si="13">AF58+AI58+AK58</f>
        <v>14798.558033333333</v>
      </c>
      <c r="AN58" s="84">
        <f t="shared" si="3"/>
        <v>6993.3879832110779</v>
      </c>
      <c r="AO58" s="84">
        <f t="shared" si="4"/>
        <v>7796.1007082110773</v>
      </c>
      <c r="AP58" s="88"/>
      <c r="AQ58" s="89"/>
      <c r="AR58" s="89"/>
      <c r="AS58" s="89"/>
      <c r="AU58" s="42"/>
      <c r="AV58" s="59"/>
      <c r="AW58" s="42"/>
      <c r="AY58" s="42"/>
      <c r="AZ58" s="42"/>
    </row>
    <row r="59" spans="1:52" ht="12.75" customHeight="1" x14ac:dyDescent="0.2">
      <c r="A59" s="289" t="s">
        <v>236</v>
      </c>
      <c r="B59" s="207" t="s">
        <v>503</v>
      </c>
      <c r="C59" s="207" t="s">
        <v>504</v>
      </c>
      <c r="D59" s="500">
        <v>40148</v>
      </c>
      <c r="E59" s="136">
        <v>7</v>
      </c>
      <c r="F59" s="54">
        <v>662091.55999999994</v>
      </c>
      <c r="G59" s="54">
        <v>0</v>
      </c>
      <c r="H59" s="54">
        <v>0</v>
      </c>
      <c r="I59" s="11">
        <f t="shared" si="5"/>
        <v>10130.574999999999</v>
      </c>
      <c r="J59" s="11">
        <f>3*20*I53</f>
        <v>86833.5</v>
      </c>
      <c r="K59" s="11">
        <v>60383.9</v>
      </c>
      <c r="L59" s="11">
        <v>33787.9</v>
      </c>
      <c r="M59" s="11">
        <v>33787.9</v>
      </c>
      <c r="N59" s="501">
        <f>+SUM(F59:I59,K59:M59)/180*1.5*P59++SUM(F59:I59,K59:M59)/180*2*10</f>
        <v>382309.09894444438</v>
      </c>
      <c r="O59" s="501">
        <f>+SUM(F59,I59,K59:M59,Q59)*7%</f>
        <v>57995.54565</v>
      </c>
      <c r="P59" s="11">
        <f t="shared" si="7"/>
        <v>44</v>
      </c>
      <c r="Q59" s="11">
        <v>28325.96</v>
      </c>
      <c r="R59" s="83">
        <f>+SUM(F59:I59,K59:O59,Q59)+X59+Y59</f>
        <v>1306321.3395944443</v>
      </c>
      <c r="S59" s="83">
        <f>R59*$S$54+AB59*CS!$T$25</f>
        <v>894840.71193429746</v>
      </c>
      <c r="U59" s="11">
        <f t="shared" si="0"/>
        <v>0</v>
      </c>
      <c r="V59" s="32">
        <v>60</v>
      </c>
      <c r="W59" s="11">
        <f t="shared" si="1"/>
        <v>269010</v>
      </c>
      <c r="X59" s="11">
        <f>+B167*5</f>
        <v>23149.5</v>
      </c>
      <c r="Y59" s="11">
        <f>+B168*2</f>
        <v>14359.4</v>
      </c>
      <c r="Z59" s="11">
        <v>0</v>
      </c>
      <c r="AA59" s="11"/>
      <c r="AB59" s="502">
        <f>+U59+W59</f>
        <v>269010</v>
      </c>
      <c r="AC59" s="161">
        <f>+'MO Florencia'!EU11*100000</f>
        <v>3728676.4800000009</v>
      </c>
      <c r="AD59" s="58">
        <f t="shared" si="10"/>
        <v>200</v>
      </c>
      <c r="AE59" s="503"/>
      <c r="AF59" s="84">
        <f t="shared" si="11"/>
        <v>18643.382400000006</v>
      </c>
      <c r="AG59" s="234"/>
      <c r="AH59" s="431" t="s">
        <v>515</v>
      </c>
      <c r="AI59" s="84">
        <f t="shared" ref="AI59:AI63" si="14">+AI58</f>
        <v>615.58333333333337</v>
      </c>
      <c r="AJ59" s="41" t="str">
        <f t="shared" si="12"/>
        <v>sup</v>
      </c>
      <c r="AK59" s="112">
        <f t="shared" ref="AK59:AK63" si="15">+AK58</f>
        <v>269.93535000000003</v>
      </c>
      <c r="AL59" s="234"/>
      <c r="AM59" s="84">
        <f t="shared" si="13"/>
        <v>19528.901083333338</v>
      </c>
      <c r="AN59" s="84">
        <f t="shared" si="3"/>
        <v>11746.43825550482</v>
      </c>
      <c r="AO59" s="84">
        <f t="shared" si="4"/>
        <v>13426.99359300482</v>
      </c>
      <c r="AP59" s="88"/>
      <c r="AQ59" s="89"/>
      <c r="AR59" s="89"/>
      <c r="AS59" s="89"/>
      <c r="AU59" s="42"/>
      <c r="AV59" s="59"/>
      <c r="AW59" s="42"/>
      <c r="AY59" s="42"/>
      <c r="AZ59" s="42"/>
    </row>
    <row r="60" spans="1:52" ht="12.75" customHeight="1" x14ac:dyDescent="0.2">
      <c r="A60" s="289" t="str">
        <f>+A57</f>
        <v>Operador</v>
      </c>
      <c r="B60" s="32" t="s">
        <v>501</v>
      </c>
      <c r="C60" s="32" t="s">
        <v>502</v>
      </c>
      <c r="D60" s="500">
        <v>44342</v>
      </c>
      <c r="E60" s="136">
        <v>7</v>
      </c>
      <c r="F60" s="54">
        <f>+F58</f>
        <v>176459.27499999999</v>
      </c>
      <c r="G60" s="54">
        <f>VLOOKUP($C60,$A$131:$F$154,4)</f>
        <v>134495.24</v>
      </c>
      <c r="H60" s="54">
        <f>VLOOKUP($C60,$A$131:$F$154,5)</f>
        <v>66575.143799999991</v>
      </c>
      <c r="I60" s="11">
        <f t="shared" si="5"/>
        <v>10130.574999999999</v>
      </c>
      <c r="J60" s="11">
        <v>0</v>
      </c>
      <c r="K60" s="11">
        <v>60316.799999999996</v>
      </c>
      <c r="L60" s="11">
        <v>33787.9</v>
      </c>
      <c r="M60" s="11">
        <v>33787.9</v>
      </c>
      <c r="N60" s="501">
        <f t="shared" si="6"/>
        <v>246319.68726000004</v>
      </c>
      <c r="O60" s="501">
        <v>0</v>
      </c>
      <c r="P60" s="11">
        <f t="shared" si="7"/>
        <v>44</v>
      </c>
      <c r="Q60" s="11">
        <f t="shared" si="8"/>
        <v>45712.351263600001</v>
      </c>
      <c r="R60" s="83">
        <f t="shared" si="9"/>
        <v>807584.87232360011</v>
      </c>
      <c r="S60" s="83">
        <f>R60*$S$54+AB60*CS!$T$25</f>
        <v>560606.22497554892</v>
      </c>
      <c r="U60" s="11">
        <f t="shared" si="0"/>
        <v>0</v>
      </c>
      <c r="V60" s="32">
        <v>40</v>
      </c>
      <c r="W60" s="11">
        <f t="shared" si="1"/>
        <v>179340</v>
      </c>
      <c r="X60" s="11">
        <v>0</v>
      </c>
      <c r="Y60" s="11">
        <v>0</v>
      </c>
      <c r="Z60" s="11">
        <v>0</v>
      </c>
      <c r="AA60" s="11"/>
      <c r="AB60" s="502">
        <f t="shared" si="2"/>
        <v>179340</v>
      </c>
      <c r="AC60" s="161">
        <f>+'MO Florencia'!EU12*100000</f>
        <v>2810447.53</v>
      </c>
      <c r="AD60" s="58">
        <f t="shared" si="10"/>
        <v>200</v>
      </c>
      <c r="AE60" s="503"/>
      <c r="AF60" s="84">
        <f t="shared" si="11"/>
        <v>14052.237649999999</v>
      </c>
      <c r="AG60" s="234"/>
      <c r="AH60" s="431" t="s">
        <v>514</v>
      </c>
      <c r="AI60" s="84">
        <f t="shared" si="14"/>
        <v>615.58333333333337</v>
      </c>
      <c r="AJ60" s="41" t="str">
        <f t="shared" si="12"/>
        <v>op</v>
      </c>
      <c r="AK60" s="112">
        <f t="shared" si="15"/>
        <v>269.93535000000003</v>
      </c>
      <c r="AL60" s="234"/>
      <c r="AM60" s="84">
        <f t="shared" si="13"/>
        <v>14937.756333333333</v>
      </c>
      <c r="AN60" s="84">
        <f t="shared" si="3"/>
        <v>6993.3879832110779</v>
      </c>
      <c r="AO60" s="84">
        <f t="shared" si="4"/>
        <v>7796.1007082110773</v>
      </c>
      <c r="AP60" s="88"/>
      <c r="AQ60" s="89"/>
      <c r="AR60" s="89"/>
      <c r="AS60" s="89"/>
      <c r="AU60" s="42"/>
      <c r="AV60" s="59"/>
      <c r="AW60" s="42"/>
      <c r="AY60" s="42"/>
      <c r="AZ60" s="42"/>
    </row>
    <row r="61" spans="1:52" ht="12.75" customHeight="1" x14ac:dyDescent="0.2">
      <c r="A61" s="36" t="str">
        <f>+A60</f>
        <v>Operador</v>
      </c>
      <c r="B61" s="32" t="s">
        <v>501</v>
      </c>
      <c r="C61" s="32" t="s">
        <v>502</v>
      </c>
      <c r="D61" s="500">
        <v>44354</v>
      </c>
      <c r="E61" s="136">
        <v>7</v>
      </c>
      <c r="F61" s="54">
        <f>+F58</f>
        <v>176459.27499999999</v>
      </c>
      <c r="G61" s="54">
        <f>VLOOKUP($C61,$A$131:$F$154,4)</f>
        <v>134495.24</v>
      </c>
      <c r="H61" s="54">
        <f>VLOOKUP($C61,$A$131:$F$154,5)</f>
        <v>66575.143799999991</v>
      </c>
      <c r="I61" s="11">
        <f t="shared" si="5"/>
        <v>10130.574999999999</v>
      </c>
      <c r="J61" s="11">
        <v>0</v>
      </c>
      <c r="K61" s="11">
        <v>60316.799999999996</v>
      </c>
      <c r="L61" s="11">
        <v>33787.9</v>
      </c>
      <c r="M61" s="11">
        <v>33787.9</v>
      </c>
      <c r="N61" s="501">
        <f t="shared" si="6"/>
        <v>246319.68726000004</v>
      </c>
      <c r="O61" s="501">
        <v>0</v>
      </c>
      <c r="P61" s="11">
        <f t="shared" si="7"/>
        <v>44</v>
      </c>
      <c r="Q61" s="11">
        <f t="shared" si="8"/>
        <v>45712.351263600001</v>
      </c>
      <c r="R61" s="83">
        <f t="shared" si="9"/>
        <v>807584.87232360011</v>
      </c>
      <c r="S61" s="83">
        <f>R61*$S$54+AB61*CS!$T$25</f>
        <v>560606.22497554892</v>
      </c>
      <c r="U61" s="11">
        <f t="shared" si="0"/>
        <v>0</v>
      </c>
      <c r="V61" s="32">
        <v>40</v>
      </c>
      <c r="W61" s="11">
        <f t="shared" si="1"/>
        <v>179340</v>
      </c>
      <c r="X61" s="11">
        <v>0</v>
      </c>
      <c r="Y61" s="11">
        <v>0</v>
      </c>
      <c r="Z61" s="11">
        <v>0</v>
      </c>
      <c r="AA61" s="11"/>
      <c r="AB61" s="502">
        <f t="shared" si="2"/>
        <v>179340</v>
      </c>
      <c r="AC61" s="161">
        <f>+'MO Florencia'!EU13*100000</f>
        <v>2770504.1</v>
      </c>
      <c r="AD61" s="58">
        <f t="shared" si="10"/>
        <v>200</v>
      </c>
      <c r="AE61" s="503"/>
      <c r="AF61" s="84">
        <f t="shared" si="11"/>
        <v>13852.520500000001</v>
      </c>
      <c r="AG61" s="234"/>
      <c r="AH61" s="431" t="s">
        <v>514</v>
      </c>
      <c r="AI61" s="84">
        <f t="shared" si="14"/>
        <v>615.58333333333337</v>
      </c>
      <c r="AJ61" s="41" t="str">
        <f t="shared" si="12"/>
        <v>op</v>
      </c>
      <c r="AK61" s="112">
        <f t="shared" si="15"/>
        <v>269.93535000000003</v>
      </c>
      <c r="AL61" s="234"/>
      <c r="AM61" s="84">
        <f t="shared" si="13"/>
        <v>14738.039183333334</v>
      </c>
      <c r="AN61" s="84">
        <f t="shared" si="3"/>
        <v>6993.3879832110779</v>
      </c>
      <c r="AO61" s="84">
        <f t="shared" si="4"/>
        <v>7796.1007082110773</v>
      </c>
      <c r="AP61" s="88"/>
      <c r="AQ61" s="89"/>
      <c r="AR61" s="89"/>
      <c r="AS61" s="89"/>
      <c r="AU61" s="42"/>
      <c r="AV61" s="59"/>
      <c r="AW61" s="42"/>
      <c r="AY61" s="42"/>
      <c r="AZ61" s="42"/>
    </row>
    <row r="62" spans="1:52" ht="12.75" customHeight="1" x14ac:dyDescent="0.2">
      <c r="A62" s="36" t="str">
        <f t="shared" ref="A62:A63" si="16">+A61</f>
        <v>Operador</v>
      </c>
      <c r="B62" s="32" t="s">
        <v>501</v>
      </c>
      <c r="C62" s="32" t="s">
        <v>502</v>
      </c>
      <c r="D62" s="500">
        <v>44354</v>
      </c>
      <c r="E62" s="136">
        <v>7</v>
      </c>
      <c r="F62" s="54">
        <f>+F61</f>
        <v>176459.27499999999</v>
      </c>
      <c r="G62" s="54">
        <f>VLOOKUP($C62,$A$131:$F$154,4)</f>
        <v>134495.24</v>
      </c>
      <c r="H62" s="54">
        <f>VLOOKUP($C62,$A$131:$F$154,5)</f>
        <v>66575.143799999991</v>
      </c>
      <c r="I62" s="11">
        <f t="shared" si="5"/>
        <v>10130.574999999999</v>
      </c>
      <c r="J62" s="11">
        <v>0</v>
      </c>
      <c r="K62" s="11">
        <v>60316.799999999996</v>
      </c>
      <c r="L62" s="11">
        <v>33787.9</v>
      </c>
      <c r="M62" s="11">
        <v>33787.9</v>
      </c>
      <c r="N62" s="501">
        <f t="shared" si="6"/>
        <v>246319.68726000004</v>
      </c>
      <c r="O62" s="501">
        <v>0</v>
      </c>
      <c r="P62" s="11">
        <f t="shared" si="7"/>
        <v>44</v>
      </c>
      <c r="Q62" s="11">
        <f t="shared" si="8"/>
        <v>45712.351263600001</v>
      </c>
      <c r="R62" s="83">
        <f t="shared" si="9"/>
        <v>807584.87232360011</v>
      </c>
      <c r="S62" s="83">
        <f>R62*$S$54+AB62*CS!$T$25</f>
        <v>560606.22497554892</v>
      </c>
      <c r="U62" s="11">
        <f t="shared" si="0"/>
        <v>0</v>
      </c>
      <c r="V62" s="32">
        <v>40</v>
      </c>
      <c r="W62" s="11">
        <f t="shared" si="1"/>
        <v>179340</v>
      </c>
      <c r="X62" s="11">
        <v>0</v>
      </c>
      <c r="Y62" s="11">
        <v>0</v>
      </c>
      <c r="Z62" s="11">
        <v>0</v>
      </c>
      <c r="AA62" s="11"/>
      <c r="AB62" s="502">
        <f t="shared" si="2"/>
        <v>179340</v>
      </c>
      <c r="AC62" s="161">
        <f>+'MO Florencia'!EU14*100000</f>
        <v>2609318.8500000006</v>
      </c>
      <c r="AD62" s="58">
        <f t="shared" si="10"/>
        <v>200</v>
      </c>
      <c r="AE62" s="503"/>
      <c r="AF62" s="84">
        <f t="shared" si="11"/>
        <v>13046.594250000002</v>
      </c>
      <c r="AG62" s="234"/>
      <c r="AH62" s="431" t="s">
        <v>514</v>
      </c>
      <c r="AI62" s="84">
        <f t="shared" si="14"/>
        <v>615.58333333333337</v>
      </c>
      <c r="AJ62" s="41" t="str">
        <f t="shared" si="12"/>
        <v>op</v>
      </c>
      <c r="AK62" s="112">
        <f t="shared" si="15"/>
        <v>269.93535000000003</v>
      </c>
      <c r="AL62" s="234"/>
      <c r="AM62" s="84">
        <f t="shared" si="13"/>
        <v>13932.112933333336</v>
      </c>
      <c r="AN62" s="84">
        <f t="shared" si="3"/>
        <v>6993.3879832110779</v>
      </c>
      <c r="AO62" s="84">
        <f t="shared" si="4"/>
        <v>7796.1007082110773</v>
      </c>
      <c r="AP62" s="88"/>
      <c r="AQ62" s="89"/>
      <c r="AR62" s="89"/>
      <c r="AS62" s="89"/>
      <c r="AU62" s="42"/>
      <c r="AV62" s="59"/>
      <c r="AW62" s="42"/>
      <c r="AY62" s="42"/>
      <c r="AZ62" s="42"/>
    </row>
    <row r="63" spans="1:52" ht="12.75" customHeight="1" x14ac:dyDescent="0.2">
      <c r="A63" s="36" t="str">
        <f t="shared" si="16"/>
        <v>Operador</v>
      </c>
      <c r="B63" s="32" t="s">
        <v>501</v>
      </c>
      <c r="C63" s="32" t="s">
        <v>502</v>
      </c>
      <c r="D63" s="500">
        <v>37560</v>
      </c>
      <c r="E63" s="136">
        <v>7</v>
      </c>
      <c r="F63" s="54">
        <f>+F62</f>
        <v>176459.27499999999</v>
      </c>
      <c r="G63" s="54">
        <f>VLOOKUP($C63,$A$131:$F$154,4)</f>
        <v>134495.24</v>
      </c>
      <c r="H63" s="54">
        <f>VLOOKUP($C63,$A$131:$F$154,5)</f>
        <v>66575.143799999991</v>
      </c>
      <c r="I63" s="11">
        <f>+I$53*E63</f>
        <v>10130.574999999999</v>
      </c>
      <c r="J63" s="11">
        <v>0</v>
      </c>
      <c r="K63" s="11">
        <v>60316.799999999996</v>
      </c>
      <c r="L63" s="11">
        <v>33787.9</v>
      </c>
      <c r="M63" s="11">
        <v>33787.9</v>
      </c>
      <c r="N63" s="501">
        <f t="shared" si="6"/>
        <v>246319.68726000004</v>
      </c>
      <c r="O63" s="501">
        <v>0</v>
      </c>
      <c r="P63" s="11">
        <f t="shared" si="7"/>
        <v>44</v>
      </c>
      <c r="Q63" s="11">
        <f t="shared" si="8"/>
        <v>45712.351263600001</v>
      </c>
      <c r="R63" s="83">
        <f t="shared" si="9"/>
        <v>807584.87232360011</v>
      </c>
      <c r="S63" s="83">
        <f>R63*$S$54+AB63*CS!$T$25</f>
        <v>560606.22497554892</v>
      </c>
      <c r="U63" s="11">
        <f t="shared" si="0"/>
        <v>0</v>
      </c>
      <c r="V63" s="32">
        <v>40</v>
      </c>
      <c r="W63" s="11">
        <f t="shared" si="1"/>
        <v>179340</v>
      </c>
      <c r="X63" s="11">
        <v>0</v>
      </c>
      <c r="Y63" s="11">
        <v>0</v>
      </c>
      <c r="Z63" s="11">
        <v>0</v>
      </c>
      <c r="AA63" s="11"/>
      <c r="AB63" s="502">
        <f t="shared" si="2"/>
        <v>179340</v>
      </c>
      <c r="AC63" s="161">
        <f>+'MO Florencia'!EU15*100000</f>
        <v>2800190.5999999996</v>
      </c>
      <c r="AD63" s="58">
        <f t="shared" si="10"/>
        <v>200</v>
      </c>
      <c r="AE63" s="503"/>
      <c r="AF63" s="84">
        <f t="shared" si="11"/>
        <v>14000.952999999998</v>
      </c>
      <c r="AG63" s="234"/>
      <c r="AH63" s="431" t="s">
        <v>514</v>
      </c>
      <c r="AI63" s="84">
        <f t="shared" si="14"/>
        <v>615.58333333333337</v>
      </c>
      <c r="AJ63" s="41" t="str">
        <f t="shared" si="12"/>
        <v>op</v>
      </c>
      <c r="AK63" s="112">
        <f t="shared" si="15"/>
        <v>269.93535000000003</v>
      </c>
      <c r="AL63" s="234"/>
      <c r="AM63" s="84">
        <f t="shared" si="13"/>
        <v>14886.471683333331</v>
      </c>
      <c r="AN63" s="84">
        <f t="shared" si="3"/>
        <v>6993.3879832110779</v>
      </c>
      <c r="AO63" s="84">
        <f t="shared" si="4"/>
        <v>7796.1007082110773</v>
      </c>
      <c r="AP63" s="88"/>
      <c r="AQ63" s="89"/>
      <c r="AR63" s="89"/>
      <c r="AS63" s="89"/>
      <c r="AU63" s="42"/>
      <c r="AV63" s="59"/>
      <c r="AW63" s="42"/>
      <c r="AY63" s="42"/>
      <c r="AZ63" s="42"/>
    </row>
    <row r="64" spans="1:52" ht="12.75" customHeight="1" x14ac:dyDescent="0.2">
      <c r="A64" s="36"/>
      <c r="D64" s="500"/>
      <c r="E64" s="136"/>
      <c r="F64" s="54"/>
      <c r="G64" s="54"/>
      <c r="H64" s="54"/>
      <c r="I64" s="11"/>
      <c r="K64" s="11"/>
      <c r="L64" s="11"/>
      <c r="M64" s="11"/>
      <c r="N64" s="501"/>
      <c r="O64" s="501"/>
      <c r="P64" s="11"/>
      <c r="Q64" s="11"/>
      <c r="R64" s="83"/>
      <c r="S64" s="83"/>
      <c r="U64" s="11"/>
      <c r="W64" s="11"/>
      <c r="X64" s="11"/>
      <c r="Y64" s="11"/>
      <c r="Z64" s="11"/>
      <c r="AA64" s="11"/>
      <c r="AB64" s="502"/>
      <c r="AC64" s="161"/>
      <c r="AD64" s="58"/>
      <c r="AE64" s="503"/>
      <c r="AF64" s="84"/>
      <c r="AG64" s="234"/>
      <c r="AH64" s="431"/>
      <c r="AI64" s="84"/>
      <c r="AJ64" s="41"/>
      <c r="AK64" s="112"/>
      <c r="AL64" s="234"/>
      <c r="AM64" s="84"/>
      <c r="AN64" s="84"/>
      <c r="AO64" s="84"/>
      <c r="AP64" s="88"/>
      <c r="AQ64" s="89"/>
      <c r="AR64" s="89"/>
      <c r="AS64" s="89"/>
      <c r="AU64" s="42"/>
      <c r="AV64" s="59"/>
      <c r="AW64" s="42"/>
      <c r="AY64" s="42"/>
      <c r="AZ64" s="42"/>
    </row>
    <row r="65" spans="1:52" ht="12.75" customHeight="1" x14ac:dyDescent="0.2">
      <c r="A65" s="510" t="s">
        <v>203</v>
      </c>
      <c r="D65" s="500"/>
      <c r="E65" s="512"/>
      <c r="F65" s="11"/>
      <c r="G65" s="11"/>
      <c r="H65" s="11"/>
      <c r="I65" s="11"/>
      <c r="J65" s="11"/>
      <c r="K65" s="11"/>
      <c r="L65" s="11"/>
      <c r="M65" s="11"/>
      <c r="N65" s="11"/>
      <c r="O65" s="11"/>
      <c r="Q65" s="11"/>
      <c r="R65" s="83"/>
      <c r="S65" s="83"/>
      <c r="T65" s="11"/>
      <c r="U65" s="11"/>
      <c r="V65" s="11"/>
      <c r="W65" s="11"/>
      <c r="X65" s="11"/>
      <c r="Y65" s="11"/>
      <c r="Z65" s="11"/>
      <c r="AA65" s="11"/>
      <c r="AB65" s="83"/>
      <c r="AC65" s="84"/>
      <c r="AD65" s="58"/>
      <c r="AE65" s="503"/>
      <c r="AF65" s="84"/>
      <c r="AG65" s="234"/>
      <c r="AH65" s="505"/>
      <c r="AI65" s="84"/>
      <c r="AJ65" s="41"/>
      <c r="AK65" s="112"/>
      <c r="AL65" s="234"/>
      <c r="AM65" s="84"/>
      <c r="AN65" s="85"/>
      <c r="AO65" s="86"/>
      <c r="AP65" s="86"/>
      <c r="AQ65" s="86"/>
      <c r="AR65" s="86"/>
      <c r="AS65" s="86"/>
      <c r="AW65" s="42"/>
      <c r="AY65" s="42"/>
      <c r="AZ65" s="42"/>
    </row>
    <row r="66" spans="1:52" ht="12.75" customHeight="1" x14ac:dyDescent="0.2">
      <c r="A66" s="36"/>
      <c r="D66" s="500"/>
      <c r="E66" s="136"/>
      <c r="F66" s="54"/>
      <c r="G66" s="54"/>
      <c r="H66" s="54"/>
      <c r="I66" s="11"/>
      <c r="K66" s="11"/>
      <c r="M66" s="11"/>
      <c r="N66" s="501"/>
      <c r="O66" s="501"/>
      <c r="P66" s="11"/>
      <c r="Q66" s="11"/>
      <c r="R66" s="83"/>
      <c r="S66" s="83"/>
      <c r="U66" s="11"/>
      <c r="W66" s="11"/>
      <c r="X66" s="11"/>
      <c r="Y66" s="11"/>
      <c r="Z66" s="11"/>
      <c r="AA66" s="11"/>
      <c r="AB66" s="502"/>
      <c r="AC66" s="161"/>
      <c r="AD66" s="58"/>
      <c r="AE66" s="503"/>
      <c r="AF66" s="84"/>
      <c r="AG66" s="234"/>
      <c r="AH66" s="431"/>
      <c r="AI66" s="84"/>
      <c r="AJ66" s="41"/>
      <c r="AK66" s="112"/>
      <c r="AL66" s="234"/>
      <c r="AM66" s="84"/>
      <c r="AN66" s="84"/>
      <c r="AO66" s="84"/>
      <c r="AP66" s="88"/>
      <c r="AQ66" s="89"/>
      <c r="AR66" s="89"/>
      <c r="AS66" s="89"/>
      <c r="AU66" s="42"/>
      <c r="AV66" s="59"/>
      <c r="AW66" s="42"/>
      <c r="AY66" s="42"/>
      <c r="AZ66" s="42"/>
    </row>
    <row r="67" spans="1:52" ht="12.75" customHeight="1" x14ac:dyDescent="0.2">
      <c r="A67" s="36"/>
      <c r="D67" s="500"/>
      <c r="E67" s="136"/>
      <c r="F67" s="54"/>
      <c r="G67" s="54"/>
      <c r="H67" s="54"/>
      <c r="I67" s="11"/>
      <c r="K67" s="11"/>
      <c r="M67" s="11"/>
      <c r="N67" s="501"/>
      <c r="O67" s="501"/>
      <c r="P67" s="11"/>
      <c r="Q67" s="11"/>
      <c r="R67" s="83"/>
      <c r="S67" s="83"/>
      <c r="U67" s="11"/>
      <c r="W67" s="11"/>
      <c r="X67" s="11"/>
      <c r="Y67" s="11"/>
      <c r="Z67" s="11"/>
      <c r="AA67" s="11"/>
      <c r="AB67" s="502"/>
      <c r="AC67" s="161"/>
      <c r="AD67" s="58"/>
      <c r="AE67" s="503"/>
      <c r="AF67" s="84"/>
      <c r="AG67" s="234"/>
      <c r="AH67" s="431"/>
      <c r="AI67" s="84"/>
      <c r="AJ67" s="41"/>
      <c r="AK67" s="112"/>
      <c r="AL67" s="234"/>
      <c r="AM67" s="84"/>
      <c r="AN67" s="84"/>
      <c r="AO67" s="84"/>
      <c r="AP67" s="88"/>
      <c r="AQ67" s="89"/>
      <c r="AR67" s="89"/>
      <c r="AS67" s="89"/>
      <c r="AU67" s="42"/>
      <c r="AV67" s="59"/>
      <c r="AW67" s="42"/>
      <c r="AY67" s="42"/>
      <c r="AZ67" s="42"/>
    </row>
    <row r="68" spans="1:52" ht="12.75" customHeight="1" x14ac:dyDescent="0.2">
      <c r="A68" s="36"/>
      <c r="D68" s="500"/>
      <c r="E68" s="136"/>
      <c r="F68" s="54"/>
      <c r="G68" s="54"/>
      <c r="H68" s="54"/>
      <c r="I68" s="11"/>
      <c r="K68" s="11"/>
      <c r="M68" s="11"/>
      <c r="N68" s="501"/>
      <c r="O68" s="501"/>
      <c r="P68" s="11"/>
      <c r="Q68" s="11"/>
      <c r="R68" s="83"/>
      <c r="S68" s="83"/>
      <c r="U68" s="11"/>
      <c r="W68" s="11"/>
      <c r="X68" s="11"/>
      <c r="Y68" s="11"/>
      <c r="Z68" s="11"/>
      <c r="AA68" s="11"/>
      <c r="AB68" s="502"/>
      <c r="AC68" s="161"/>
      <c r="AD68" s="58"/>
      <c r="AE68" s="503"/>
      <c r="AF68" s="84"/>
      <c r="AG68" s="234"/>
      <c r="AH68" s="431"/>
      <c r="AI68" s="84"/>
      <c r="AJ68" s="41"/>
      <c r="AK68" s="112"/>
      <c r="AL68" s="234"/>
      <c r="AM68" s="84"/>
      <c r="AN68" s="84"/>
      <c r="AO68" s="84"/>
      <c r="AP68" s="88"/>
      <c r="AQ68" s="89"/>
      <c r="AR68" s="89"/>
      <c r="AS68" s="89"/>
      <c r="AU68" s="42"/>
      <c r="AV68" s="59"/>
      <c r="AW68" s="42"/>
      <c r="AY68" s="42"/>
      <c r="AZ68" s="42"/>
    </row>
    <row r="69" spans="1:52" ht="12.75" customHeight="1" x14ac:dyDescent="0.2">
      <c r="A69" s="36"/>
      <c r="D69" s="500"/>
      <c r="E69" s="136"/>
      <c r="F69" s="54"/>
      <c r="G69" s="54"/>
      <c r="H69" s="54"/>
      <c r="I69" s="11"/>
      <c r="K69" s="11"/>
      <c r="M69" s="11"/>
      <c r="N69" s="501"/>
      <c r="O69" s="501"/>
      <c r="P69" s="11"/>
      <c r="Q69" s="11"/>
      <c r="R69" s="83"/>
      <c r="S69" s="83"/>
      <c r="U69" s="11"/>
      <c r="W69" s="11"/>
      <c r="X69" s="11"/>
      <c r="Y69" s="11"/>
      <c r="Z69" s="11"/>
      <c r="AA69" s="11"/>
      <c r="AB69" s="502"/>
      <c r="AC69" s="161"/>
      <c r="AD69" s="58"/>
      <c r="AE69" s="503"/>
      <c r="AF69" s="84"/>
      <c r="AG69" s="234"/>
      <c r="AH69" s="431"/>
      <c r="AI69" s="84"/>
      <c r="AJ69" s="41"/>
      <c r="AK69" s="112"/>
      <c r="AL69" s="234"/>
      <c r="AM69" s="84"/>
      <c r="AN69" s="84"/>
      <c r="AO69" s="84"/>
      <c r="AP69" s="88"/>
      <c r="AQ69" s="89"/>
      <c r="AR69" s="89"/>
      <c r="AS69" s="89"/>
      <c r="AU69" s="42"/>
      <c r="AV69" s="59"/>
      <c r="AW69" s="42"/>
      <c r="AY69" s="42"/>
      <c r="AZ69" s="42"/>
    </row>
    <row r="70" spans="1:52" ht="12.75" customHeight="1" x14ac:dyDescent="0.2">
      <c r="A70" s="36"/>
      <c r="D70" s="500"/>
      <c r="E70" s="136"/>
      <c r="F70" s="54"/>
      <c r="G70" s="54"/>
      <c r="H70" s="54"/>
      <c r="I70" s="11"/>
      <c r="K70" s="11"/>
      <c r="M70" s="11"/>
      <c r="N70" s="501"/>
      <c r="O70" s="501"/>
      <c r="P70" s="11"/>
      <c r="Q70" s="11"/>
      <c r="R70" s="83"/>
      <c r="S70" s="83"/>
      <c r="U70" s="11"/>
      <c r="W70" s="11"/>
      <c r="X70" s="11"/>
      <c r="Y70" s="11"/>
      <c r="Z70" s="11"/>
      <c r="AA70" s="11"/>
      <c r="AB70" s="502"/>
      <c r="AC70" s="161"/>
      <c r="AD70" s="58"/>
      <c r="AE70" s="503"/>
      <c r="AF70" s="84"/>
      <c r="AG70" s="234"/>
      <c r="AH70" s="431"/>
      <c r="AI70" s="84"/>
      <c r="AJ70" s="41"/>
      <c r="AK70" s="112"/>
      <c r="AL70" s="234"/>
      <c r="AM70" s="84"/>
      <c r="AN70" s="84"/>
      <c r="AO70" s="84"/>
      <c r="AP70" s="88"/>
      <c r="AQ70" s="89"/>
      <c r="AR70" s="89"/>
      <c r="AS70" s="89"/>
      <c r="AU70" s="42"/>
      <c r="AV70" s="59"/>
      <c r="AW70" s="42"/>
      <c r="AY70" s="42"/>
      <c r="AZ70" s="42"/>
    </row>
    <row r="71" spans="1:52" ht="12.75" customHeight="1" x14ac:dyDescent="0.2">
      <c r="A71" s="510" t="s">
        <v>204</v>
      </c>
      <c r="D71" s="500"/>
      <c r="E71" s="512"/>
      <c r="F71" s="11"/>
      <c r="G71" s="11"/>
      <c r="H71" s="11"/>
      <c r="I71" s="11"/>
      <c r="J71" s="11"/>
      <c r="K71" s="11"/>
      <c r="L71" s="11"/>
      <c r="M71" s="11"/>
      <c r="N71" s="11"/>
      <c r="O71" s="11"/>
      <c r="Q71" s="11"/>
      <c r="R71" s="83"/>
      <c r="S71" s="83"/>
      <c r="T71" s="11"/>
      <c r="U71" s="11"/>
      <c r="V71" s="11"/>
      <c r="W71" s="11"/>
      <c r="X71" s="11"/>
      <c r="Y71" s="11"/>
      <c r="Z71" s="11"/>
      <c r="AA71" s="11"/>
      <c r="AB71" s="83"/>
      <c r="AC71" s="84"/>
      <c r="AD71" s="58"/>
      <c r="AE71" s="503"/>
      <c r="AF71" s="84"/>
      <c r="AG71" s="234"/>
      <c r="AH71" s="505"/>
      <c r="AI71" s="84"/>
      <c r="AJ71" s="41"/>
      <c r="AK71" s="112"/>
      <c r="AL71" s="234"/>
      <c r="AM71" s="84"/>
      <c r="AN71" s="85"/>
      <c r="AO71" s="86"/>
      <c r="AP71" s="86"/>
      <c r="AQ71" s="86"/>
      <c r="AR71" s="86"/>
      <c r="AS71" s="86"/>
      <c r="AW71" s="42"/>
      <c r="AY71" s="42"/>
      <c r="AZ71" s="42"/>
    </row>
    <row r="72" spans="1:52" ht="12.75" customHeight="1" x14ac:dyDescent="0.2">
      <c r="A72" s="36"/>
      <c r="D72" s="500"/>
      <c r="E72" s="136"/>
      <c r="F72" s="54"/>
      <c r="G72" s="54"/>
      <c r="H72" s="54"/>
      <c r="I72" s="11"/>
      <c r="K72" s="11"/>
      <c r="M72" s="11"/>
      <c r="N72" s="501"/>
      <c r="O72" s="501"/>
      <c r="P72" s="11"/>
      <c r="Q72" s="11"/>
      <c r="R72" s="83"/>
      <c r="S72" s="83"/>
      <c r="U72" s="11"/>
      <c r="W72" s="11"/>
      <c r="X72" s="11"/>
      <c r="Y72" s="11"/>
      <c r="Z72" s="11"/>
      <c r="AA72" s="11"/>
      <c r="AB72" s="502"/>
      <c r="AC72" s="161"/>
      <c r="AD72" s="58"/>
      <c r="AE72" s="503"/>
      <c r="AF72" s="84"/>
      <c r="AG72" s="234"/>
      <c r="AH72" s="431"/>
      <c r="AI72" s="84"/>
      <c r="AJ72" s="41"/>
      <c r="AK72" s="112"/>
      <c r="AL72" s="234"/>
      <c r="AM72" s="84"/>
      <c r="AN72" s="84"/>
      <c r="AO72" s="84"/>
      <c r="AP72" s="88"/>
      <c r="AQ72" s="89"/>
      <c r="AR72" s="89"/>
      <c r="AS72" s="89"/>
      <c r="AU72" s="42"/>
      <c r="AV72" s="59"/>
      <c r="AW72" s="42"/>
      <c r="AY72" s="42"/>
      <c r="AZ72" s="42"/>
    </row>
    <row r="73" spans="1:52" ht="12.75" customHeight="1" x14ac:dyDescent="0.2">
      <c r="A73" s="36"/>
      <c r="D73" s="500"/>
      <c r="E73" s="136"/>
      <c r="F73" s="54"/>
      <c r="G73" s="54"/>
      <c r="H73" s="54"/>
      <c r="I73" s="11"/>
      <c r="K73" s="11"/>
      <c r="M73" s="11"/>
      <c r="N73" s="501"/>
      <c r="O73" s="501"/>
      <c r="P73" s="11"/>
      <c r="Q73" s="11"/>
      <c r="R73" s="83"/>
      <c r="S73" s="83"/>
      <c r="U73" s="11"/>
      <c r="W73" s="11"/>
      <c r="X73" s="11"/>
      <c r="Y73" s="11"/>
      <c r="Z73" s="11"/>
      <c r="AA73" s="11"/>
      <c r="AB73" s="502"/>
      <c r="AC73" s="161"/>
      <c r="AD73" s="58"/>
      <c r="AE73" s="503"/>
      <c r="AF73" s="84"/>
      <c r="AG73" s="234"/>
      <c r="AH73" s="431"/>
      <c r="AI73" s="84"/>
      <c r="AJ73" s="41"/>
      <c r="AK73" s="112"/>
      <c r="AL73" s="234"/>
      <c r="AM73" s="84"/>
      <c r="AN73" s="84"/>
      <c r="AO73" s="84"/>
      <c r="AP73" s="88"/>
      <c r="AQ73" s="89"/>
      <c r="AR73" s="89"/>
      <c r="AS73" s="89"/>
      <c r="AU73" s="42"/>
      <c r="AV73" s="59"/>
      <c r="AW73" s="42"/>
      <c r="AY73" s="42"/>
      <c r="AZ73" s="42"/>
    </row>
    <row r="74" spans="1:52" ht="12.75" customHeight="1" x14ac:dyDescent="0.2">
      <c r="A74" s="510" t="s">
        <v>205</v>
      </c>
      <c r="D74" s="500"/>
      <c r="E74" s="512"/>
      <c r="F74" s="11"/>
      <c r="G74" s="11"/>
      <c r="H74" s="11"/>
      <c r="I74" s="11"/>
      <c r="J74" s="11"/>
      <c r="K74" s="11"/>
      <c r="L74" s="11"/>
      <c r="M74" s="11"/>
      <c r="N74" s="11"/>
      <c r="O74" s="11"/>
      <c r="Q74" s="11"/>
      <c r="R74" s="83"/>
      <c r="S74" s="83"/>
      <c r="T74" s="11"/>
      <c r="U74" s="11"/>
      <c r="V74" s="11"/>
      <c r="W74" s="11"/>
      <c r="X74" s="11"/>
      <c r="Y74" s="11"/>
      <c r="Z74" s="11"/>
      <c r="AA74" s="11"/>
      <c r="AB74" s="83"/>
      <c r="AC74" s="84"/>
      <c r="AD74" s="58"/>
      <c r="AE74" s="503"/>
      <c r="AF74" s="84"/>
      <c r="AG74" s="234"/>
      <c r="AH74" s="505"/>
      <c r="AI74" s="84"/>
      <c r="AJ74" s="41"/>
      <c r="AK74" s="112"/>
      <c r="AL74" s="234"/>
      <c r="AM74" s="84"/>
      <c r="AN74" s="85"/>
      <c r="AO74" s="86"/>
      <c r="AP74" s="86"/>
      <c r="AQ74" s="86"/>
      <c r="AR74" s="86"/>
      <c r="AS74" s="86"/>
      <c r="AW74" s="42"/>
      <c r="AY74" s="42"/>
      <c r="AZ74" s="42"/>
    </row>
    <row r="75" spans="1:52" ht="12.75" customHeight="1" x14ac:dyDescent="0.2">
      <c r="A75" s="36"/>
      <c r="D75" s="500"/>
      <c r="E75" s="136"/>
      <c r="F75" s="54"/>
      <c r="G75" s="54"/>
      <c r="H75" s="54"/>
      <c r="I75" s="11"/>
      <c r="K75" s="11"/>
      <c r="M75" s="11"/>
      <c r="N75" s="501"/>
      <c r="O75" s="501"/>
      <c r="P75" s="11"/>
      <c r="Q75" s="11"/>
      <c r="R75" s="83"/>
      <c r="S75" s="83"/>
      <c r="U75" s="11"/>
      <c r="W75" s="11"/>
      <c r="X75" s="11"/>
      <c r="Y75" s="11"/>
      <c r="Z75" s="11"/>
      <c r="AA75" s="11"/>
      <c r="AB75" s="502"/>
      <c r="AC75" s="161"/>
      <c r="AD75" s="58"/>
      <c r="AE75" s="503"/>
      <c r="AF75" s="84"/>
      <c r="AG75" s="234"/>
      <c r="AH75" s="431"/>
      <c r="AI75" s="84"/>
      <c r="AJ75" s="41"/>
      <c r="AK75" s="112"/>
      <c r="AL75" s="234"/>
      <c r="AM75" s="84"/>
      <c r="AN75" s="84"/>
      <c r="AO75" s="84"/>
      <c r="AP75" s="88"/>
      <c r="AQ75" s="89"/>
      <c r="AR75" s="89"/>
      <c r="AS75" s="89"/>
      <c r="AU75" s="42"/>
      <c r="AV75" s="59"/>
      <c r="AW75" s="42"/>
      <c r="AY75" s="42"/>
      <c r="AZ75" s="42"/>
    </row>
    <row r="76" spans="1:52" ht="12.75" customHeight="1" x14ac:dyDescent="0.2">
      <c r="A76" s="36"/>
      <c r="D76" s="500"/>
      <c r="E76" s="136"/>
      <c r="F76" s="54"/>
      <c r="G76" s="54"/>
      <c r="H76" s="54"/>
      <c r="I76" s="11"/>
      <c r="K76" s="11"/>
      <c r="M76" s="11"/>
      <c r="N76" s="501"/>
      <c r="O76" s="501"/>
      <c r="P76" s="11"/>
      <c r="Q76" s="11"/>
      <c r="R76" s="83"/>
      <c r="S76" s="83"/>
      <c r="U76" s="11"/>
      <c r="W76" s="11"/>
      <c r="X76" s="11"/>
      <c r="Y76" s="11"/>
      <c r="Z76" s="11"/>
      <c r="AA76" s="11"/>
      <c r="AB76" s="502"/>
      <c r="AC76" s="161"/>
      <c r="AD76" s="58"/>
      <c r="AE76" s="503"/>
      <c r="AF76" s="84"/>
      <c r="AG76" s="234"/>
      <c r="AH76" s="431"/>
      <c r="AI76" s="84"/>
      <c r="AJ76" s="41"/>
      <c r="AK76" s="112"/>
      <c r="AL76" s="234"/>
      <c r="AM76" s="84"/>
      <c r="AN76" s="84"/>
      <c r="AO76" s="84"/>
      <c r="AP76" s="88"/>
      <c r="AQ76" s="89"/>
      <c r="AR76" s="89"/>
      <c r="AS76" s="89"/>
      <c r="AU76" s="42"/>
      <c r="AV76" s="59"/>
      <c r="AW76" s="42"/>
      <c r="AY76" s="42"/>
      <c r="AZ76" s="42"/>
    </row>
    <row r="77" spans="1:52" ht="12.75" customHeight="1" x14ac:dyDescent="0.2">
      <c r="A77" s="36"/>
      <c r="D77" s="500"/>
      <c r="E77" s="136"/>
      <c r="F77" s="54"/>
      <c r="G77" s="54"/>
      <c r="H77" s="54"/>
      <c r="I77" s="11"/>
      <c r="K77" s="11"/>
      <c r="M77" s="11"/>
      <c r="N77" s="501"/>
      <c r="O77" s="501"/>
      <c r="P77" s="11"/>
      <c r="Q77" s="11"/>
      <c r="R77" s="83"/>
      <c r="S77" s="83"/>
      <c r="U77" s="11"/>
      <c r="W77" s="11"/>
      <c r="X77" s="11"/>
      <c r="Y77" s="11"/>
      <c r="Z77" s="11"/>
      <c r="AA77" s="11"/>
      <c r="AB77" s="502"/>
      <c r="AC77" s="161"/>
      <c r="AD77" s="58"/>
      <c r="AE77" s="503"/>
      <c r="AF77" s="84"/>
      <c r="AG77" s="234"/>
      <c r="AH77" s="431"/>
      <c r="AI77" s="84"/>
      <c r="AJ77" s="41"/>
      <c r="AK77" s="112"/>
      <c r="AL77" s="234"/>
      <c r="AM77" s="84"/>
      <c r="AN77" s="84"/>
      <c r="AO77" s="84"/>
      <c r="AP77" s="88"/>
      <c r="AQ77" s="89"/>
      <c r="AR77" s="89"/>
      <c r="AS77" s="89"/>
      <c r="AU77" s="42"/>
      <c r="AV77" s="59"/>
      <c r="AW77" s="42"/>
      <c r="AY77" s="42"/>
      <c r="AZ77" s="42"/>
    </row>
    <row r="78" spans="1:52" ht="12.75" customHeight="1" x14ac:dyDescent="0.2">
      <c r="A78" s="36"/>
      <c r="C78" s="513"/>
      <c r="D78" s="500"/>
      <c r="E78" s="136"/>
      <c r="F78" s="54"/>
      <c r="G78" s="54"/>
      <c r="H78" s="54"/>
      <c r="I78" s="11"/>
      <c r="K78" s="11"/>
      <c r="M78" s="11"/>
      <c r="N78" s="501"/>
      <c r="O78" s="501"/>
      <c r="P78" s="11"/>
      <c r="Q78" s="11"/>
      <c r="R78" s="83"/>
      <c r="S78" s="83"/>
      <c r="U78" s="11"/>
      <c r="W78" s="11"/>
      <c r="X78" s="11"/>
      <c r="Y78" s="11"/>
      <c r="Z78" s="11"/>
      <c r="AA78" s="11"/>
      <c r="AB78" s="502"/>
      <c r="AC78" s="161"/>
      <c r="AD78" s="58"/>
      <c r="AE78" s="503"/>
      <c r="AF78" s="84"/>
      <c r="AG78" s="234"/>
      <c r="AH78" s="431"/>
      <c r="AI78" s="84"/>
      <c r="AJ78" s="41"/>
      <c r="AK78" s="112"/>
      <c r="AL78" s="234"/>
      <c r="AM78" s="84"/>
      <c r="AN78" s="84"/>
      <c r="AO78" s="84"/>
      <c r="AP78" s="88"/>
      <c r="AQ78" s="89"/>
      <c r="AR78" s="89"/>
      <c r="AS78" s="89"/>
      <c r="AU78" s="42"/>
      <c r="AV78" s="59"/>
      <c r="AW78" s="42"/>
      <c r="AY78" s="42"/>
      <c r="AZ78" s="42"/>
    </row>
    <row r="79" spans="1:52" ht="12.75" customHeight="1" x14ac:dyDescent="0.2">
      <c r="A79" s="510" t="s">
        <v>293</v>
      </c>
      <c r="D79" s="500"/>
      <c r="E79" s="512"/>
      <c r="F79" s="11"/>
      <c r="G79" s="11"/>
      <c r="H79" s="11"/>
      <c r="I79" s="11"/>
      <c r="J79" s="11"/>
      <c r="K79" s="11"/>
      <c r="L79" s="11"/>
      <c r="M79" s="11"/>
      <c r="N79" s="11"/>
      <c r="O79" s="11"/>
      <c r="Q79" s="11"/>
      <c r="R79" s="83"/>
      <c r="S79" s="83"/>
      <c r="T79" s="11"/>
      <c r="U79" s="11"/>
      <c r="V79" s="11"/>
      <c r="W79" s="11"/>
      <c r="X79" s="11"/>
      <c r="Y79" s="11"/>
      <c r="Z79" s="11"/>
      <c r="AA79" s="11"/>
      <c r="AB79" s="83"/>
      <c r="AC79" s="84"/>
      <c r="AD79" s="58"/>
      <c r="AE79" s="503"/>
      <c r="AF79" s="84"/>
      <c r="AG79" s="234"/>
      <c r="AH79" s="505"/>
      <c r="AI79" s="84"/>
      <c r="AJ79" s="41"/>
      <c r="AK79" s="112"/>
      <c r="AL79" s="234"/>
      <c r="AM79" s="84"/>
      <c r="AN79" s="85"/>
      <c r="AO79" s="86"/>
      <c r="AP79" s="86"/>
      <c r="AQ79" s="86"/>
      <c r="AR79" s="86"/>
      <c r="AS79" s="86"/>
      <c r="AW79" s="42"/>
      <c r="AY79" s="42"/>
      <c r="AZ79" s="42"/>
    </row>
    <row r="80" spans="1:52" ht="12.75" customHeight="1" x14ac:dyDescent="0.2">
      <c r="A80" s="36"/>
      <c r="D80" s="500"/>
      <c r="E80" s="136"/>
      <c r="F80" s="54"/>
      <c r="G80" s="54"/>
      <c r="H80" s="54"/>
      <c r="I80" s="11"/>
      <c r="K80" s="11"/>
      <c r="M80" s="11"/>
      <c r="N80" s="501"/>
      <c r="O80" s="501"/>
      <c r="P80" s="11"/>
      <c r="Q80" s="11"/>
      <c r="R80" s="83"/>
      <c r="S80" s="83"/>
      <c r="U80" s="11"/>
      <c r="W80" s="11"/>
      <c r="X80" s="11"/>
      <c r="Y80" s="11"/>
      <c r="Z80" s="11"/>
      <c r="AA80" s="11"/>
      <c r="AB80" s="502"/>
      <c r="AC80" s="161"/>
      <c r="AD80" s="58"/>
      <c r="AE80" s="503"/>
      <c r="AF80" s="84"/>
      <c r="AG80" s="234"/>
      <c r="AH80" s="431"/>
      <c r="AI80" s="84"/>
      <c r="AJ80" s="41"/>
      <c r="AK80" s="112"/>
      <c r="AL80" s="234"/>
      <c r="AM80" s="84"/>
      <c r="AN80" s="84"/>
      <c r="AO80" s="84"/>
      <c r="AP80" s="88"/>
      <c r="AQ80" s="89"/>
      <c r="AR80" s="89"/>
      <c r="AS80" s="89"/>
      <c r="AU80" s="42"/>
      <c r="AV80" s="59"/>
      <c r="AW80" s="42"/>
      <c r="AY80" s="42"/>
      <c r="AZ80" s="42"/>
    </row>
    <row r="81" spans="1:52" ht="12.75" customHeight="1" x14ac:dyDescent="0.2">
      <c r="A81" s="36"/>
      <c r="D81" s="500"/>
      <c r="E81" s="136"/>
      <c r="F81" s="54"/>
      <c r="G81" s="54"/>
      <c r="H81" s="54"/>
      <c r="I81" s="11"/>
      <c r="K81" s="11"/>
      <c r="M81" s="11"/>
      <c r="N81" s="501"/>
      <c r="O81" s="501"/>
      <c r="P81" s="11"/>
      <c r="Q81" s="11"/>
      <c r="R81" s="83"/>
      <c r="S81" s="83"/>
      <c r="U81" s="11"/>
      <c r="W81" s="11"/>
      <c r="X81" s="11"/>
      <c r="Y81" s="11"/>
      <c r="Z81" s="11"/>
      <c r="AA81" s="11"/>
      <c r="AB81" s="502"/>
      <c r="AC81" s="161"/>
      <c r="AD81" s="58"/>
      <c r="AE81" s="503"/>
      <c r="AF81" s="84"/>
      <c r="AG81" s="234"/>
      <c r="AH81" s="431"/>
      <c r="AI81" s="84"/>
      <c r="AJ81" s="41"/>
      <c r="AK81" s="112"/>
      <c r="AL81" s="234"/>
      <c r="AM81" s="84"/>
      <c r="AN81" s="84"/>
      <c r="AO81" s="84"/>
      <c r="AP81" s="88"/>
      <c r="AQ81" s="89"/>
      <c r="AR81" s="89"/>
      <c r="AS81" s="89"/>
      <c r="AU81" s="42"/>
      <c r="AV81" s="59"/>
      <c r="AW81" s="42"/>
      <c r="AY81" s="42"/>
      <c r="AZ81" s="42"/>
    </row>
    <row r="82" spans="1:52" ht="12.75" customHeight="1" x14ac:dyDescent="0.2">
      <c r="A82" s="36"/>
      <c r="D82" s="500"/>
      <c r="E82" s="136"/>
      <c r="F82" s="54"/>
      <c r="G82" s="54"/>
      <c r="H82" s="54"/>
      <c r="I82" s="11"/>
      <c r="K82" s="11"/>
      <c r="M82" s="11"/>
      <c r="N82" s="501"/>
      <c r="O82" s="501"/>
      <c r="P82" s="11"/>
      <c r="Q82" s="11"/>
      <c r="R82" s="83"/>
      <c r="S82" s="83"/>
      <c r="U82" s="11"/>
      <c r="W82" s="11"/>
      <c r="X82" s="11"/>
      <c r="Y82" s="11"/>
      <c r="Z82" s="11"/>
      <c r="AA82" s="11"/>
      <c r="AB82" s="502"/>
      <c r="AC82" s="161"/>
      <c r="AD82" s="58"/>
      <c r="AE82" s="503"/>
      <c r="AF82" s="84"/>
      <c r="AG82" s="234"/>
      <c r="AH82" s="431"/>
      <c r="AI82" s="84"/>
      <c r="AJ82" s="41"/>
      <c r="AK82" s="112"/>
      <c r="AL82" s="234"/>
      <c r="AM82" s="84"/>
      <c r="AN82" s="84"/>
      <c r="AO82" s="84"/>
      <c r="AP82" s="88"/>
      <c r="AQ82" s="89"/>
      <c r="AR82" s="89"/>
      <c r="AS82" s="89"/>
      <c r="AU82" s="42"/>
      <c r="AV82" s="59"/>
      <c r="AW82" s="42"/>
      <c r="AY82" s="42"/>
      <c r="AZ82" s="42"/>
    </row>
    <row r="83" spans="1:52" ht="12.75" customHeight="1" x14ac:dyDescent="0.2">
      <c r="A83" s="36"/>
      <c r="D83" s="500"/>
      <c r="E83" s="136"/>
      <c r="F83" s="54"/>
      <c r="G83" s="54"/>
      <c r="H83" s="54"/>
      <c r="I83" s="11"/>
      <c r="K83" s="11"/>
      <c r="M83" s="11"/>
      <c r="N83" s="501"/>
      <c r="O83" s="501"/>
      <c r="P83" s="11"/>
      <c r="Q83" s="11"/>
      <c r="R83" s="83"/>
      <c r="S83" s="83"/>
      <c r="U83" s="11"/>
      <c r="W83" s="11"/>
      <c r="X83" s="11"/>
      <c r="Y83" s="11"/>
      <c r="Z83" s="11"/>
      <c r="AA83" s="11"/>
      <c r="AB83" s="502"/>
      <c r="AC83" s="161"/>
      <c r="AD83" s="58"/>
      <c r="AE83" s="503"/>
      <c r="AF83" s="84"/>
      <c r="AG83" s="234"/>
      <c r="AH83" s="431"/>
      <c r="AI83" s="84"/>
      <c r="AJ83" s="41"/>
      <c r="AK83" s="112"/>
      <c r="AL83" s="234"/>
      <c r="AM83" s="84"/>
      <c r="AN83" s="84"/>
      <c r="AO83" s="84"/>
      <c r="AP83" s="88"/>
      <c r="AQ83" s="89"/>
      <c r="AR83" s="89"/>
      <c r="AS83" s="89"/>
      <c r="AU83" s="42"/>
      <c r="AV83" s="59"/>
      <c r="AW83" s="42"/>
      <c r="AY83" s="42"/>
      <c r="AZ83" s="42"/>
    </row>
    <row r="84" spans="1:52" ht="12.75" customHeight="1" x14ac:dyDescent="0.2">
      <c r="A84" s="36"/>
      <c r="D84" s="500"/>
      <c r="E84" s="136"/>
      <c r="F84" s="54"/>
      <c r="G84" s="54"/>
      <c r="H84" s="54"/>
      <c r="I84" s="11"/>
      <c r="K84" s="11"/>
      <c r="M84" s="11"/>
      <c r="N84" s="501"/>
      <c r="O84" s="501"/>
      <c r="P84" s="11"/>
      <c r="Q84" s="11"/>
      <c r="R84" s="83"/>
      <c r="S84" s="83"/>
      <c r="U84" s="11"/>
      <c r="W84" s="11"/>
      <c r="X84" s="11"/>
      <c r="Y84" s="11"/>
      <c r="Z84" s="11"/>
      <c r="AA84" s="11"/>
      <c r="AB84" s="502"/>
      <c r="AC84" s="161"/>
      <c r="AD84" s="58"/>
      <c r="AE84" s="503"/>
      <c r="AF84" s="84"/>
      <c r="AG84" s="234"/>
      <c r="AH84" s="431"/>
      <c r="AI84" s="84"/>
      <c r="AJ84" s="41"/>
      <c r="AK84" s="112"/>
      <c r="AL84" s="234"/>
      <c r="AM84" s="84"/>
      <c r="AN84" s="84"/>
      <c r="AO84" s="84"/>
      <c r="AP84" s="88"/>
      <c r="AQ84" s="89"/>
      <c r="AR84" s="89"/>
      <c r="AS84" s="89"/>
      <c r="AU84" s="42"/>
      <c r="AV84" s="59"/>
      <c r="AW84" s="42"/>
      <c r="AY84" s="42"/>
      <c r="AZ84" s="42"/>
    </row>
    <row r="85" spans="1:52" ht="12.75" customHeight="1" x14ac:dyDescent="0.2">
      <c r="A85" s="36"/>
      <c r="D85" s="500"/>
      <c r="E85" s="136"/>
      <c r="F85" s="54"/>
      <c r="G85" s="54"/>
      <c r="H85" s="54"/>
      <c r="I85" s="11"/>
      <c r="K85" s="11"/>
      <c r="M85" s="11"/>
      <c r="N85" s="501"/>
      <c r="O85" s="501"/>
      <c r="P85" s="11"/>
      <c r="Q85" s="11"/>
      <c r="R85" s="83"/>
      <c r="S85" s="83"/>
      <c r="U85" s="11"/>
      <c r="W85" s="11"/>
      <c r="X85" s="11"/>
      <c r="Y85" s="11"/>
      <c r="Z85" s="11"/>
      <c r="AA85" s="11"/>
      <c r="AB85" s="502"/>
      <c r="AC85" s="161"/>
      <c r="AD85" s="58"/>
      <c r="AE85" s="503"/>
      <c r="AF85" s="84"/>
      <c r="AG85" s="234"/>
      <c r="AH85" s="431"/>
      <c r="AI85" s="84"/>
      <c r="AJ85" s="41"/>
      <c r="AK85" s="112"/>
      <c r="AL85" s="234"/>
      <c r="AM85" s="84"/>
      <c r="AN85" s="84"/>
      <c r="AO85" s="84"/>
      <c r="AP85" s="88"/>
      <c r="AQ85" s="89"/>
      <c r="AR85" s="89"/>
      <c r="AS85" s="89"/>
      <c r="AU85" s="42"/>
      <c r="AV85" s="59"/>
      <c r="AW85" s="42"/>
      <c r="AY85" s="42"/>
      <c r="AZ85" s="42"/>
    </row>
    <row r="86" spans="1:52" ht="12.75" customHeight="1" x14ac:dyDescent="0.2">
      <c r="A86" s="36"/>
      <c r="D86" s="500"/>
      <c r="E86" s="136"/>
      <c r="F86" s="54"/>
      <c r="G86" s="54"/>
      <c r="H86" s="54"/>
      <c r="I86" s="11"/>
      <c r="K86" s="11"/>
      <c r="M86" s="11"/>
      <c r="N86" s="501"/>
      <c r="O86" s="501"/>
      <c r="P86" s="11"/>
      <c r="Q86" s="11"/>
      <c r="R86" s="83"/>
      <c r="S86" s="83"/>
      <c r="U86" s="11"/>
      <c r="W86" s="11"/>
      <c r="X86" s="11"/>
      <c r="Y86" s="11"/>
      <c r="Z86" s="11"/>
      <c r="AA86" s="11"/>
      <c r="AB86" s="502"/>
      <c r="AC86" s="161"/>
      <c r="AD86" s="58"/>
      <c r="AE86" s="503"/>
      <c r="AF86" s="84"/>
      <c r="AG86" s="234"/>
      <c r="AH86" s="431"/>
      <c r="AI86" s="84"/>
      <c r="AJ86" s="41"/>
      <c r="AK86" s="112"/>
      <c r="AL86" s="234"/>
      <c r="AM86" s="84"/>
      <c r="AN86" s="84"/>
      <c r="AO86" s="84"/>
      <c r="AP86" s="88"/>
      <c r="AQ86" s="89"/>
      <c r="AR86" s="89"/>
      <c r="AS86" s="89"/>
      <c r="AU86" s="42"/>
      <c r="AV86" s="59"/>
      <c r="AW86" s="42"/>
      <c r="AY86" s="42"/>
      <c r="AZ86" s="42"/>
    </row>
    <row r="87" spans="1:52" ht="12.75" customHeight="1" x14ac:dyDescent="0.2">
      <c r="A87" s="36"/>
      <c r="D87" s="500"/>
      <c r="E87" s="136"/>
      <c r="F87" s="54"/>
      <c r="G87" s="54"/>
      <c r="H87" s="54"/>
      <c r="I87" s="11"/>
      <c r="K87" s="11"/>
      <c r="M87" s="11"/>
      <c r="N87" s="501"/>
      <c r="O87" s="501"/>
      <c r="P87" s="11"/>
      <c r="Q87" s="11"/>
      <c r="R87" s="83"/>
      <c r="S87" s="83"/>
      <c r="U87" s="11"/>
      <c r="W87" s="11"/>
      <c r="X87" s="11"/>
      <c r="Y87" s="11"/>
      <c r="Z87" s="11"/>
      <c r="AA87" s="11"/>
      <c r="AB87" s="502"/>
      <c r="AC87" s="161"/>
      <c r="AD87" s="58"/>
      <c r="AE87" s="503"/>
      <c r="AF87" s="84"/>
      <c r="AG87" s="234"/>
      <c r="AH87" s="431"/>
      <c r="AI87" s="84"/>
      <c r="AJ87" s="41"/>
      <c r="AK87" s="112"/>
      <c r="AL87" s="234"/>
      <c r="AM87" s="84"/>
      <c r="AN87" s="84"/>
      <c r="AO87" s="84"/>
      <c r="AP87" s="88"/>
      <c r="AQ87" s="89"/>
      <c r="AR87" s="89"/>
      <c r="AS87" s="89"/>
      <c r="AU87" s="42"/>
      <c r="AV87" s="59"/>
      <c r="AW87" s="42"/>
      <c r="AY87" s="42"/>
      <c r="AZ87" s="42"/>
    </row>
    <row r="88" spans="1:52" ht="12.75" customHeight="1" x14ac:dyDescent="0.2">
      <c r="A88" s="510" t="s">
        <v>216</v>
      </c>
      <c r="D88" s="500"/>
      <c r="E88" s="512"/>
      <c r="F88" s="11"/>
      <c r="G88" s="11"/>
      <c r="H88" s="11"/>
      <c r="I88" s="11"/>
      <c r="J88" s="11"/>
      <c r="K88" s="11"/>
      <c r="L88" s="11"/>
      <c r="M88" s="11"/>
      <c r="N88" s="11"/>
      <c r="O88" s="11"/>
      <c r="Q88" s="11"/>
      <c r="R88" s="83"/>
      <c r="S88" s="83"/>
      <c r="T88" s="11"/>
      <c r="U88" s="11"/>
      <c r="V88" s="11"/>
      <c r="W88" s="11"/>
      <c r="X88" s="11"/>
      <c r="Y88" s="11"/>
      <c r="Z88" s="11"/>
      <c r="AA88" s="11"/>
      <c r="AB88" s="83"/>
      <c r="AC88" s="84"/>
      <c r="AD88" s="58"/>
      <c r="AE88" s="503"/>
      <c r="AF88" s="84"/>
      <c r="AG88" s="234"/>
      <c r="AH88" s="505"/>
      <c r="AI88" s="84"/>
      <c r="AJ88" s="41"/>
      <c r="AK88" s="112"/>
      <c r="AL88" s="234"/>
      <c r="AM88" s="84"/>
      <c r="AN88" s="85"/>
      <c r="AO88" s="86"/>
      <c r="AP88" s="86"/>
      <c r="AQ88" s="86"/>
      <c r="AR88" s="86"/>
      <c r="AS88" s="86"/>
      <c r="AW88" s="42"/>
      <c r="AY88" s="42"/>
      <c r="AZ88" s="42"/>
    </row>
    <row r="89" spans="1:52" ht="12.75" customHeight="1" x14ac:dyDescent="0.2">
      <c r="A89" s="36"/>
      <c r="D89" s="500"/>
      <c r="E89" s="136"/>
      <c r="F89" s="54"/>
      <c r="G89" s="54"/>
      <c r="H89" s="54"/>
      <c r="I89" s="11"/>
      <c r="K89" s="11"/>
      <c r="M89" s="11"/>
      <c r="N89" s="11"/>
      <c r="O89" s="501"/>
      <c r="P89" s="11"/>
      <c r="Q89" s="11"/>
      <c r="R89" s="83"/>
      <c r="S89" s="83"/>
      <c r="U89" s="11"/>
      <c r="W89" s="11"/>
      <c r="X89" s="11"/>
      <c r="Y89" s="11"/>
      <c r="Z89" s="11"/>
      <c r="AA89" s="11"/>
      <c r="AB89" s="502"/>
      <c r="AC89" s="161"/>
      <c r="AD89" s="58"/>
      <c r="AE89" s="503"/>
      <c r="AF89" s="84"/>
      <c r="AG89" s="234"/>
      <c r="AH89" s="431"/>
      <c r="AI89" s="84"/>
      <c r="AJ89" s="41"/>
      <c r="AK89" s="112"/>
      <c r="AL89" s="234"/>
      <c r="AM89" s="84"/>
      <c r="AN89" s="84"/>
      <c r="AO89" s="84"/>
      <c r="AP89" s="88"/>
      <c r="AQ89" s="89"/>
      <c r="AR89" s="89"/>
      <c r="AS89" s="89"/>
      <c r="AU89" s="42"/>
      <c r="AV89" s="59"/>
      <c r="AW89" s="42"/>
      <c r="AY89" s="42"/>
      <c r="AZ89" s="42"/>
    </row>
    <row r="90" spans="1:52" ht="12.75" customHeight="1" x14ac:dyDescent="0.2">
      <c r="A90" s="36"/>
      <c r="D90" s="500"/>
      <c r="E90" s="136"/>
      <c r="F90" s="54"/>
      <c r="G90" s="54"/>
      <c r="H90" s="54"/>
      <c r="I90" s="11"/>
      <c r="K90" s="11"/>
      <c r="M90" s="11"/>
      <c r="N90" s="11"/>
      <c r="O90" s="501"/>
      <c r="P90" s="11"/>
      <c r="Q90" s="11"/>
      <c r="R90" s="83"/>
      <c r="S90" s="83"/>
      <c r="U90" s="11"/>
      <c r="W90" s="11"/>
      <c r="X90" s="11"/>
      <c r="Y90" s="11"/>
      <c r="Z90" s="11"/>
      <c r="AA90" s="11"/>
      <c r="AB90" s="502"/>
      <c r="AC90" s="161"/>
      <c r="AD90" s="58"/>
      <c r="AE90" s="503"/>
      <c r="AF90" s="84"/>
      <c r="AG90" s="234"/>
      <c r="AH90" s="431"/>
      <c r="AI90" s="84"/>
      <c r="AJ90" s="41"/>
      <c r="AK90" s="112"/>
      <c r="AL90" s="234"/>
      <c r="AM90" s="84"/>
      <c r="AN90" s="84"/>
      <c r="AO90" s="84"/>
      <c r="AP90" s="88"/>
      <c r="AQ90" s="89"/>
      <c r="AR90" s="89"/>
      <c r="AS90" s="89"/>
      <c r="AU90" s="42"/>
      <c r="AV90" s="59"/>
      <c r="AW90" s="42"/>
      <c r="AY90" s="42"/>
      <c r="AZ90" s="42"/>
    </row>
    <row r="91" spans="1:52" ht="12.75" customHeight="1" x14ac:dyDescent="0.2">
      <c r="A91" s="36"/>
      <c r="D91" s="500"/>
      <c r="E91" s="136"/>
      <c r="F91" s="54"/>
      <c r="G91" s="54"/>
      <c r="H91" s="54"/>
      <c r="I91" s="11"/>
      <c r="K91" s="11"/>
      <c r="M91" s="11"/>
      <c r="N91" s="11"/>
      <c r="O91" s="501"/>
      <c r="P91" s="11"/>
      <c r="Q91" s="11"/>
      <c r="R91" s="83"/>
      <c r="S91" s="83"/>
      <c r="U91" s="11"/>
      <c r="W91" s="11"/>
      <c r="X91" s="11"/>
      <c r="Y91" s="11"/>
      <c r="Z91" s="11"/>
      <c r="AA91" s="11"/>
      <c r="AB91" s="502"/>
      <c r="AC91" s="161"/>
      <c r="AD91" s="58"/>
      <c r="AE91" s="503"/>
      <c r="AF91" s="84"/>
      <c r="AG91" s="234"/>
      <c r="AH91" s="431"/>
      <c r="AI91" s="84"/>
      <c r="AJ91" s="41"/>
      <c r="AK91" s="112"/>
      <c r="AL91" s="234"/>
      <c r="AM91" s="84"/>
      <c r="AN91" s="84"/>
      <c r="AO91" s="84"/>
      <c r="AP91" s="88"/>
      <c r="AQ91" s="89"/>
      <c r="AR91" s="89"/>
      <c r="AS91" s="89"/>
      <c r="AU91" s="42"/>
      <c r="AV91" s="59"/>
      <c r="AW91" s="42"/>
      <c r="AY91" s="42"/>
      <c r="AZ91" s="42"/>
    </row>
    <row r="92" spans="1:52" ht="12.75" customHeight="1" x14ac:dyDescent="0.2">
      <c r="A92" s="36"/>
      <c r="D92" s="500"/>
      <c r="E92" s="136"/>
      <c r="F92" s="54"/>
      <c r="G92" s="54"/>
      <c r="H92" s="54"/>
      <c r="I92" s="11"/>
      <c r="K92" s="11"/>
      <c r="M92" s="11"/>
      <c r="N92" s="11"/>
      <c r="O92" s="501"/>
      <c r="P92" s="11"/>
      <c r="Q92" s="11"/>
      <c r="R92" s="83"/>
      <c r="S92" s="83"/>
      <c r="U92" s="11"/>
      <c r="W92" s="11"/>
      <c r="X92" s="11"/>
      <c r="Y92" s="11"/>
      <c r="Z92" s="11"/>
      <c r="AA92" s="11"/>
      <c r="AB92" s="502"/>
      <c r="AC92" s="161"/>
      <c r="AD92" s="58"/>
      <c r="AE92" s="503"/>
      <c r="AF92" s="84"/>
      <c r="AG92" s="234"/>
      <c r="AH92" s="431"/>
      <c r="AI92" s="84"/>
      <c r="AJ92" s="41"/>
      <c r="AK92" s="112"/>
      <c r="AL92" s="234"/>
      <c r="AM92" s="84"/>
      <c r="AN92" s="84"/>
      <c r="AO92" s="84"/>
      <c r="AP92" s="88"/>
      <c r="AQ92" s="89"/>
      <c r="AR92" s="89"/>
      <c r="AS92" s="89"/>
      <c r="AU92" s="42"/>
      <c r="AV92" s="59"/>
      <c r="AW92" s="42"/>
      <c r="AY92" s="42"/>
      <c r="AZ92" s="42"/>
    </row>
    <row r="93" spans="1:52" ht="12.75" customHeight="1" x14ac:dyDescent="0.2">
      <c r="A93" s="36"/>
      <c r="D93" s="500"/>
      <c r="E93" s="136"/>
      <c r="F93" s="54"/>
      <c r="G93" s="54"/>
      <c r="H93" s="54"/>
      <c r="I93" s="11"/>
      <c r="K93" s="11"/>
      <c r="M93" s="11"/>
      <c r="N93" s="11"/>
      <c r="O93" s="501"/>
      <c r="P93" s="11"/>
      <c r="Q93" s="11"/>
      <c r="R93" s="83"/>
      <c r="S93" s="83"/>
      <c r="U93" s="11"/>
      <c r="W93" s="11"/>
      <c r="X93" s="11"/>
      <c r="Y93" s="11"/>
      <c r="Z93" s="11"/>
      <c r="AA93" s="11"/>
      <c r="AB93" s="502"/>
      <c r="AC93" s="161"/>
      <c r="AD93" s="58"/>
      <c r="AE93" s="503"/>
      <c r="AF93" s="84"/>
      <c r="AG93" s="234"/>
      <c r="AH93" s="431"/>
      <c r="AI93" s="84"/>
      <c r="AJ93" s="41"/>
      <c r="AK93" s="112"/>
      <c r="AL93" s="234"/>
      <c r="AM93" s="84"/>
      <c r="AN93" s="84"/>
      <c r="AO93" s="84"/>
      <c r="AP93" s="88"/>
      <c r="AQ93" s="89"/>
      <c r="AR93" s="89"/>
      <c r="AS93" s="89"/>
      <c r="AU93" s="42"/>
      <c r="AV93" s="59"/>
      <c r="AW93" s="42"/>
      <c r="AY93" s="42"/>
      <c r="AZ93" s="42"/>
    </row>
    <row r="94" spans="1:52" ht="12.75" customHeight="1" x14ac:dyDescent="0.2">
      <c r="A94" s="36"/>
      <c r="D94" s="500"/>
      <c r="E94" s="136"/>
      <c r="F94" s="54"/>
      <c r="G94" s="54"/>
      <c r="H94" s="54"/>
      <c r="I94" s="11"/>
      <c r="K94" s="11"/>
      <c r="M94" s="11"/>
      <c r="N94" s="501"/>
      <c r="O94" s="501"/>
      <c r="P94" s="11"/>
      <c r="Q94" s="11"/>
      <c r="R94" s="83"/>
      <c r="S94" s="83"/>
      <c r="U94" s="11"/>
      <c r="W94" s="11"/>
      <c r="X94" s="11"/>
      <c r="Y94" s="11"/>
      <c r="Z94" s="11"/>
      <c r="AA94" s="11"/>
      <c r="AB94" s="502"/>
      <c r="AC94" s="161"/>
      <c r="AD94" s="58"/>
      <c r="AE94" s="503"/>
      <c r="AF94" s="84"/>
      <c r="AG94" s="234"/>
      <c r="AH94" s="431"/>
      <c r="AI94" s="84"/>
      <c r="AJ94" s="41"/>
      <c r="AK94" s="112"/>
      <c r="AL94" s="234"/>
      <c r="AM94" s="84"/>
      <c r="AN94" s="84"/>
      <c r="AO94" s="84"/>
      <c r="AP94" s="88"/>
      <c r="AQ94" s="89"/>
      <c r="AR94" s="89"/>
      <c r="AS94" s="89"/>
      <c r="AU94" s="42"/>
      <c r="AV94" s="59"/>
      <c r="AW94" s="42"/>
      <c r="AY94" s="42"/>
      <c r="AZ94" s="42"/>
    </row>
    <row r="95" spans="1:52" ht="12.75" customHeight="1" x14ac:dyDescent="0.2">
      <c r="A95" s="36"/>
      <c r="D95" s="500"/>
      <c r="E95" s="136"/>
      <c r="F95" s="54"/>
      <c r="G95" s="54"/>
      <c r="H95" s="54"/>
      <c r="I95" s="11"/>
      <c r="K95" s="11"/>
      <c r="M95" s="11"/>
      <c r="N95" s="11"/>
      <c r="O95" s="501"/>
      <c r="P95" s="11"/>
      <c r="Q95" s="11"/>
      <c r="R95" s="83"/>
      <c r="S95" s="83"/>
      <c r="U95" s="11"/>
      <c r="W95" s="11"/>
      <c r="X95" s="11"/>
      <c r="Y95" s="11"/>
      <c r="Z95" s="11"/>
      <c r="AA95" s="11"/>
      <c r="AB95" s="502"/>
      <c r="AC95" s="161"/>
      <c r="AD95" s="58"/>
      <c r="AE95" s="503"/>
      <c r="AF95" s="84"/>
      <c r="AG95" s="234"/>
      <c r="AH95" s="431"/>
      <c r="AI95" s="84"/>
      <c r="AJ95" s="41"/>
      <c r="AK95" s="112"/>
      <c r="AL95" s="234"/>
      <c r="AM95" s="84"/>
      <c r="AN95" s="84"/>
      <c r="AO95" s="84"/>
      <c r="AP95" s="88"/>
      <c r="AQ95" s="89"/>
      <c r="AR95" s="89"/>
      <c r="AS95" s="89"/>
      <c r="AU95" s="42"/>
      <c r="AV95" s="59"/>
      <c r="AW95" s="42"/>
      <c r="AY95" s="42"/>
      <c r="AZ95" s="42"/>
    </row>
    <row r="96" spans="1:52" ht="12.75" customHeight="1" x14ac:dyDescent="0.2">
      <c r="A96" s="36"/>
      <c r="D96" s="500"/>
      <c r="E96" s="136"/>
      <c r="F96" s="54"/>
      <c r="G96" s="54"/>
      <c r="H96" s="54"/>
      <c r="I96" s="11"/>
      <c r="K96" s="11"/>
      <c r="M96" s="11"/>
      <c r="N96" s="11"/>
      <c r="O96" s="501"/>
      <c r="P96" s="11"/>
      <c r="Q96" s="11"/>
      <c r="R96" s="83"/>
      <c r="S96" s="83"/>
      <c r="U96" s="11"/>
      <c r="W96" s="11"/>
      <c r="X96" s="11"/>
      <c r="Y96" s="11"/>
      <c r="Z96" s="11"/>
      <c r="AA96" s="11"/>
      <c r="AB96" s="502"/>
      <c r="AC96" s="161"/>
      <c r="AD96" s="58"/>
      <c r="AE96" s="503"/>
      <c r="AF96" s="84"/>
      <c r="AG96" s="234"/>
      <c r="AH96" s="431"/>
      <c r="AI96" s="84"/>
      <c r="AJ96" s="41"/>
      <c r="AK96" s="112"/>
      <c r="AL96" s="234"/>
      <c r="AM96" s="84"/>
      <c r="AN96" s="84"/>
      <c r="AO96" s="84"/>
      <c r="AP96" s="88"/>
      <c r="AQ96" s="89"/>
      <c r="AR96" s="89"/>
      <c r="AS96" s="89"/>
      <c r="AU96" s="42"/>
      <c r="AV96" s="59"/>
      <c r="AW96" s="42"/>
      <c r="AY96" s="42"/>
      <c r="AZ96" s="42"/>
    </row>
    <row r="97" spans="1:52" ht="12.75" customHeight="1" x14ac:dyDescent="0.2">
      <c r="A97" s="510" t="s">
        <v>215</v>
      </c>
      <c r="D97" s="500"/>
      <c r="E97" s="512"/>
      <c r="F97" s="11"/>
      <c r="G97" s="11"/>
      <c r="H97" s="11"/>
      <c r="I97" s="11"/>
      <c r="J97" s="11"/>
      <c r="K97" s="11"/>
      <c r="L97" s="11"/>
      <c r="M97" s="11"/>
      <c r="N97" s="11"/>
      <c r="O97" s="11"/>
      <c r="Q97" s="11"/>
      <c r="R97" s="83"/>
      <c r="S97" s="83"/>
      <c r="T97" s="11"/>
      <c r="U97" s="11"/>
      <c r="V97" s="11"/>
      <c r="W97" s="11"/>
      <c r="X97" s="11"/>
      <c r="Y97" s="11"/>
      <c r="Z97" s="11"/>
      <c r="AA97" s="11"/>
      <c r="AB97" s="83"/>
      <c r="AC97" s="84"/>
      <c r="AD97" s="58"/>
      <c r="AE97" s="503"/>
      <c r="AF97" s="84"/>
      <c r="AG97" s="234"/>
      <c r="AH97" s="505"/>
      <c r="AI97" s="84"/>
      <c r="AJ97" s="41"/>
      <c r="AK97" s="112"/>
      <c r="AL97" s="234"/>
      <c r="AM97" s="84"/>
      <c r="AN97" s="85"/>
      <c r="AO97" s="86"/>
      <c r="AP97" s="86"/>
      <c r="AQ97" s="86"/>
      <c r="AR97" s="86"/>
      <c r="AS97" s="86"/>
      <c r="AW97" s="42"/>
      <c r="AY97" s="42"/>
      <c r="AZ97" s="42"/>
    </row>
    <row r="98" spans="1:52" ht="12.75" customHeight="1" x14ac:dyDescent="0.2">
      <c r="A98" s="36"/>
      <c r="D98" s="500"/>
      <c r="E98" s="136"/>
      <c r="F98" s="54"/>
      <c r="G98" s="54"/>
      <c r="H98" s="54"/>
      <c r="I98" s="11"/>
      <c r="K98" s="11"/>
      <c r="M98" s="11"/>
      <c r="N98" s="501"/>
      <c r="O98" s="501"/>
      <c r="P98" s="11"/>
      <c r="Q98" s="11"/>
      <c r="R98" s="83"/>
      <c r="S98" s="83"/>
      <c r="U98" s="11"/>
      <c r="W98" s="11"/>
      <c r="X98" s="11"/>
      <c r="Y98" s="11"/>
      <c r="Z98" s="11"/>
      <c r="AA98" s="11"/>
      <c r="AB98" s="502"/>
      <c r="AC98" s="161"/>
      <c r="AD98" s="58"/>
      <c r="AE98" s="503"/>
      <c r="AF98" s="84"/>
      <c r="AG98" s="234"/>
      <c r="AH98" s="431"/>
      <c r="AI98" s="84"/>
      <c r="AJ98" s="41"/>
      <c r="AK98" s="112"/>
      <c r="AL98" s="234"/>
      <c r="AM98" s="84"/>
      <c r="AN98" s="84"/>
      <c r="AO98" s="84"/>
      <c r="AP98" s="88"/>
      <c r="AQ98" s="89"/>
      <c r="AR98" s="89"/>
      <c r="AS98" s="89"/>
      <c r="AU98" s="42"/>
      <c r="AV98" s="59"/>
      <c r="AW98" s="42"/>
      <c r="AY98" s="42"/>
      <c r="AZ98" s="42"/>
    </row>
    <row r="99" spans="1:52" ht="12.75" customHeight="1" x14ac:dyDescent="0.2">
      <c r="A99" s="36"/>
      <c r="D99" s="500"/>
      <c r="E99" s="136"/>
      <c r="F99" s="54"/>
      <c r="G99" s="54"/>
      <c r="H99" s="54"/>
      <c r="I99" s="11"/>
      <c r="K99" s="11"/>
      <c r="M99" s="11"/>
      <c r="N99" s="501"/>
      <c r="O99" s="501"/>
      <c r="P99" s="11"/>
      <c r="Q99" s="11"/>
      <c r="R99" s="83"/>
      <c r="S99" s="83"/>
      <c r="U99" s="11"/>
      <c r="W99" s="11"/>
      <c r="X99" s="11"/>
      <c r="Y99" s="11"/>
      <c r="Z99" s="11"/>
      <c r="AA99" s="11"/>
      <c r="AB99" s="502"/>
      <c r="AC99" s="161"/>
      <c r="AD99" s="58"/>
      <c r="AE99" s="503"/>
      <c r="AF99" s="84"/>
      <c r="AG99" s="234"/>
      <c r="AH99" s="431"/>
      <c r="AI99" s="84"/>
      <c r="AJ99" s="41"/>
      <c r="AK99" s="112"/>
      <c r="AL99" s="234"/>
      <c r="AM99" s="84"/>
      <c r="AN99" s="84"/>
      <c r="AO99" s="84"/>
      <c r="AP99" s="88"/>
      <c r="AQ99" s="89"/>
      <c r="AR99" s="89"/>
      <c r="AS99" s="89"/>
      <c r="AU99" s="42"/>
      <c r="AV99" s="59"/>
      <c r="AW99" s="42"/>
      <c r="AY99" s="42"/>
      <c r="AZ99" s="42"/>
    </row>
    <row r="100" spans="1:52" ht="12.75" customHeight="1" x14ac:dyDescent="0.2">
      <c r="A100" s="36"/>
      <c r="D100" s="500"/>
      <c r="E100" s="136"/>
      <c r="F100" s="54"/>
      <c r="G100" s="54"/>
      <c r="H100" s="54"/>
      <c r="I100" s="11"/>
      <c r="K100" s="11"/>
      <c r="M100" s="11"/>
      <c r="N100" s="501"/>
      <c r="O100" s="501"/>
      <c r="P100" s="11"/>
      <c r="Q100" s="11"/>
      <c r="R100" s="83"/>
      <c r="S100" s="83"/>
      <c r="U100" s="11"/>
      <c r="W100" s="11"/>
      <c r="X100" s="11"/>
      <c r="Y100" s="11"/>
      <c r="Z100" s="11"/>
      <c r="AA100" s="11"/>
      <c r="AB100" s="502"/>
      <c r="AC100" s="161"/>
      <c r="AD100" s="58"/>
      <c r="AE100" s="503"/>
      <c r="AF100" s="84"/>
      <c r="AG100" s="234"/>
      <c r="AH100" s="431"/>
      <c r="AI100" s="84"/>
      <c r="AJ100" s="41"/>
      <c r="AK100" s="112"/>
      <c r="AL100" s="234"/>
      <c r="AM100" s="84"/>
      <c r="AN100" s="84"/>
      <c r="AO100" s="84"/>
      <c r="AP100" s="88"/>
      <c r="AQ100" s="89"/>
      <c r="AR100" s="89"/>
      <c r="AS100" s="89"/>
      <c r="AU100" s="42"/>
      <c r="AV100" s="59"/>
      <c r="AW100" s="42"/>
      <c r="AY100" s="42"/>
      <c r="AZ100" s="42"/>
    </row>
    <row r="101" spans="1:52" ht="12.75" customHeight="1" x14ac:dyDescent="0.2">
      <c r="A101" s="36"/>
      <c r="D101" s="500"/>
      <c r="E101" s="136"/>
      <c r="F101" s="54"/>
      <c r="G101" s="54"/>
      <c r="H101" s="54"/>
      <c r="I101" s="11"/>
      <c r="K101" s="11"/>
      <c r="M101" s="11"/>
      <c r="N101" s="501"/>
      <c r="O101" s="501"/>
      <c r="P101" s="11"/>
      <c r="Q101" s="11"/>
      <c r="R101" s="83"/>
      <c r="S101" s="83"/>
      <c r="U101" s="11"/>
      <c r="W101" s="11"/>
      <c r="X101" s="11"/>
      <c r="Y101" s="11"/>
      <c r="Z101" s="11"/>
      <c r="AA101" s="11"/>
      <c r="AB101" s="502"/>
      <c r="AC101" s="161"/>
      <c r="AD101" s="58"/>
      <c r="AE101" s="503"/>
      <c r="AF101" s="84"/>
      <c r="AG101" s="234"/>
      <c r="AH101" s="431"/>
      <c r="AI101" s="84"/>
      <c r="AJ101" s="41"/>
      <c r="AK101" s="112"/>
      <c r="AL101" s="234"/>
      <c r="AM101" s="84"/>
      <c r="AN101" s="84"/>
      <c r="AO101" s="84"/>
      <c r="AP101" s="88"/>
      <c r="AQ101" s="89"/>
      <c r="AR101" s="89"/>
      <c r="AS101" s="89"/>
      <c r="AU101" s="42"/>
      <c r="AV101" s="59"/>
      <c r="AW101" s="42"/>
      <c r="AY101" s="42"/>
      <c r="AZ101" s="42"/>
    </row>
    <row r="102" spans="1:52" ht="12.75" customHeight="1" x14ac:dyDescent="0.2">
      <c r="A102" s="36"/>
      <c r="D102" s="500"/>
      <c r="E102" s="136"/>
      <c r="F102" s="54"/>
      <c r="G102" s="54"/>
      <c r="H102" s="54"/>
      <c r="I102" s="11"/>
      <c r="K102" s="11"/>
      <c r="M102" s="11"/>
      <c r="N102" s="501"/>
      <c r="O102" s="501"/>
      <c r="P102" s="11"/>
      <c r="Q102" s="11"/>
      <c r="R102" s="83"/>
      <c r="S102" s="83"/>
      <c r="U102" s="11"/>
      <c r="W102" s="11"/>
      <c r="X102" s="11"/>
      <c r="Y102" s="11"/>
      <c r="Z102" s="11"/>
      <c r="AA102" s="11"/>
      <c r="AB102" s="502"/>
      <c r="AC102" s="161"/>
      <c r="AD102" s="58"/>
      <c r="AE102" s="503"/>
      <c r="AF102" s="84"/>
      <c r="AG102" s="234"/>
      <c r="AH102" s="431"/>
      <c r="AI102" s="84"/>
      <c r="AJ102" s="41"/>
      <c r="AK102" s="112"/>
      <c r="AL102" s="234"/>
      <c r="AM102" s="84"/>
      <c r="AN102" s="84"/>
      <c r="AO102" s="84"/>
      <c r="AP102" s="88"/>
      <c r="AQ102" s="89"/>
      <c r="AR102" s="89"/>
      <c r="AS102" s="89"/>
      <c r="AU102" s="42"/>
      <c r="AV102" s="59"/>
      <c r="AW102" s="42"/>
      <c r="AY102" s="42"/>
      <c r="AZ102" s="42"/>
    </row>
    <row r="103" spans="1:52" ht="12.75" customHeight="1" x14ac:dyDescent="0.2">
      <c r="A103" s="36"/>
      <c r="D103" s="500"/>
      <c r="E103" s="136"/>
      <c r="F103" s="54"/>
      <c r="G103" s="54"/>
      <c r="H103" s="54"/>
      <c r="I103" s="11"/>
      <c r="K103" s="11"/>
      <c r="M103" s="11"/>
      <c r="N103" s="501"/>
      <c r="O103" s="501"/>
      <c r="P103" s="11"/>
      <c r="Q103" s="11"/>
      <c r="R103" s="83"/>
      <c r="S103" s="83"/>
      <c r="U103" s="11"/>
      <c r="W103" s="11"/>
      <c r="X103" s="11"/>
      <c r="Y103" s="11"/>
      <c r="Z103" s="11"/>
      <c r="AA103" s="11"/>
      <c r="AB103" s="502"/>
      <c r="AC103" s="161"/>
      <c r="AD103" s="58"/>
      <c r="AE103" s="503"/>
      <c r="AF103" s="84"/>
      <c r="AG103" s="234"/>
      <c r="AH103" s="431"/>
      <c r="AI103" s="84"/>
      <c r="AJ103" s="41"/>
      <c r="AK103" s="112"/>
      <c r="AL103" s="234"/>
      <c r="AM103" s="84"/>
      <c r="AN103" s="84"/>
      <c r="AO103" s="84"/>
      <c r="AP103" s="88"/>
      <c r="AQ103" s="89"/>
      <c r="AR103" s="89"/>
      <c r="AS103" s="89"/>
      <c r="AU103" s="42"/>
      <c r="AV103" s="59"/>
      <c r="AW103" s="42"/>
      <c r="AY103" s="42"/>
      <c r="AZ103" s="42"/>
    </row>
    <row r="104" spans="1:52" ht="12.75" customHeight="1" x14ac:dyDescent="0.2">
      <c r="A104" s="36"/>
      <c r="D104" s="500"/>
      <c r="E104" s="136"/>
      <c r="F104" s="54"/>
      <c r="G104" s="54"/>
      <c r="H104" s="54"/>
      <c r="I104" s="11"/>
      <c r="K104" s="11"/>
      <c r="M104" s="11"/>
      <c r="N104" s="501"/>
      <c r="O104" s="501"/>
      <c r="P104" s="11"/>
      <c r="Q104" s="11"/>
      <c r="R104" s="83"/>
      <c r="S104" s="83"/>
      <c r="U104" s="11"/>
      <c r="W104" s="11"/>
      <c r="X104" s="11"/>
      <c r="Y104" s="11"/>
      <c r="Z104" s="11"/>
      <c r="AA104" s="11"/>
      <c r="AB104" s="502"/>
      <c r="AC104" s="161"/>
      <c r="AD104" s="58"/>
      <c r="AE104" s="503"/>
      <c r="AF104" s="84"/>
      <c r="AG104" s="234"/>
      <c r="AH104" s="431"/>
      <c r="AI104" s="84"/>
      <c r="AJ104" s="41"/>
      <c r="AK104" s="112"/>
      <c r="AL104" s="234"/>
      <c r="AM104" s="84"/>
      <c r="AN104" s="84"/>
      <c r="AO104" s="84"/>
      <c r="AP104" s="88"/>
      <c r="AQ104" s="89"/>
      <c r="AR104" s="89"/>
      <c r="AS104" s="89"/>
      <c r="AU104" s="42"/>
      <c r="AV104" s="59"/>
      <c r="AW104" s="42"/>
      <c r="AY104" s="42"/>
      <c r="AZ104" s="42"/>
    </row>
    <row r="105" spans="1:52" ht="12.75" customHeight="1" x14ac:dyDescent="0.2">
      <c r="A105" s="36"/>
      <c r="D105" s="500"/>
      <c r="E105" s="136"/>
      <c r="F105" s="54"/>
      <c r="G105" s="54"/>
      <c r="H105" s="54"/>
      <c r="I105" s="11"/>
      <c r="K105" s="11"/>
      <c r="M105" s="11"/>
      <c r="N105" s="11"/>
      <c r="O105" s="501"/>
      <c r="P105" s="11"/>
      <c r="Q105" s="11"/>
      <c r="R105" s="83"/>
      <c r="S105" s="83"/>
      <c r="U105" s="11"/>
      <c r="W105" s="11"/>
      <c r="X105" s="11"/>
      <c r="Y105" s="11"/>
      <c r="Z105" s="11"/>
      <c r="AA105" s="11"/>
      <c r="AB105" s="502"/>
      <c r="AC105" s="161"/>
      <c r="AD105" s="58"/>
      <c r="AE105" s="503"/>
      <c r="AF105" s="84"/>
      <c r="AG105" s="234"/>
      <c r="AH105" s="431"/>
      <c r="AI105" s="84"/>
      <c r="AJ105" s="41"/>
      <c r="AK105" s="112"/>
      <c r="AL105" s="234"/>
      <c r="AM105" s="84"/>
      <c r="AN105" s="84"/>
      <c r="AO105" s="84"/>
      <c r="AP105" s="88"/>
      <c r="AQ105" s="89"/>
      <c r="AR105" s="89"/>
      <c r="AS105" s="89"/>
      <c r="AU105" s="42"/>
      <c r="AV105" s="59"/>
      <c r="AW105" s="42"/>
      <c r="AY105" s="42"/>
      <c r="AZ105" s="42"/>
    </row>
    <row r="106" spans="1:52" ht="12.75" customHeight="1" x14ac:dyDescent="0.2">
      <c r="A106" s="510" t="s">
        <v>218</v>
      </c>
      <c r="D106" s="500"/>
      <c r="E106" s="512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Q106" s="11"/>
      <c r="R106" s="83"/>
      <c r="S106" s="83"/>
      <c r="T106" s="11"/>
      <c r="U106" s="11"/>
      <c r="V106" s="11"/>
      <c r="W106" s="11"/>
      <c r="X106" s="11"/>
      <c r="Y106" s="11"/>
      <c r="Z106" s="11"/>
      <c r="AA106" s="11"/>
      <c r="AB106" s="83"/>
      <c r="AC106" s="84"/>
      <c r="AD106" s="58"/>
      <c r="AE106" s="503"/>
      <c r="AF106" s="84"/>
      <c r="AG106" s="234"/>
      <c r="AH106" s="505"/>
      <c r="AI106" s="84"/>
      <c r="AJ106" s="41"/>
      <c r="AK106" s="112"/>
      <c r="AL106" s="234"/>
      <c r="AM106" s="84"/>
      <c r="AN106" s="85"/>
      <c r="AO106" s="86"/>
      <c r="AP106" s="86"/>
      <c r="AQ106" s="86"/>
      <c r="AR106" s="86"/>
      <c r="AS106" s="86"/>
      <c r="AW106" s="42"/>
      <c r="AY106" s="42"/>
      <c r="AZ106" s="42"/>
    </row>
    <row r="107" spans="1:52" ht="12.75" customHeight="1" x14ac:dyDescent="0.2">
      <c r="A107" s="36"/>
      <c r="D107" s="500"/>
      <c r="E107" s="136"/>
      <c r="F107" s="54"/>
      <c r="G107" s="54"/>
      <c r="H107" s="54"/>
      <c r="I107" s="11"/>
      <c r="K107" s="11"/>
      <c r="M107" s="11"/>
      <c r="N107" s="11"/>
      <c r="O107" s="501"/>
      <c r="P107" s="11"/>
      <c r="Q107" s="11"/>
      <c r="R107" s="83"/>
      <c r="S107" s="83"/>
      <c r="U107" s="11"/>
      <c r="W107" s="11"/>
      <c r="X107" s="11"/>
      <c r="Y107" s="11"/>
      <c r="Z107" s="11"/>
      <c r="AA107" s="11"/>
      <c r="AB107" s="502"/>
      <c r="AC107" s="161"/>
      <c r="AD107" s="58"/>
      <c r="AE107" s="503"/>
      <c r="AF107" s="84"/>
      <c r="AG107" s="234"/>
      <c r="AH107" s="431"/>
      <c r="AI107" s="84"/>
      <c r="AJ107" s="41"/>
      <c r="AK107" s="112"/>
      <c r="AL107" s="234"/>
      <c r="AM107" s="84"/>
      <c r="AN107" s="84"/>
      <c r="AO107" s="84"/>
      <c r="AP107" s="88"/>
      <c r="AQ107" s="89"/>
      <c r="AR107" s="89"/>
      <c r="AS107" s="89"/>
      <c r="AU107" s="42"/>
      <c r="AV107" s="59"/>
      <c r="AW107" s="42"/>
      <c r="AY107" s="42"/>
      <c r="AZ107" s="42"/>
    </row>
    <row r="108" spans="1:52" ht="12.75" customHeight="1" x14ac:dyDescent="0.2">
      <c r="A108" s="36"/>
      <c r="D108" s="500"/>
      <c r="E108" s="136"/>
      <c r="F108" s="54"/>
      <c r="G108" s="54"/>
      <c r="H108" s="54"/>
      <c r="I108" s="11"/>
      <c r="K108" s="11"/>
      <c r="M108" s="11"/>
      <c r="N108" s="11"/>
      <c r="O108" s="501"/>
      <c r="P108" s="11"/>
      <c r="Q108" s="11"/>
      <c r="R108" s="83"/>
      <c r="S108" s="83"/>
      <c r="U108" s="11"/>
      <c r="W108" s="11"/>
      <c r="X108" s="11"/>
      <c r="Y108" s="11"/>
      <c r="Z108" s="11"/>
      <c r="AA108" s="11"/>
      <c r="AB108" s="502"/>
      <c r="AC108" s="161"/>
      <c r="AD108" s="58"/>
      <c r="AE108" s="503"/>
      <c r="AF108" s="84"/>
      <c r="AG108" s="234"/>
      <c r="AH108" s="431"/>
      <c r="AI108" s="84"/>
      <c r="AJ108" s="41"/>
      <c r="AK108" s="112"/>
      <c r="AL108" s="234"/>
      <c r="AM108" s="84"/>
      <c r="AN108" s="84"/>
      <c r="AO108" s="84"/>
      <c r="AP108" s="88"/>
      <c r="AQ108" s="89"/>
      <c r="AR108" s="89"/>
      <c r="AS108" s="89"/>
      <c r="AU108" s="42"/>
      <c r="AV108" s="59"/>
      <c r="AW108" s="42"/>
      <c r="AY108" s="42"/>
      <c r="AZ108" s="42"/>
    </row>
    <row r="109" spans="1:52" ht="12.75" customHeight="1" x14ac:dyDescent="0.2">
      <c r="A109" s="36"/>
      <c r="D109" s="500"/>
      <c r="E109" s="136"/>
      <c r="F109" s="54"/>
      <c r="G109" s="54"/>
      <c r="H109" s="54"/>
      <c r="I109" s="11"/>
      <c r="K109" s="11"/>
      <c r="M109" s="11"/>
      <c r="N109" s="11"/>
      <c r="O109" s="501"/>
      <c r="P109" s="11"/>
      <c r="Q109" s="11"/>
      <c r="R109" s="83"/>
      <c r="S109" s="83"/>
      <c r="U109" s="11"/>
      <c r="W109" s="11"/>
      <c r="X109" s="11"/>
      <c r="Y109" s="11"/>
      <c r="Z109" s="11"/>
      <c r="AA109" s="11"/>
      <c r="AB109" s="502"/>
      <c r="AC109" s="161"/>
      <c r="AD109" s="58"/>
      <c r="AE109" s="503"/>
      <c r="AF109" s="84"/>
      <c r="AG109" s="234"/>
      <c r="AH109" s="431"/>
      <c r="AI109" s="84"/>
      <c r="AJ109" s="41"/>
      <c r="AK109" s="112"/>
      <c r="AL109" s="234"/>
      <c r="AM109" s="84"/>
      <c r="AN109" s="84"/>
      <c r="AO109" s="84"/>
      <c r="AP109" s="88"/>
      <c r="AQ109" s="89"/>
      <c r="AR109" s="89"/>
      <c r="AS109" s="89"/>
      <c r="AU109" s="42"/>
      <c r="AV109" s="59"/>
      <c r="AW109" s="42"/>
      <c r="AY109" s="42"/>
      <c r="AZ109" s="42"/>
    </row>
    <row r="110" spans="1:52" ht="12.75" customHeight="1" x14ac:dyDescent="0.2">
      <c r="A110" s="36"/>
      <c r="D110" s="500"/>
      <c r="E110" s="136"/>
      <c r="F110" s="54"/>
      <c r="G110" s="54"/>
      <c r="H110" s="54"/>
      <c r="I110" s="11"/>
      <c r="K110" s="11"/>
      <c r="M110" s="11"/>
      <c r="N110" s="11"/>
      <c r="O110" s="501"/>
      <c r="P110" s="11"/>
      <c r="Q110" s="11"/>
      <c r="R110" s="83"/>
      <c r="S110" s="83"/>
      <c r="U110" s="11"/>
      <c r="W110" s="11"/>
      <c r="X110" s="11"/>
      <c r="Y110" s="11"/>
      <c r="Z110" s="11"/>
      <c r="AA110" s="11"/>
      <c r="AB110" s="502"/>
      <c r="AC110" s="161"/>
      <c r="AD110" s="58"/>
      <c r="AE110" s="503"/>
      <c r="AF110" s="84"/>
      <c r="AG110" s="234"/>
      <c r="AH110" s="431"/>
      <c r="AI110" s="84"/>
      <c r="AJ110" s="41"/>
      <c r="AK110" s="112"/>
      <c r="AL110" s="234"/>
      <c r="AM110" s="84"/>
      <c r="AN110" s="84"/>
      <c r="AO110" s="84"/>
      <c r="AP110" s="88"/>
      <c r="AQ110" s="89"/>
      <c r="AR110" s="89"/>
      <c r="AS110" s="89"/>
      <c r="AU110" s="42"/>
      <c r="AV110" s="59"/>
      <c r="AW110" s="42"/>
      <c r="AY110" s="42"/>
      <c r="AZ110" s="42"/>
    </row>
    <row r="111" spans="1:52" ht="12.75" customHeight="1" x14ac:dyDescent="0.2">
      <c r="A111" s="36"/>
      <c r="D111" s="500"/>
      <c r="E111" s="136"/>
      <c r="F111" s="54"/>
      <c r="G111" s="54"/>
      <c r="H111" s="54"/>
      <c r="I111" s="11"/>
      <c r="K111" s="11"/>
      <c r="M111" s="11"/>
      <c r="N111" s="501"/>
      <c r="O111" s="501"/>
      <c r="P111" s="11"/>
      <c r="Q111" s="11"/>
      <c r="R111" s="83"/>
      <c r="S111" s="83"/>
      <c r="U111" s="11"/>
      <c r="W111" s="11"/>
      <c r="X111" s="11"/>
      <c r="Y111" s="11"/>
      <c r="Z111" s="11"/>
      <c r="AA111" s="11"/>
      <c r="AB111" s="502"/>
      <c r="AC111" s="161"/>
      <c r="AD111" s="58"/>
      <c r="AE111" s="503"/>
      <c r="AF111" s="84"/>
      <c r="AG111" s="234"/>
      <c r="AH111" s="431"/>
      <c r="AI111" s="84"/>
      <c r="AJ111" s="41"/>
      <c r="AK111" s="112"/>
      <c r="AL111" s="234"/>
      <c r="AM111" s="84"/>
      <c r="AN111" s="84"/>
      <c r="AO111" s="84"/>
      <c r="AP111" s="88"/>
      <c r="AQ111" s="89"/>
      <c r="AR111" s="89"/>
      <c r="AS111" s="89"/>
      <c r="AU111" s="42"/>
      <c r="AV111" s="59"/>
      <c r="AW111" s="42"/>
      <c r="AY111" s="42"/>
      <c r="AZ111" s="42"/>
    </row>
    <row r="112" spans="1:52" ht="12.75" customHeight="1" x14ac:dyDescent="0.2">
      <c r="A112" s="36"/>
      <c r="D112" s="500"/>
      <c r="E112" s="136"/>
      <c r="F112" s="54"/>
      <c r="G112" s="54"/>
      <c r="H112" s="54"/>
      <c r="I112" s="11"/>
      <c r="K112" s="11"/>
      <c r="M112" s="11"/>
      <c r="N112" s="501"/>
      <c r="O112" s="501"/>
      <c r="P112" s="11"/>
      <c r="Q112" s="11"/>
      <c r="R112" s="83"/>
      <c r="S112" s="83"/>
      <c r="U112" s="11"/>
      <c r="W112" s="11"/>
      <c r="X112" s="11"/>
      <c r="Y112" s="11"/>
      <c r="Z112" s="11"/>
      <c r="AA112" s="11"/>
      <c r="AB112" s="502"/>
      <c r="AC112" s="161"/>
      <c r="AD112" s="58"/>
      <c r="AE112" s="503"/>
      <c r="AF112" s="84"/>
      <c r="AG112" s="234"/>
      <c r="AH112" s="431"/>
      <c r="AI112" s="84"/>
      <c r="AJ112" s="41"/>
      <c r="AK112" s="112"/>
      <c r="AL112" s="234"/>
      <c r="AM112" s="84"/>
      <c r="AN112" s="84"/>
      <c r="AO112" s="84"/>
      <c r="AP112" s="88"/>
      <c r="AQ112" s="89"/>
      <c r="AR112" s="89"/>
      <c r="AS112" s="89"/>
      <c r="AU112" s="42"/>
      <c r="AV112" s="59"/>
      <c r="AW112" s="42"/>
      <c r="AY112" s="42"/>
      <c r="AZ112" s="42"/>
    </row>
    <row r="113" spans="1:52" ht="12.75" customHeight="1" x14ac:dyDescent="0.2">
      <c r="A113" s="36"/>
      <c r="D113" s="500"/>
      <c r="E113" s="136"/>
      <c r="F113" s="54"/>
      <c r="G113" s="54"/>
      <c r="H113" s="54"/>
      <c r="I113" s="11"/>
      <c r="K113" s="11"/>
      <c r="M113" s="11"/>
      <c r="N113" s="501"/>
      <c r="O113" s="501"/>
      <c r="P113" s="11"/>
      <c r="Q113" s="11"/>
      <c r="R113" s="83"/>
      <c r="S113" s="83"/>
      <c r="U113" s="11"/>
      <c r="W113" s="11"/>
      <c r="X113" s="11"/>
      <c r="Y113" s="11"/>
      <c r="Z113" s="11"/>
      <c r="AA113" s="11"/>
      <c r="AB113" s="502"/>
      <c r="AC113" s="161"/>
      <c r="AD113" s="58"/>
      <c r="AE113" s="503"/>
      <c r="AF113" s="84"/>
      <c r="AG113" s="234"/>
      <c r="AH113" s="431"/>
      <c r="AI113" s="84"/>
      <c r="AJ113" s="41"/>
      <c r="AK113" s="112"/>
      <c r="AL113" s="234"/>
      <c r="AM113" s="84"/>
      <c r="AN113" s="84"/>
      <c r="AO113" s="84"/>
      <c r="AP113" s="88"/>
      <c r="AQ113" s="89"/>
      <c r="AR113" s="89"/>
      <c r="AS113" s="89"/>
      <c r="AU113" s="42"/>
      <c r="AV113" s="59"/>
      <c r="AW113" s="42"/>
      <c r="AY113" s="42"/>
      <c r="AZ113" s="42"/>
    </row>
    <row r="114" spans="1:52" ht="12.75" customHeight="1" x14ac:dyDescent="0.2">
      <c r="A114" s="36"/>
      <c r="D114" s="500"/>
      <c r="E114" s="136"/>
      <c r="F114" s="54"/>
      <c r="G114" s="54"/>
      <c r="H114" s="54"/>
      <c r="I114" s="11"/>
      <c r="K114" s="11"/>
      <c r="M114" s="11"/>
      <c r="N114" s="11"/>
      <c r="O114" s="501"/>
      <c r="P114" s="11"/>
      <c r="Q114" s="11"/>
      <c r="R114" s="83"/>
      <c r="S114" s="83"/>
      <c r="U114" s="11"/>
      <c r="W114" s="11"/>
      <c r="X114" s="11"/>
      <c r="Y114" s="11"/>
      <c r="Z114" s="11"/>
      <c r="AA114" s="11"/>
      <c r="AB114" s="502"/>
      <c r="AC114" s="161"/>
      <c r="AD114" s="58"/>
      <c r="AE114" s="503"/>
      <c r="AF114" s="84"/>
      <c r="AG114" s="234"/>
      <c r="AH114" s="431"/>
      <c r="AI114" s="84"/>
      <c r="AJ114" s="41"/>
      <c r="AK114" s="112"/>
      <c r="AL114" s="234"/>
      <c r="AM114" s="84"/>
      <c r="AN114" s="84"/>
      <c r="AO114" s="84"/>
      <c r="AP114" s="88"/>
      <c r="AQ114" s="89"/>
      <c r="AR114" s="89"/>
      <c r="AS114" s="89"/>
      <c r="AU114" s="42"/>
      <c r="AV114" s="59"/>
      <c r="AW114" s="42"/>
      <c r="AY114" s="42"/>
      <c r="AZ114" s="42"/>
    </row>
    <row r="115" spans="1:52" ht="12.75" customHeight="1" x14ac:dyDescent="0.2">
      <c r="A115" s="36"/>
      <c r="D115" s="500"/>
      <c r="E115" s="136"/>
      <c r="F115" s="54"/>
      <c r="G115" s="54"/>
      <c r="H115" s="54"/>
      <c r="I115" s="11"/>
      <c r="K115" s="11"/>
      <c r="M115" s="11"/>
      <c r="N115" s="11"/>
      <c r="O115" s="501"/>
      <c r="P115" s="11"/>
      <c r="Q115" s="11"/>
      <c r="R115" s="83"/>
      <c r="S115" s="83"/>
      <c r="U115" s="11"/>
      <c r="W115" s="11"/>
      <c r="X115" s="11"/>
      <c r="Y115" s="11"/>
      <c r="Z115" s="11"/>
      <c r="AA115" s="11"/>
      <c r="AB115" s="502"/>
      <c r="AC115" s="161"/>
      <c r="AD115" s="58"/>
      <c r="AE115" s="503"/>
      <c r="AF115" s="84"/>
      <c r="AG115" s="234"/>
      <c r="AH115" s="431"/>
      <c r="AI115" s="84"/>
      <c r="AJ115" s="41"/>
      <c r="AK115" s="112"/>
      <c r="AL115" s="234"/>
      <c r="AM115" s="84"/>
      <c r="AN115" s="84"/>
      <c r="AO115" s="84"/>
      <c r="AP115" s="88"/>
      <c r="AQ115" s="89"/>
      <c r="AR115" s="89"/>
      <c r="AS115" s="89"/>
      <c r="AU115" s="42"/>
      <c r="AV115" s="59"/>
      <c r="AW115" s="42"/>
      <c r="AY115" s="42"/>
      <c r="AZ115" s="42"/>
    </row>
    <row r="116" spans="1:52" ht="12.75" customHeight="1" x14ac:dyDescent="0.2">
      <c r="A116" s="36"/>
      <c r="D116" s="500"/>
      <c r="E116" s="136"/>
      <c r="F116" s="54"/>
      <c r="G116" s="54"/>
      <c r="H116" s="54"/>
      <c r="I116" s="11"/>
      <c r="K116" s="11"/>
      <c r="M116" s="11"/>
      <c r="N116" s="501"/>
      <c r="O116" s="501"/>
      <c r="P116" s="11"/>
      <c r="Q116" s="11"/>
      <c r="R116" s="83"/>
      <c r="S116" s="83"/>
      <c r="U116" s="11"/>
      <c r="W116" s="11"/>
      <c r="X116" s="11"/>
      <c r="Y116" s="11"/>
      <c r="Z116" s="11"/>
      <c r="AA116" s="11"/>
      <c r="AB116" s="502"/>
      <c r="AC116" s="161"/>
      <c r="AD116" s="58"/>
      <c r="AE116" s="503"/>
      <c r="AF116" s="84"/>
      <c r="AG116" s="234"/>
      <c r="AH116" s="431"/>
      <c r="AI116" s="84"/>
      <c r="AJ116" s="41"/>
      <c r="AK116" s="112"/>
      <c r="AL116" s="234"/>
      <c r="AM116" s="84"/>
      <c r="AN116" s="84"/>
      <c r="AO116" s="84"/>
      <c r="AP116" s="88"/>
      <c r="AQ116" s="89"/>
      <c r="AR116" s="89"/>
      <c r="AS116" s="89"/>
      <c r="AU116" s="42"/>
      <c r="AV116" s="59"/>
      <c r="AW116" s="42"/>
      <c r="AY116" s="42"/>
      <c r="AZ116" s="42"/>
    </row>
    <row r="117" spans="1:52" ht="12.75" customHeight="1" x14ac:dyDescent="0.2">
      <c r="A117" s="36"/>
      <c r="D117" s="500"/>
      <c r="E117" s="136"/>
      <c r="F117" s="54"/>
      <c r="G117" s="54"/>
      <c r="H117" s="54"/>
      <c r="I117" s="11"/>
      <c r="K117" s="11"/>
      <c r="M117" s="11"/>
      <c r="N117" s="11"/>
      <c r="O117" s="11"/>
      <c r="P117" s="11"/>
      <c r="Q117" s="11"/>
      <c r="R117" s="83"/>
      <c r="S117" s="83"/>
      <c r="U117" s="11"/>
      <c r="W117" s="11"/>
      <c r="X117" s="11"/>
      <c r="Y117" s="11"/>
      <c r="Z117" s="11"/>
      <c r="AA117" s="11"/>
      <c r="AB117" s="502"/>
      <c r="AC117" s="161"/>
      <c r="AD117" s="58"/>
      <c r="AE117" s="503"/>
      <c r="AF117" s="84"/>
      <c r="AG117" s="234"/>
      <c r="AH117" s="505"/>
      <c r="AI117" s="112"/>
      <c r="AJ117" s="41"/>
      <c r="AK117" s="112"/>
      <c r="AL117" s="234"/>
      <c r="AM117" s="84"/>
      <c r="AN117" s="84"/>
      <c r="AO117" s="84"/>
      <c r="AP117" s="84"/>
      <c r="AQ117" s="86"/>
      <c r="AR117" s="86"/>
      <c r="AS117" s="86"/>
      <c r="AU117" s="42"/>
      <c r="AV117" s="59"/>
      <c r="AW117" s="42"/>
    </row>
    <row r="118" spans="1:52" ht="12.75" customHeight="1" x14ac:dyDescent="0.2">
      <c r="A118" s="36"/>
      <c r="D118" s="500"/>
      <c r="E118" s="136"/>
      <c r="F118" s="54"/>
      <c r="G118" s="54"/>
      <c r="H118" s="54"/>
      <c r="I118" s="11"/>
      <c r="K118" s="11"/>
      <c r="M118" s="11"/>
      <c r="N118" s="11"/>
      <c r="O118" s="11"/>
      <c r="P118" s="11"/>
      <c r="Q118" s="11"/>
      <c r="R118" s="83"/>
      <c r="S118" s="83"/>
      <c r="U118" s="11"/>
      <c r="W118" s="11"/>
      <c r="X118" s="11"/>
      <c r="Y118" s="11"/>
      <c r="Z118" s="11"/>
      <c r="AA118" s="11"/>
      <c r="AB118" s="502"/>
      <c r="AC118" s="161"/>
      <c r="AD118" s="58"/>
      <c r="AE118" s="503"/>
      <c r="AF118" s="84"/>
      <c r="AG118" s="234"/>
      <c r="AH118" s="505"/>
      <c r="AI118" s="112"/>
      <c r="AJ118" s="41"/>
      <c r="AK118" s="112"/>
      <c r="AL118" s="234"/>
      <c r="AM118" s="84"/>
      <c r="AN118" s="84"/>
      <c r="AO118" s="84"/>
      <c r="AP118" s="84"/>
      <c r="AQ118" s="86"/>
      <c r="AR118" s="86"/>
      <c r="AS118" s="86"/>
      <c r="AU118" s="42"/>
      <c r="AV118" s="59"/>
      <c r="AW118" s="42"/>
    </row>
    <row r="119" spans="1:52" ht="12.75" customHeight="1" x14ac:dyDescent="0.2">
      <c r="A119" s="36"/>
      <c r="D119" s="500"/>
      <c r="E119" s="136"/>
      <c r="F119" s="54"/>
      <c r="G119" s="54"/>
      <c r="H119" s="54"/>
      <c r="I119" s="11"/>
      <c r="K119" s="11"/>
      <c r="M119" s="11"/>
      <c r="N119" s="11"/>
      <c r="O119" s="11"/>
      <c r="P119" s="11"/>
      <c r="Q119" s="11"/>
      <c r="R119" s="83"/>
      <c r="S119" s="83"/>
      <c r="U119" s="11"/>
      <c r="W119" s="11"/>
      <c r="X119" s="11"/>
      <c r="Y119" s="11"/>
      <c r="Z119" s="11"/>
      <c r="AA119" s="11"/>
      <c r="AB119" s="502"/>
      <c r="AC119" s="161"/>
      <c r="AD119" s="58"/>
      <c r="AE119" s="503"/>
      <c r="AF119" s="84"/>
      <c r="AG119" s="234"/>
      <c r="AH119" s="505"/>
      <c r="AI119" s="112"/>
      <c r="AJ119" s="41"/>
      <c r="AK119" s="112"/>
      <c r="AL119" s="234"/>
      <c r="AM119" s="84"/>
      <c r="AN119" s="84"/>
      <c r="AO119" s="84"/>
      <c r="AP119" s="84"/>
      <c r="AQ119" s="86"/>
      <c r="AR119" s="86"/>
      <c r="AS119" s="86"/>
      <c r="AU119" s="42"/>
      <c r="AV119" s="59"/>
      <c r="AW119" s="42"/>
    </row>
    <row r="120" spans="1:52" ht="12.75" customHeight="1" x14ac:dyDescent="0.2">
      <c r="A120" s="36"/>
      <c r="D120" s="500"/>
      <c r="E120" s="136"/>
      <c r="F120" s="54"/>
      <c r="G120" s="54"/>
      <c r="H120" s="54"/>
      <c r="I120" s="11"/>
      <c r="K120" s="11"/>
      <c r="M120" s="11"/>
      <c r="N120" s="11"/>
      <c r="O120" s="11"/>
      <c r="P120" s="11"/>
      <c r="Q120" s="11"/>
      <c r="R120" s="83"/>
      <c r="S120" s="83"/>
      <c r="U120" s="11"/>
      <c r="W120" s="11"/>
      <c r="X120" s="11"/>
      <c r="Y120" s="11"/>
      <c r="Z120" s="11"/>
      <c r="AA120" s="11"/>
      <c r="AB120" s="502"/>
      <c r="AC120" s="161"/>
      <c r="AD120" s="58"/>
      <c r="AE120" s="503"/>
      <c r="AF120" s="84"/>
      <c r="AG120" s="234"/>
      <c r="AH120" s="505"/>
      <c r="AI120" s="112"/>
      <c r="AJ120" s="41"/>
      <c r="AK120" s="112"/>
      <c r="AL120" s="234"/>
      <c r="AM120" s="84"/>
      <c r="AN120" s="84"/>
      <c r="AO120" s="84"/>
      <c r="AP120" s="84"/>
      <c r="AQ120" s="86"/>
      <c r="AR120" s="86"/>
      <c r="AS120" s="86"/>
      <c r="AU120" s="42"/>
      <c r="AV120" s="59"/>
      <c r="AW120" s="42"/>
    </row>
    <row r="121" spans="1:52" ht="12.75" customHeight="1" x14ac:dyDescent="0.2">
      <c r="A121" s="36"/>
      <c r="D121" s="500"/>
      <c r="E121" s="136"/>
      <c r="F121" s="54"/>
      <c r="G121" s="54"/>
      <c r="H121" s="54"/>
      <c r="I121" s="11"/>
      <c r="K121" s="11"/>
      <c r="M121" s="11"/>
      <c r="N121" s="11"/>
      <c r="O121" s="11"/>
      <c r="P121" s="11"/>
      <c r="Q121" s="11"/>
      <c r="R121" s="83"/>
      <c r="S121" s="83"/>
      <c r="U121" s="11"/>
      <c r="W121" s="11"/>
      <c r="X121" s="11"/>
      <c r="Y121" s="11"/>
      <c r="Z121" s="11"/>
      <c r="AA121" s="11"/>
      <c r="AB121" s="502"/>
      <c r="AC121" s="161"/>
      <c r="AD121" s="58"/>
      <c r="AE121" s="503"/>
      <c r="AF121" s="84"/>
      <c r="AG121" s="234"/>
      <c r="AH121" s="505"/>
      <c r="AI121" s="112"/>
      <c r="AJ121" s="41"/>
      <c r="AK121" s="112"/>
      <c r="AL121" s="234"/>
      <c r="AM121" s="84"/>
      <c r="AN121" s="84"/>
      <c r="AO121" s="84"/>
      <c r="AP121" s="84"/>
      <c r="AQ121" s="86"/>
      <c r="AR121" s="86"/>
      <c r="AS121" s="86"/>
      <c r="AU121" s="42"/>
      <c r="AV121" s="59"/>
      <c r="AW121" s="42"/>
    </row>
    <row r="122" spans="1:52" ht="12.75" customHeight="1" x14ac:dyDescent="0.2">
      <c r="A122" s="36"/>
      <c r="D122" s="500"/>
      <c r="E122" s="136"/>
      <c r="F122" s="54"/>
      <c r="G122" s="54"/>
      <c r="H122" s="54"/>
      <c r="I122" s="11"/>
      <c r="K122" s="11"/>
      <c r="M122" s="11"/>
      <c r="N122" s="11"/>
      <c r="O122" s="11"/>
      <c r="P122" s="11"/>
      <c r="Q122" s="11"/>
      <c r="R122" s="83"/>
      <c r="S122" s="83"/>
      <c r="U122" s="11"/>
      <c r="W122" s="11"/>
      <c r="X122" s="11"/>
      <c r="Y122" s="11"/>
      <c r="Z122" s="11"/>
      <c r="AA122" s="11"/>
      <c r="AB122" s="502"/>
      <c r="AC122" s="161"/>
      <c r="AD122" s="58"/>
      <c r="AE122" s="503"/>
      <c r="AF122" s="84"/>
      <c r="AG122" s="234"/>
      <c r="AH122" s="505"/>
      <c r="AI122" s="112"/>
      <c r="AJ122" s="41"/>
      <c r="AK122" s="112"/>
      <c r="AL122" s="234"/>
      <c r="AM122" s="84"/>
      <c r="AN122" s="84"/>
      <c r="AO122" s="84"/>
      <c r="AP122" s="84"/>
      <c r="AQ122" s="86"/>
      <c r="AR122" s="86"/>
      <c r="AS122" s="86"/>
      <c r="AU122" s="42"/>
      <c r="AV122" s="59"/>
      <c r="AW122" s="42"/>
    </row>
    <row r="123" spans="1:52" ht="12.75" customHeight="1" x14ac:dyDescent="0.2">
      <c r="A123" s="36"/>
      <c r="D123" s="500"/>
      <c r="E123" s="136"/>
      <c r="F123" s="54"/>
      <c r="G123" s="54"/>
      <c r="H123" s="54"/>
      <c r="I123" s="11"/>
      <c r="K123" s="11"/>
      <c r="M123" s="11"/>
      <c r="N123" s="11"/>
      <c r="O123" s="11"/>
      <c r="P123" s="11"/>
      <c r="Q123" s="11"/>
      <c r="R123" s="83"/>
      <c r="S123" s="83"/>
      <c r="U123" s="11"/>
      <c r="W123" s="11"/>
      <c r="X123" s="11"/>
      <c r="Y123" s="11"/>
      <c r="Z123" s="11"/>
      <c r="AA123" s="11"/>
      <c r="AB123" s="502"/>
      <c r="AC123" s="161"/>
      <c r="AD123" s="58"/>
      <c r="AE123" s="503"/>
      <c r="AF123" s="84"/>
      <c r="AG123" s="234"/>
      <c r="AH123" s="505"/>
      <c r="AI123" s="112"/>
      <c r="AJ123" s="41"/>
      <c r="AK123" s="112"/>
      <c r="AL123" s="234"/>
      <c r="AM123" s="84"/>
      <c r="AN123" s="84"/>
      <c r="AO123" s="84"/>
      <c r="AP123" s="84"/>
      <c r="AQ123" s="86"/>
      <c r="AR123" s="86"/>
      <c r="AS123" s="86"/>
      <c r="AU123" s="42"/>
      <c r="AV123" s="59"/>
      <c r="AW123" s="42"/>
    </row>
    <row r="124" spans="1:52" ht="12.75" customHeight="1" x14ac:dyDescent="0.2">
      <c r="A124" s="36"/>
      <c r="D124" s="500"/>
      <c r="E124" s="136"/>
      <c r="F124" s="54"/>
      <c r="G124" s="54"/>
      <c r="H124" s="54"/>
      <c r="I124" s="11"/>
      <c r="K124" s="11"/>
      <c r="M124" s="11"/>
      <c r="N124" s="11"/>
      <c r="O124" s="11"/>
      <c r="P124" s="11"/>
      <c r="Q124" s="11"/>
      <c r="R124" s="83"/>
      <c r="S124" s="83"/>
      <c r="U124" s="11"/>
      <c r="W124" s="11"/>
      <c r="X124" s="11"/>
      <c r="Y124" s="11"/>
      <c r="Z124" s="11"/>
      <c r="AA124" s="11"/>
      <c r="AB124" s="502"/>
      <c r="AC124" s="161"/>
      <c r="AD124" s="58"/>
      <c r="AE124" s="503"/>
      <c r="AF124" s="84"/>
      <c r="AG124" s="234"/>
      <c r="AH124" s="505"/>
      <c r="AI124" s="112"/>
      <c r="AJ124" s="41"/>
      <c r="AK124" s="112"/>
      <c r="AL124" s="234"/>
      <c r="AM124" s="84"/>
      <c r="AN124" s="84"/>
      <c r="AO124" s="84"/>
      <c r="AP124" s="84"/>
      <c r="AQ124" s="86"/>
      <c r="AR124" s="86"/>
      <c r="AS124" s="86"/>
      <c r="AU124" s="42"/>
      <c r="AV124" s="59"/>
      <c r="AW124" s="42"/>
    </row>
    <row r="125" spans="1:52" ht="12.75" customHeight="1" x14ac:dyDescent="0.2">
      <c r="A125" s="36"/>
      <c r="D125" s="500"/>
      <c r="E125" s="136"/>
      <c r="F125" s="54"/>
      <c r="G125" s="54"/>
      <c r="H125" s="54"/>
      <c r="I125" s="11"/>
      <c r="K125" s="11"/>
      <c r="M125" s="11"/>
      <c r="N125" s="11"/>
      <c r="O125" s="11"/>
      <c r="P125" s="11"/>
      <c r="Q125" s="11"/>
      <c r="R125" s="83"/>
      <c r="S125" s="83"/>
      <c r="U125" s="11"/>
      <c r="W125" s="11"/>
      <c r="X125" s="11"/>
      <c r="Y125" s="11"/>
      <c r="Z125" s="11"/>
      <c r="AA125" s="11"/>
      <c r="AB125" s="502"/>
      <c r="AC125" s="161"/>
      <c r="AD125" s="58"/>
      <c r="AE125" s="503"/>
      <c r="AF125" s="84"/>
      <c r="AG125" s="234"/>
      <c r="AH125" s="505"/>
      <c r="AI125" s="112"/>
      <c r="AJ125" s="41"/>
      <c r="AK125" s="112"/>
      <c r="AL125" s="234"/>
      <c r="AM125" s="84"/>
      <c r="AN125" s="84"/>
      <c r="AO125" s="84"/>
      <c r="AP125" s="84"/>
      <c r="AQ125" s="86"/>
      <c r="AR125" s="86"/>
      <c r="AS125" s="86"/>
      <c r="AU125" s="42"/>
      <c r="AV125" s="59"/>
      <c r="AW125" s="42"/>
    </row>
    <row r="126" spans="1:52" ht="12.75" customHeight="1" x14ac:dyDescent="0.2">
      <c r="A126" s="36"/>
      <c r="D126" s="500"/>
      <c r="E126" s="136"/>
      <c r="F126" s="54"/>
      <c r="G126" s="54"/>
      <c r="H126" s="54"/>
      <c r="I126" s="11"/>
      <c r="K126" s="11"/>
      <c r="M126" s="11"/>
      <c r="N126" s="11"/>
      <c r="O126" s="11"/>
      <c r="P126" s="11"/>
      <c r="Q126" s="11"/>
      <c r="R126" s="83"/>
      <c r="S126" s="83"/>
      <c r="U126" s="11"/>
      <c r="W126" s="11"/>
      <c r="X126" s="11"/>
      <c r="Y126" s="11"/>
      <c r="Z126" s="11"/>
      <c r="AA126" s="11"/>
      <c r="AB126" s="502"/>
      <c r="AC126" s="161"/>
      <c r="AD126" s="58"/>
      <c r="AE126" s="503"/>
      <c r="AF126" s="84"/>
      <c r="AG126" s="234"/>
      <c r="AH126" s="505"/>
      <c r="AI126" s="112"/>
      <c r="AJ126" s="41"/>
      <c r="AK126" s="112"/>
      <c r="AL126" s="234"/>
      <c r="AM126" s="84"/>
      <c r="AN126" s="84"/>
      <c r="AO126" s="84"/>
      <c r="AP126" s="84"/>
      <c r="AQ126" s="86"/>
      <c r="AR126" s="86"/>
      <c r="AS126" s="86"/>
      <c r="AU126" s="42"/>
      <c r="AV126" s="59"/>
      <c r="AW126" s="42"/>
    </row>
    <row r="127" spans="1:52" ht="12.75" customHeight="1" x14ac:dyDescent="0.2">
      <c r="A127" s="173"/>
      <c r="D127" s="500"/>
      <c r="E127" s="136"/>
      <c r="F127" s="54"/>
      <c r="G127" s="54"/>
      <c r="H127" s="54"/>
      <c r="I127" s="11"/>
      <c r="K127" s="11"/>
      <c r="M127" s="11"/>
      <c r="N127" s="11"/>
      <c r="O127" s="11"/>
      <c r="P127" s="11"/>
      <c r="Q127" s="11"/>
      <c r="R127" s="83"/>
      <c r="S127" s="83"/>
      <c r="U127" s="11"/>
      <c r="W127" s="11"/>
      <c r="X127" s="11"/>
      <c r="Y127" s="11"/>
      <c r="Z127" s="11"/>
      <c r="AA127" s="11"/>
      <c r="AB127" s="502"/>
      <c r="AC127" s="161"/>
      <c r="AD127" s="58"/>
      <c r="AE127" s="503"/>
      <c r="AF127" s="84"/>
      <c r="AG127" s="234"/>
      <c r="AH127" s="505"/>
      <c r="AI127" s="112"/>
      <c r="AJ127" s="41"/>
      <c r="AK127" s="112"/>
      <c r="AL127" s="234"/>
      <c r="AM127" s="84"/>
      <c r="AN127" s="84"/>
      <c r="AO127" s="84"/>
      <c r="AP127" s="84"/>
      <c r="AQ127" s="86"/>
      <c r="AR127" s="86"/>
      <c r="AS127" s="86"/>
      <c r="AU127" s="42"/>
      <c r="AV127" s="59"/>
      <c r="AW127" s="42"/>
    </row>
    <row r="128" spans="1:52" ht="12.75" customHeight="1" x14ac:dyDescent="0.2">
      <c r="A128" s="48"/>
      <c r="B128" s="77"/>
      <c r="C128" s="77"/>
      <c r="D128" s="77"/>
      <c r="E128" s="90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 s="162"/>
      <c r="Q128" s="162"/>
      <c r="R128" s="90"/>
      <c r="S128" s="90"/>
      <c r="T128" s="162"/>
      <c r="U128" s="162"/>
      <c r="V128" s="162"/>
      <c r="W128" s="162"/>
      <c r="X128" s="162"/>
      <c r="Y128" s="162"/>
      <c r="Z128" s="162"/>
      <c r="AA128" s="162"/>
      <c r="AB128" s="90"/>
      <c r="AC128" s="91"/>
      <c r="AD128" s="78"/>
      <c r="AE128" s="503"/>
      <c r="AF128" s="92"/>
      <c r="AG128" s="234"/>
      <c r="AH128" s="514"/>
      <c r="AI128" s="126"/>
      <c r="AJ128" s="121"/>
      <c r="AK128" s="127"/>
      <c r="AL128" s="234"/>
      <c r="AM128" s="92"/>
      <c r="AN128" s="93"/>
      <c r="AO128" s="94"/>
      <c r="AP128" s="94"/>
      <c r="AQ128" s="94"/>
      <c r="AR128" s="94"/>
      <c r="AS128" s="94"/>
    </row>
    <row r="129" spans="1:40" ht="14.25" x14ac:dyDescent="0.2"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R129" s="74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80"/>
      <c r="AD129" s="81"/>
      <c r="AE129" s="74"/>
      <c r="AF129" s="74"/>
      <c r="AG129" s="11"/>
      <c r="AH129" s="11"/>
      <c r="AK129" s="11"/>
      <c r="AL129" s="11"/>
    </row>
    <row r="130" spans="1:40" ht="25.5" x14ac:dyDescent="0.2">
      <c r="A130" s="623" t="s">
        <v>323</v>
      </c>
      <c r="B130" s="623"/>
      <c r="C130" s="61" t="s">
        <v>144</v>
      </c>
      <c r="D130" s="61" t="s">
        <v>176</v>
      </c>
      <c r="E130" s="61" t="s">
        <v>159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11"/>
      <c r="AG130" s="11"/>
      <c r="AH130" s="11"/>
      <c r="AI130" s="11"/>
      <c r="AJ130" s="11"/>
      <c r="AK130" s="11"/>
      <c r="AM130" s="11"/>
      <c r="AN130" s="11"/>
    </row>
    <row r="131" spans="1:40" ht="12.75" customHeight="1" x14ac:dyDescent="0.2">
      <c r="A131" s="176" t="s">
        <v>324</v>
      </c>
      <c r="B131" s="176"/>
      <c r="C131" s="515">
        <v>108160.625</v>
      </c>
      <c r="D131" s="515">
        <f>+C131*0.8</f>
        <v>86528.5</v>
      </c>
      <c r="E131" s="515">
        <f>(C131+D131)*0.33</f>
        <v>64247.411250000005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</row>
    <row r="132" spans="1:40" ht="15" x14ac:dyDescent="0.2">
      <c r="A132" s="176" t="s">
        <v>325</v>
      </c>
      <c r="B132" s="176"/>
      <c r="C132" s="515">
        <v>108160.625</v>
      </c>
      <c r="D132" s="515">
        <f t="shared" ref="D132:D156" si="17">+C132*0.8</f>
        <v>86528.5</v>
      </c>
      <c r="E132" s="515">
        <f>(C132+D132)*0.22</f>
        <v>42831.607499999998</v>
      </c>
      <c r="R132" s="516"/>
    </row>
    <row r="133" spans="1:40" x14ac:dyDescent="0.2">
      <c r="A133" s="176" t="s">
        <v>326</v>
      </c>
      <c r="B133" s="176"/>
      <c r="C133" s="515">
        <v>110425.25</v>
      </c>
      <c r="D133" s="515">
        <f t="shared" si="17"/>
        <v>88340.200000000012</v>
      </c>
      <c r="E133" s="515">
        <f>(C133+D133)*0.33</f>
        <v>65592.598500000007</v>
      </c>
    </row>
    <row r="134" spans="1:40" x14ac:dyDescent="0.2">
      <c r="A134" s="176" t="s">
        <v>327</v>
      </c>
      <c r="B134" s="176"/>
      <c r="C134" s="515">
        <v>110425.25</v>
      </c>
      <c r="D134" s="515">
        <f t="shared" si="17"/>
        <v>88340.200000000012</v>
      </c>
      <c r="E134" s="515">
        <f>(C134+D134)*0.22</f>
        <v>43728.399000000005</v>
      </c>
      <c r="R134" s="11"/>
    </row>
    <row r="135" spans="1:40" x14ac:dyDescent="0.2">
      <c r="A135" s="176" t="s">
        <v>206</v>
      </c>
      <c r="B135" s="176"/>
      <c r="C135" s="515">
        <v>112810.34999999999</v>
      </c>
      <c r="D135" s="515">
        <f t="shared" si="17"/>
        <v>90248.28</v>
      </c>
      <c r="E135" s="515">
        <f>(C135+D135)*0.33</f>
        <v>67009.347900000008</v>
      </c>
    </row>
    <row r="136" spans="1:40" x14ac:dyDescent="0.2">
      <c r="A136" s="176" t="s">
        <v>328</v>
      </c>
      <c r="B136" s="176"/>
      <c r="C136" s="515">
        <v>112810.34999999999</v>
      </c>
      <c r="D136" s="515">
        <f t="shared" si="17"/>
        <v>90248.28</v>
      </c>
      <c r="E136" s="515">
        <f>(C136+D136)*0.22</f>
        <v>44672.8986</v>
      </c>
    </row>
    <row r="137" spans="1:40" x14ac:dyDescent="0.2">
      <c r="A137" s="176" t="s">
        <v>329</v>
      </c>
      <c r="B137" s="176"/>
      <c r="C137" s="515">
        <v>115900</v>
      </c>
      <c r="D137" s="515">
        <f t="shared" si="17"/>
        <v>92720</v>
      </c>
      <c r="E137" s="515">
        <f>(C137+D137)*0.33</f>
        <v>68844.600000000006</v>
      </c>
    </row>
    <row r="138" spans="1:40" x14ac:dyDescent="0.2">
      <c r="A138" s="176" t="s">
        <v>330</v>
      </c>
      <c r="B138" s="176"/>
      <c r="C138" s="515">
        <v>115900</v>
      </c>
      <c r="D138" s="515">
        <f t="shared" si="17"/>
        <v>92720</v>
      </c>
      <c r="E138" s="515">
        <f>(C138+D138)*0.22</f>
        <v>45896.4</v>
      </c>
    </row>
    <row r="139" spans="1:40" x14ac:dyDescent="0.2">
      <c r="A139" s="176" t="s">
        <v>331</v>
      </c>
      <c r="B139" s="176"/>
      <c r="C139" s="515">
        <v>118799.02499999999</v>
      </c>
      <c r="D139" s="515">
        <f t="shared" si="17"/>
        <v>95039.22</v>
      </c>
      <c r="E139" s="515">
        <f>(C139+D139)*0.33</f>
        <v>70566.620850000007</v>
      </c>
    </row>
    <row r="140" spans="1:40" x14ac:dyDescent="0.2">
      <c r="A140" s="176" t="s">
        <v>332</v>
      </c>
      <c r="B140" s="176"/>
      <c r="C140" s="515">
        <v>118799.02499999999</v>
      </c>
      <c r="D140" s="515">
        <f t="shared" si="17"/>
        <v>95039.22</v>
      </c>
      <c r="E140" s="515">
        <f>(C140+D140)*0.22</f>
        <v>47044.4139</v>
      </c>
    </row>
    <row r="141" spans="1:40" x14ac:dyDescent="0.2">
      <c r="A141" s="176" t="s">
        <v>333</v>
      </c>
      <c r="B141" s="176"/>
      <c r="C141" s="515">
        <v>122228.75</v>
      </c>
      <c r="D141" s="515">
        <f t="shared" si="17"/>
        <v>97783</v>
      </c>
      <c r="E141" s="515">
        <f>(C141+D141)*0.33</f>
        <v>72603.877500000002</v>
      </c>
    </row>
    <row r="142" spans="1:40" x14ac:dyDescent="0.2">
      <c r="A142" s="176" t="s">
        <v>334</v>
      </c>
      <c r="B142" s="176"/>
      <c r="C142" s="515">
        <v>122228.75</v>
      </c>
      <c r="D142" s="515">
        <f t="shared" si="17"/>
        <v>97783</v>
      </c>
      <c r="E142" s="515">
        <f>(C142+D142)*0.22</f>
        <v>48402.584999999999</v>
      </c>
    </row>
    <row r="143" spans="1:40" ht="14.25" customHeight="1" x14ac:dyDescent="0.2">
      <c r="A143" s="176" t="s">
        <v>335</v>
      </c>
      <c r="B143" s="176"/>
      <c r="C143" s="515">
        <v>126979.12499999999</v>
      </c>
      <c r="D143" s="515">
        <f t="shared" si="17"/>
        <v>101583.29999999999</v>
      </c>
      <c r="E143" s="515">
        <f>(C143+D143)*0.33</f>
        <v>75425.600250000003</v>
      </c>
    </row>
    <row r="144" spans="1:40" ht="12.75" customHeight="1" x14ac:dyDescent="0.2">
      <c r="A144" s="176" t="s">
        <v>202</v>
      </c>
      <c r="B144" s="176"/>
      <c r="C144" s="515">
        <v>126979.12499999999</v>
      </c>
      <c r="D144" s="515">
        <f t="shared" si="17"/>
        <v>101583.29999999999</v>
      </c>
      <c r="E144" s="515">
        <f>(C144+D144)*0.22</f>
        <v>50283.733499999995</v>
      </c>
    </row>
    <row r="145" spans="1:15" x14ac:dyDescent="0.2">
      <c r="A145" s="176" t="s">
        <v>229</v>
      </c>
      <c r="B145" s="176"/>
      <c r="C145" s="515">
        <v>132220.54999999999</v>
      </c>
      <c r="D145" s="515">
        <f t="shared" si="17"/>
        <v>105776.44</v>
      </c>
      <c r="E145" s="515">
        <f>(C145+D145)*0.33</f>
        <v>78539.006699999998</v>
      </c>
    </row>
    <row r="146" spans="1:15" x14ac:dyDescent="0.2">
      <c r="A146" s="176" t="s">
        <v>217</v>
      </c>
      <c r="B146" s="176"/>
      <c r="C146" s="515">
        <v>132220.54999999999</v>
      </c>
      <c r="D146" s="515">
        <f t="shared" si="17"/>
        <v>105776.44</v>
      </c>
      <c r="E146" s="515">
        <f>(C146+D146)*0.22</f>
        <v>52359.337800000001</v>
      </c>
    </row>
    <row r="147" spans="1:15" x14ac:dyDescent="0.2">
      <c r="A147" s="176" t="s">
        <v>336</v>
      </c>
      <c r="B147" s="176"/>
      <c r="C147" s="515">
        <v>139609.17499999999</v>
      </c>
      <c r="D147" s="515">
        <f t="shared" si="17"/>
        <v>111687.34</v>
      </c>
      <c r="E147" s="515">
        <f>(C147+D147)*0.33</f>
        <v>82927.849950000003</v>
      </c>
    </row>
    <row r="148" spans="1:15" x14ac:dyDescent="0.2">
      <c r="A148" s="176" t="s">
        <v>337</v>
      </c>
      <c r="B148" s="176"/>
      <c r="C148" s="515">
        <v>139609.17499999999</v>
      </c>
      <c r="D148" s="515">
        <f t="shared" si="17"/>
        <v>111687.34</v>
      </c>
      <c r="E148" s="515">
        <f>(C148+D148)*0.22</f>
        <v>55285.2333</v>
      </c>
    </row>
    <row r="149" spans="1:15" x14ac:dyDescent="0.2">
      <c r="A149" s="176" t="s">
        <v>338</v>
      </c>
      <c r="B149" s="176"/>
      <c r="C149" s="515">
        <v>150093.54999999999</v>
      </c>
      <c r="D149" s="515">
        <f t="shared" si="17"/>
        <v>120074.84</v>
      </c>
      <c r="E149" s="515">
        <f>(C149+D149)*0.33</f>
        <v>89155.568700000003</v>
      </c>
    </row>
    <row r="150" spans="1:15" x14ac:dyDescent="0.2">
      <c r="A150" s="176" t="s">
        <v>200</v>
      </c>
      <c r="B150" s="176"/>
      <c r="C150" s="515">
        <v>150093.54999999999</v>
      </c>
      <c r="D150" s="515">
        <f t="shared" si="17"/>
        <v>120074.84</v>
      </c>
      <c r="E150" s="515">
        <f>(C150+D150)*0.22</f>
        <v>59437.0458</v>
      </c>
    </row>
    <row r="151" spans="1:15" x14ac:dyDescent="0.2">
      <c r="A151" s="176" t="s">
        <v>339</v>
      </c>
      <c r="B151" s="176"/>
      <c r="C151" s="515">
        <v>159226.77499999999</v>
      </c>
      <c r="D151" s="515">
        <f t="shared" si="17"/>
        <v>127381.42</v>
      </c>
      <c r="E151" s="515">
        <f>(C151+D151)*0.33</f>
        <v>94580.70435</v>
      </c>
    </row>
    <row r="152" spans="1:15" x14ac:dyDescent="0.2">
      <c r="A152" s="176" t="s">
        <v>340</v>
      </c>
      <c r="B152" s="176"/>
      <c r="C152" s="515">
        <v>159226.77499999999</v>
      </c>
      <c r="D152" s="515">
        <f t="shared" si="17"/>
        <v>127381.42</v>
      </c>
      <c r="E152" s="515">
        <f>(C152+D152)*0.22</f>
        <v>63053.802900000002</v>
      </c>
    </row>
    <row r="153" spans="1:15" x14ac:dyDescent="0.2">
      <c r="A153" s="176" t="s">
        <v>207</v>
      </c>
      <c r="B153" s="176"/>
      <c r="C153" s="515">
        <v>168119.05</v>
      </c>
      <c r="D153" s="515">
        <f t="shared" si="17"/>
        <v>134495.24</v>
      </c>
      <c r="E153" s="515">
        <f>(C153+D153)*0.33</f>
        <v>99862.715700000001</v>
      </c>
      <c r="F153" s="36"/>
      <c r="G153" s="36"/>
      <c r="H153" s="36"/>
      <c r="I153" s="36"/>
      <c r="J153" s="36"/>
      <c r="K153" s="36"/>
      <c r="L153" s="36"/>
      <c r="M153" s="36"/>
      <c r="N153" s="36"/>
      <c r="O153" s="36"/>
    </row>
    <row r="154" spans="1:15" x14ac:dyDescent="0.2">
      <c r="A154" s="176" t="s">
        <v>192</v>
      </c>
      <c r="B154" s="176"/>
      <c r="C154" s="515">
        <v>168119.05</v>
      </c>
      <c r="D154" s="515">
        <f t="shared" si="17"/>
        <v>134495.24</v>
      </c>
      <c r="E154" s="515">
        <f>(C154+D154)*0.22</f>
        <v>66575.143799999991</v>
      </c>
      <c r="F154" s="69"/>
      <c r="G154" s="69"/>
      <c r="H154" s="69"/>
      <c r="I154" s="69"/>
      <c r="J154" s="69"/>
      <c r="K154" s="69"/>
      <c r="L154" s="69"/>
      <c r="M154" s="69"/>
      <c r="N154" s="69"/>
      <c r="O154" s="69"/>
    </row>
    <row r="155" spans="1:15" x14ac:dyDescent="0.2">
      <c r="A155" s="176" t="s">
        <v>505</v>
      </c>
      <c r="B155" s="176"/>
      <c r="C155" s="515">
        <v>176459.27499999999</v>
      </c>
      <c r="D155" s="515">
        <f t="shared" si="17"/>
        <v>141167.42000000001</v>
      </c>
      <c r="E155" s="515">
        <f>(C155+D155)*0.33</f>
        <v>104816.80935000001</v>
      </c>
      <c r="F155" s="69"/>
      <c r="G155" s="69"/>
      <c r="H155" s="69"/>
      <c r="I155" s="69"/>
      <c r="J155" s="69"/>
      <c r="K155" s="69"/>
      <c r="L155" s="69"/>
      <c r="M155" s="69"/>
      <c r="N155" s="69"/>
      <c r="O155" s="69"/>
    </row>
    <row r="156" spans="1:15" x14ac:dyDescent="0.2">
      <c r="A156" s="176" t="s">
        <v>502</v>
      </c>
      <c r="B156" s="176"/>
      <c r="C156" s="515">
        <v>176459.27499999999</v>
      </c>
      <c r="D156" s="515">
        <f t="shared" si="17"/>
        <v>141167.42000000001</v>
      </c>
      <c r="E156" s="515">
        <f>(C156+D156)*0.22</f>
        <v>69877.872900000002</v>
      </c>
      <c r="F156" s="69"/>
      <c r="G156" s="69"/>
      <c r="H156" s="69"/>
      <c r="I156" s="69"/>
      <c r="J156" s="69"/>
      <c r="K156" s="69"/>
      <c r="L156" s="69"/>
      <c r="M156" s="69"/>
      <c r="N156" s="69"/>
      <c r="O156" s="69"/>
    </row>
    <row r="157" spans="1:15" x14ac:dyDescent="0.2">
      <c r="A157" s="176"/>
      <c r="B157" s="176"/>
      <c r="C157" s="515"/>
      <c r="D157" s="515"/>
      <c r="E157" s="515"/>
      <c r="F157" s="69"/>
      <c r="G157" s="69"/>
      <c r="H157" s="69"/>
      <c r="I157" s="69"/>
      <c r="J157" s="69"/>
      <c r="K157" s="69"/>
      <c r="L157" s="69"/>
      <c r="M157" s="69"/>
      <c r="N157" s="69"/>
      <c r="O157" s="69"/>
    </row>
    <row r="158" spans="1:15" x14ac:dyDescent="0.2">
      <c r="A158" s="176"/>
      <c r="B158" s="176"/>
      <c r="D158" s="11"/>
      <c r="F158" s="36"/>
      <c r="G158" s="36"/>
      <c r="H158" s="36"/>
      <c r="I158" s="36"/>
      <c r="J158" s="36"/>
      <c r="K158" s="36"/>
      <c r="L158" s="36"/>
      <c r="M158" s="36"/>
      <c r="N158" s="36"/>
      <c r="O158" s="36"/>
    </row>
    <row r="159" spans="1:15" x14ac:dyDescent="0.2">
      <c r="A159" s="176" t="s">
        <v>341</v>
      </c>
      <c r="B159" s="515">
        <v>1447.2249999999999</v>
      </c>
      <c r="D159" s="11"/>
      <c r="F159" s="36"/>
      <c r="G159" s="36"/>
      <c r="H159" s="36"/>
      <c r="I159" s="36"/>
      <c r="J159" s="36"/>
      <c r="K159" s="36"/>
      <c r="L159" s="36"/>
      <c r="M159" s="36"/>
      <c r="N159" s="36"/>
      <c r="O159" s="36"/>
    </row>
    <row r="160" spans="1:15" x14ac:dyDescent="0.2">
      <c r="A160" s="176" t="s">
        <v>342</v>
      </c>
      <c r="B160" s="515">
        <v>1447.2249999999999</v>
      </c>
      <c r="D160" s="11"/>
      <c r="F160" s="36"/>
      <c r="G160" s="36"/>
      <c r="H160" s="36"/>
      <c r="I160" s="36"/>
      <c r="J160" s="36"/>
      <c r="K160" s="36"/>
      <c r="L160" s="36"/>
      <c r="M160" s="36"/>
      <c r="N160" s="36"/>
      <c r="O160" s="36"/>
    </row>
    <row r="161" spans="1:17" x14ac:dyDescent="0.2">
      <c r="A161" s="176" t="s">
        <v>343</v>
      </c>
      <c r="B161" s="515">
        <v>60316.799999999996</v>
      </c>
      <c r="D161" s="11"/>
      <c r="F161" s="36"/>
      <c r="G161" s="36"/>
      <c r="H161" s="36"/>
      <c r="I161" s="36"/>
      <c r="J161" s="36"/>
      <c r="K161" s="36"/>
      <c r="L161" s="36"/>
      <c r="M161" s="36"/>
      <c r="N161" s="36"/>
      <c r="O161" s="36"/>
    </row>
    <row r="162" spans="1:17" x14ac:dyDescent="0.2">
      <c r="A162" s="176" t="s">
        <v>344</v>
      </c>
      <c r="B162" s="515">
        <v>0</v>
      </c>
    </row>
    <row r="163" spans="1:17" x14ac:dyDescent="0.2">
      <c r="A163" s="176" t="s">
        <v>345</v>
      </c>
      <c r="B163" s="515">
        <v>4483.5</v>
      </c>
      <c r="D163" s="82"/>
    </row>
    <row r="164" spans="1:17" x14ac:dyDescent="0.2">
      <c r="D164" s="82"/>
      <c r="P164" s="74"/>
      <c r="Q164" s="74"/>
    </row>
    <row r="165" spans="1:17" x14ac:dyDescent="0.2">
      <c r="A165" s="36" t="s">
        <v>346</v>
      </c>
      <c r="B165" s="517"/>
      <c r="D165" s="29"/>
    </row>
    <row r="166" spans="1:17" x14ac:dyDescent="0.2">
      <c r="D166" s="82"/>
    </row>
    <row r="167" spans="1:17" x14ac:dyDescent="0.2">
      <c r="A167" s="289" t="s">
        <v>499</v>
      </c>
      <c r="B167" s="32">
        <f>3795*1.22</f>
        <v>4629.8999999999996</v>
      </c>
      <c r="D167" s="82"/>
    </row>
    <row r="168" spans="1:17" x14ac:dyDescent="0.2">
      <c r="A168" s="289" t="s">
        <v>500</v>
      </c>
      <c r="B168" s="32">
        <f>5885*1.22</f>
        <v>7179.7</v>
      </c>
      <c r="D168" s="82"/>
    </row>
    <row r="169" spans="1:17" x14ac:dyDescent="0.2">
      <c r="D169" s="82"/>
    </row>
    <row r="170" spans="1:17" x14ac:dyDescent="0.2">
      <c r="D170" s="82"/>
    </row>
    <row r="171" spans="1:17" x14ac:dyDescent="0.2">
      <c r="D171" s="82"/>
    </row>
    <row r="172" spans="1:17" x14ac:dyDescent="0.2">
      <c r="D172" s="82"/>
    </row>
    <row r="173" spans="1:17" x14ac:dyDescent="0.2">
      <c r="D173" s="82"/>
    </row>
    <row r="174" spans="1:17" x14ac:dyDescent="0.2">
      <c r="D174" s="82"/>
    </row>
    <row r="175" spans="1:17" x14ac:dyDescent="0.2">
      <c r="D175" s="82"/>
    </row>
    <row r="176" spans="1:17" x14ac:dyDescent="0.2">
      <c r="D176" s="82"/>
    </row>
    <row r="177" spans="4:4" x14ac:dyDescent="0.2">
      <c r="D177" s="82"/>
    </row>
    <row r="178" spans="4:4" x14ac:dyDescent="0.2">
      <c r="D178" s="82"/>
    </row>
    <row r="179" spans="4:4" x14ac:dyDescent="0.2">
      <c r="D179" s="82"/>
    </row>
    <row r="180" spans="4:4" x14ac:dyDescent="0.2">
      <c r="D180" s="82"/>
    </row>
    <row r="181" spans="4:4" x14ac:dyDescent="0.2">
      <c r="D181" s="82"/>
    </row>
    <row r="182" spans="4:4" ht="15" customHeight="1" x14ac:dyDescent="0.2">
      <c r="D182" s="82"/>
    </row>
    <row r="183" spans="4:4" ht="16.5" customHeight="1" x14ac:dyDescent="0.2">
      <c r="D183" s="82"/>
    </row>
    <row r="184" spans="4:4" ht="12" customHeight="1" x14ac:dyDescent="0.2">
      <c r="D184" s="82"/>
    </row>
    <row r="185" spans="4:4" ht="15.75" customHeight="1" x14ac:dyDescent="0.2">
      <c r="D185" s="82"/>
    </row>
    <row r="186" spans="4:4" ht="17.25" customHeight="1" x14ac:dyDescent="0.2">
      <c r="D186" s="82"/>
    </row>
    <row r="187" spans="4:4" ht="17.25" customHeight="1" x14ac:dyDescent="0.2">
      <c r="D187" s="82"/>
    </row>
    <row r="188" spans="4:4" ht="16.5" customHeight="1" x14ac:dyDescent="0.2">
      <c r="D188" s="82"/>
    </row>
    <row r="189" spans="4:4" ht="15" customHeight="1" x14ac:dyDescent="0.2">
      <c r="D189" s="82"/>
    </row>
    <row r="190" spans="4:4" ht="15" customHeight="1" x14ac:dyDescent="0.2">
      <c r="D190" s="82"/>
    </row>
    <row r="191" spans="4:4" x14ac:dyDescent="0.2">
      <c r="D191" s="82"/>
    </row>
    <row r="192" spans="4:4" x14ac:dyDescent="0.2">
      <c r="D192" s="82"/>
    </row>
    <row r="193" spans="4:17" x14ac:dyDescent="0.2">
      <c r="D193" s="82"/>
    </row>
    <row r="194" spans="4:17" x14ac:dyDescent="0.2">
      <c r="D194" s="82"/>
    </row>
    <row r="195" spans="4:17" x14ac:dyDescent="0.2">
      <c r="D195" s="82"/>
    </row>
    <row r="196" spans="4:17" x14ac:dyDescent="0.2">
      <c r="D196" s="82"/>
    </row>
    <row r="197" spans="4:17" x14ac:dyDescent="0.2">
      <c r="D197" s="11"/>
      <c r="E197" s="11"/>
      <c r="P197" s="11"/>
      <c r="Q197" s="11"/>
    </row>
    <row r="198" spans="4:17" x14ac:dyDescent="0.2">
      <c r="D198" s="11"/>
      <c r="E198" s="11"/>
      <c r="P198" s="11"/>
      <c r="Q198" s="11"/>
    </row>
  </sheetData>
  <sheetProtection password="CA17" sheet="1" formatCells="0" formatColumns="0" formatRows="0" insertRows="0" insertHyperlinks="0" deleteRows="0" sort="0" autoFilter="0" pivotTables="0"/>
  <customSheetViews>
    <customSheetView guid="{1DB1CDF8-B399-46E9-9F00-21524E82CD13}" scale="75" fitToPage="1" hiddenColumns="1" showRuler="0" topLeftCell="A3">
      <selection activeCell="G146" sqref="G146"/>
      <pageMargins left="0.75" right="0.75" top="0.39370078740157483" bottom="1" header="0" footer="0"/>
      <pageSetup paperSize="9" scale="18" fitToWidth="2" orientation="landscape" r:id="rId1"/>
      <headerFooter alignWithMargins="0"/>
    </customSheetView>
    <customSheetView guid="{FD728909-0D0B-441A-8E6A-F7FBB3EE0FF4}" scale="75" fitToPage="1" hiddenColumns="1" topLeftCell="A3">
      <selection activeCell="G146" sqref="G146"/>
      <pageMargins left="0.75" right="0.75" top="0.39370078740157483" bottom="1" header="0" footer="0"/>
      <pageSetup paperSize="9" scale="18" fitToWidth="2" orientation="landscape" r:id="rId2"/>
      <headerFooter alignWithMargins="0"/>
    </customSheetView>
    <customSheetView guid="{3E10442F-E643-4030-87D8-6F3C29ED4323}" scale="85" fitToPage="1" hiddenColumns="1" showRuler="0">
      <pageMargins left="0.75" right="0.75" top="0.39370078740157483" bottom="1" header="0" footer="0"/>
      <pageSetup paperSize="9" scale="18" fitToWidth="2" orientation="landscape" r:id="rId3"/>
      <headerFooter alignWithMargins="0"/>
    </customSheetView>
    <customSheetView guid="{62D5B631-A5F0-449E-B42C-AE7ECEC2A7D1}" scale="75" fitToPage="1" hiddenColumns="1" topLeftCell="A3">
      <selection activeCell="G146" sqref="G146"/>
      <pageMargins left="0.75" right="0.75" top="0.39370078740157483" bottom="1" header="0" footer="0"/>
      <pageSetup paperSize="9" scale="18" fitToWidth="2" orientation="landscape" r:id="rId4"/>
      <headerFooter alignWithMargins="0"/>
    </customSheetView>
    <customSheetView guid="{F95940C3-2AB4-49FF-ABAA-F9CFD2FCC6F5}" scale="75" fitToPage="1" hiddenColumns="1" topLeftCell="A3">
      <selection activeCell="G146" sqref="G146"/>
      <pageMargins left="0.75" right="0.75" top="0.39370078740157483" bottom="1" header="0" footer="0"/>
      <pageSetup paperSize="9" scale="18" fitToWidth="2" orientation="landscape" r:id="rId5"/>
      <headerFooter alignWithMargins="0"/>
    </customSheetView>
  </customSheetViews>
  <mergeCells count="57">
    <mergeCell ref="AN54:AN55"/>
    <mergeCell ref="AS54:AS55"/>
    <mergeCell ref="AD24:AD25"/>
    <mergeCell ref="AJ24:AJ25"/>
    <mergeCell ref="AJ54:AJ55"/>
    <mergeCell ref="AS24:AS25"/>
    <mergeCell ref="AO24:AO25"/>
    <mergeCell ref="AP24:AP25"/>
    <mergeCell ref="AQ24:AQ25"/>
    <mergeCell ref="AR24:AR25"/>
    <mergeCell ref="AN24:AN25"/>
    <mergeCell ref="AO54:AO55"/>
    <mergeCell ref="AI24:AI25"/>
    <mergeCell ref="AH24:AH25"/>
    <mergeCell ref="AF24:AF25"/>
    <mergeCell ref="AH54:AH55"/>
    <mergeCell ref="AD3:AD4"/>
    <mergeCell ref="AC3:AC4"/>
    <mergeCell ref="F24:Q24"/>
    <mergeCell ref="R24:R25"/>
    <mergeCell ref="T24:AA24"/>
    <mergeCell ref="F3:Q3"/>
    <mergeCell ref="R3:R4"/>
    <mergeCell ref="AB3:AB4"/>
    <mergeCell ref="T3:AA3"/>
    <mergeCell ref="AO3:AO4"/>
    <mergeCell ref="AQ2:AR2"/>
    <mergeCell ref="AN2:AO2"/>
    <mergeCell ref="AF3:AF4"/>
    <mergeCell ref="AI3:AI4"/>
    <mergeCell ref="AK3:AK4"/>
    <mergeCell ref="AH3:AH4"/>
    <mergeCell ref="AJ3:AJ4"/>
    <mergeCell ref="AP3:AP4"/>
    <mergeCell ref="AM3:AM4"/>
    <mergeCell ref="AN3:AN4"/>
    <mergeCell ref="A130:B130"/>
    <mergeCell ref="AK54:AK55"/>
    <mergeCell ref="AM54:AM55"/>
    <mergeCell ref="AK24:AK25"/>
    <mergeCell ref="AB24:AB25"/>
    <mergeCell ref="F54:Q54"/>
    <mergeCell ref="R54:R55"/>
    <mergeCell ref="AM24:AM25"/>
    <mergeCell ref="AC24:AC25"/>
    <mergeCell ref="AD54:AD55"/>
    <mergeCell ref="T54:AA54"/>
    <mergeCell ref="AB54:AB55"/>
    <mergeCell ref="AC54:AC55"/>
    <mergeCell ref="AI54:AI55"/>
    <mergeCell ref="AF54:AF55"/>
    <mergeCell ref="AS3:AS4"/>
    <mergeCell ref="AQ3:AQ4"/>
    <mergeCell ref="AR3:AR4"/>
    <mergeCell ref="AP54:AP55"/>
    <mergeCell ref="AQ54:AQ55"/>
    <mergeCell ref="AR54:AR55"/>
  </mergeCells>
  <phoneticPr fontId="0" type="noConversion"/>
  <dataValidations count="2">
    <dataValidation type="list" allowBlank="1" showInputMessage="1" showErrorMessage="1" sqref="AH5:AH23 AH57:AH128 AH26:AH53" xr:uid="{00000000-0002-0000-0200-000000000000}">
      <formula1>Catepp</formula1>
    </dataValidation>
    <dataValidation type="list" allowBlank="1" showInputMessage="1" showErrorMessage="1" sqref="AJ5:AJ23 AJ57:AJ128 AJ26:AJ53" xr:uid="{00000000-0002-0000-0200-000001000000}">
      <formula1>Catot</formula1>
    </dataValidation>
  </dataValidations>
  <pageMargins left="0.75" right="0.75" top="0.39370078740157483" bottom="1" header="0" footer="0"/>
  <pageSetup paperSize="9" scale="18" fitToWidth="2" orientation="landscape" r:id="rId6"/>
  <headerFooter alignWithMargins="0"/>
  <drawing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52"/>
  <sheetViews>
    <sheetView zoomScale="75" zoomScaleNormal="75" workbookViewId="0">
      <selection activeCell="L31" sqref="L30:L31"/>
    </sheetView>
  </sheetViews>
  <sheetFormatPr baseColWidth="10" defaultRowHeight="12.75" x14ac:dyDescent="0.2"/>
  <cols>
    <col min="1" max="1" width="19.42578125" style="1" customWidth="1"/>
    <col min="2" max="2" width="11.42578125" style="1"/>
    <col min="3" max="3" width="12.42578125" style="1" customWidth="1"/>
    <col min="4" max="4" width="11.42578125" style="1"/>
    <col min="5" max="5" width="15.85546875" style="1" customWidth="1"/>
    <col min="6" max="6" width="11.42578125" style="1"/>
    <col min="7" max="7" width="8.7109375" style="1" customWidth="1"/>
    <col min="8" max="8" width="19.5703125" style="1" customWidth="1"/>
    <col min="9" max="11" width="11.42578125" style="1"/>
    <col min="12" max="12" width="13" style="1" customWidth="1"/>
    <col min="13" max="14" width="11.42578125" style="1"/>
    <col min="15" max="15" width="19" style="1" customWidth="1"/>
    <col min="16" max="19" width="11.42578125" style="1"/>
    <col min="20" max="20" width="14.42578125" style="1" bestFit="1" customWidth="1"/>
    <col min="21" max="16384" width="11.42578125" style="1"/>
  </cols>
  <sheetData>
    <row r="1" spans="1:20" ht="28.5" customHeight="1" x14ac:dyDescent="0.2"/>
    <row r="3" spans="1:20" x14ac:dyDescent="0.2">
      <c r="A3" s="7" t="s">
        <v>8</v>
      </c>
      <c r="B3" s="8" t="s">
        <v>149</v>
      </c>
      <c r="C3" s="8"/>
      <c r="D3" s="9"/>
      <c r="E3" s="10"/>
      <c r="F3" s="10"/>
      <c r="H3" s="7" t="s">
        <v>8</v>
      </c>
      <c r="I3" s="8" t="s">
        <v>151</v>
      </c>
      <c r="J3" s="8"/>
      <c r="K3" s="9"/>
      <c r="L3" s="10"/>
      <c r="M3" s="10"/>
      <c r="O3" s="7" t="s">
        <v>8</v>
      </c>
      <c r="P3" s="8" t="s">
        <v>154</v>
      </c>
      <c r="Q3" s="8"/>
      <c r="R3" s="9"/>
      <c r="S3" s="10"/>
      <c r="T3" s="10"/>
    </row>
    <row r="4" spans="1:20" ht="12.75" customHeight="1" x14ac:dyDescent="0.2">
      <c r="A4" s="194" t="s">
        <v>9</v>
      </c>
      <c r="B4" s="3"/>
      <c r="C4" s="3"/>
      <c r="D4" s="3"/>
      <c r="E4" s="20"/>
      <c r="F4" s="518">
        <v>0.1017</v>
      </c>
      <c r="H4" s="194" t="s">
        <v>9</v>
      </c>
      <c r="I4" s="3"/>
      <c r="J4" s="3"/>
      <c r="K4" s="3"/>
      <c r="L4" s="20"/>
      <c r="M4" s="518">
        <v>0.1017</v>
      </c>
      <c r="O4" s="194" t="s">
        <v>9</v>
      </c>
      <c r="P4" s="3"/>
      <c r="Q4" s="3"/>
      <c r="R4" s="3"/>
      <c r="S4" s="20"/>
      <c r="T4" s="518">
        <v>0.1077</v>
      </c>
    </row>
    <row r="5" spans="1:20" ht="12.75" customHeight="1" x14ac:dyDescent="0.2">
      <c r="A5" s="197" t="s">
        <v>10</v>
      </c>
      <c r="B5" s="2"/>
      <c r="C5" s="2"/>
      <c r="D5" s="2"/>
      <c r="E5" s="16"/>
      <c r="F5" s="518">
        <v>1.4999999999999999E-2</v>
      </c>
      <c r="H5" s="197" t="s">
        <v>10</v>
      </c>
      <c r="I5" s="2"/>
      <c r="J5" s="2"/>
      <c r="K5" s="2"/>
      <c r="L5" s="16"/>
      <c r="M5" s="518">
        <v>1.4999999999999999E-2</v>
      </c>
      <c r="O5" s="197" t="s">
        <v>10</v>
      </c>
      <c r="P5" s="2"/>
      <c r="Q5" s="2"/>
      <c r="R5" s="2"/>
      <c r="S5" s="16"/>
      <c r="T5" s="518">
        <v>1.5900000000000001E-2</v>
      </c>
    </row>
    <row r="6" spans="1:20" ht="12.75" customHeight="1" x14ac:dyDescent="0.2">
      <c r="A6" s="197" t="s">
        <v>11</v>
      </c>
      <c r="B6" s="2"/>
      <c r="C6" s="2"/>
      <c r="D6" s="2"/>
      <c r="E6" s="16"/>
      <c r="F6" s="518">
        <v>8.8999999999999999E-3</v>
      </c>
      <c r="H6" s="197" t="s">
        <v>11</v>
      </c>
      <c r="I6" s="2"/>
      <c r="J6" s="2"/>
      <c r="K6" s="2"/>
      <c r="L6" s="16"/>
      <c r="M6" s="518">
        <v>8.8999999999999999E-3</v>
      </c>
      <c r="O6" s="197" t="s">
        <v>11</v>
      </c>
      <c r="P6" s="2"/>
      <c r="Q6" s="2"/>
      <c r="R6" s="2"/>
      <c r="S6" s="16"/>
      <c r="T6" s="518">
        <v>9.4000000000000004E-3</v>
      </c>
    </row>
    <row r="7" spans="1:20" ht="12.75" customHeight="1" x14ac:dyDescent="0.2">
      <c r="A7" s="197" t="s">
        <v>12</v>
      </c>
      <c r="B7" s="2"/>
      <c r="C7" s="2"/>
      <c r="D7" s="2"/>
      <c r="E7" s="16"/>
      <c r="F7" s="518">
        <v>4.4400000000000002E-2</v>
      </c>
      <c r="H7" s="197" t="s">
        <v>12</v>
      </c>
      <c r="I7" s="2"/>
      <c r="J7" s="2"/>
      <c r="K7" s="2"/>
      <c r="L7" s="16"/>
      <c r="M7" s="518">
        <v>4.4400000000000002E-2</v>
      </c>
      <c r="O7" s="197" t="s">
        <v>12</v>
      </c>
      <c r="P7" s="2"/>
      <c r="Q7" s="2"/>
      <c r="R7" s="2"/>
      <c r="S7" s="16"/>
      <c r="T7" s="518">
        <v>4.7E-2</v>
      </c>
    </row>
    <row r="8" spans="1:20" ht="12.75" customHeight="1" x14ac:dyDescent="0.2">
      <c r="A8" s="197" t="s">
        <v>18</v>
      </c>
      <c r="B8" s="2"/>
      <c r="C8" s="2"/>
      <c r="D8" s="2"/>
      <c r="E8" s="16"/>
      <c r="F8" s="519">
        <v>-8.6499999999999994E-2</v>
      </c>
      <c r="H8" s="197" t="s">
        <v>18</v>
      </c>
      <c r="I8" s="2"/>
      <c r="J8" s="2"/>
      <c r="K8" s="2"/>
      <c r="L8" s="16"/>
      <c r="M8" s="519">
        <v>-8.6499999999999994E-2</v>
      </c>
      <c r="O8" s="197" t="s">
        <v>18</v>
      </c>
      <c r="P8" s="2"/>
      <c r="Q8" s="2"/>
      <c r="R8" s="2"/>
      <c r="S8" s="16"/>
      <c r="T8" s="519">
        <v>-3.7999999999999999E-2</v>
      </c>
    </row>
    <row r="9" spans="1:20" ht="12.75" customHeight="1" x14ac:dyDescent="0.2">
      <c r="A9" s="197" t="s">
        <v>13</v>
      </c>
      <c r="B9" s="2"/>
      <c r="C9" s="2"/>
      <c r="D9" s="2"/>
      <c r="E9" s="16"/>
      <c r="F9" s="520">
        <v>0.06</v>
      </c>
      <c r="H9" s="197" t="s">
        <v>13</v>
      </c>
      <c r="I9" s="2"/>
      <c r="J9" s="2"/>
      <c r="K9" s="2"/>
      <c r="L9" s="16"/>
      <c r="M9" s="520">
        <v>0.06</v>
      </c>
      <c r="O9" s="197" t="s">
        <v>13</v>
      </c>
      <c r="P9" s="2"/>
      <c r="Q9" s="2"/>
      <c r="R9" s="2"/>
      <c r="S9" s="16"/>
      <c r="T9" s="520">
        <v>0.06</v>
      </c>
    </row>
    <row r="10" spans="1:20" ht="12.75" customHeight="1" x14ac:dyDescent="0.2">
      <c r="A10" s="197"/>
      <c r="B10" s="2"/>
      <c r="C10" s="2"/>
      <c r="D10" s="2"/>
      <c r="E10" s="16"/>
      <c r="F10" s="19">
        <f>SUM(F4:F9)</f>
        <v>0.14349999999999999</v>
      </c>
      <c r="H10" s="197"/>
      <c r="I10" s="2"/>
      <c r="J10" s="2"/>
      <c r="K10" s="2"/>
      <c r="L10" s="16"/>
      <c r="M10" s="19">
        <f>SUM(M4:M9)</f>
        <v>0.14349999999999999</v>
      </c>
      <c r="O10" s="197"/>
      <c r="P10" s="2"/>
      <c r="Q10" s="2"/>
      <c r="R10" s="2"/>
      <c r="S10" s="16"/>
      <c r="T10" s="19">
        <f>SUM(T4:T9)</f>
        <v>0.20199999999999999</v>
      </c>
    </row>
    <row r="11" spans="1:20" ht="12.75" customHeight="1" x14ac:dyDescent="0.2">
      <c r="A11" s="197"/>
      <c r="B11" s="2"/>
      <c r="C11" s="2"/>
      <c r="D11" s="2"/>
      <c r="E11" s="16"/>
      <c r="F11" s="521"/>
      <c r="H11" s="197" t="s">
        <v>191</v>
      </c>
      <c r="I11" s="2"/>
      <c r="J11" s="2"/>
      <c r="K11" s="2"/>
      <c r="L11" s="16"/>
      <c r="M11" s="521">
        <v>1.4999999999999999E-2</v>
      </c>
      <c r="O11" s="197" t="s">
        <v>155</v>
      </c>
      <c r="P11" s="2"/>
      <c r="Q11" s="2"/>
      <c r="R11" s="2"/>
      <c r="S11" s="16"/>
      <c r="T11" s="521">
        <v>0.02</v>
      </c>
    </row>
    <row r="12" spans="1:20" ht="12.75" customHeight="1" x14ac:dyDescent="0.2">
      <c r="A12" s="197"/>
      <c r="B12" s="2"/>
      <c r="C12" s="2"/>
      <c r="D12" s="2"/>
      <c r="E12" s="16"/>
      <c r="F12" s="522"/>
      <c r="H12" s="197"/>
      <c r="I12" s="2"/>
      <c r="J12" s="2"/>
      <c r="K12" s="2"/>
      <c r="L12" s="16"/>
      <c r="M12" s="522"/>
      <c r="O12" s="197" t="s">
        <v>506</v>
      </c>
      <c r="P12" s="2"/>
      <c r="Q12" s="2"/>
      <c r="R12" s="2"/>
      <c r="S12" s="16"/>
      <c r="T12" s="521">
        <v>0.02</v>
      </c>
    </row>
    <row r="13" spans="1:20" ht="12.75" customHeight="1" x14ac:dyDescent="0.2">
      <c r="A13" s="197" t="s">
        <v>14</v>
      </c>
      <c r="B13" s="2"/>
      <c r="C13" s="2"/>
      <c r="D13" s="2"/>
      <c r="E13" s="16"/>
      <c r="F13" s="522">
        <v>1.3100000000000001E-2</v>
      </c>
      <c r="H13" s="197" t="s">
        <v>14</v>
      </c>
      <c r="I13" s="2"/>
      <c r="J13" s="2"/>
      <c r="K13" s="2"/>
      <c r="L13" s="16"/>
      <c r="M13" s="522">
        <v>1.3100000000000001E-2</v>
      </c>
      <c r="O13" s="197" t="s">
        <v>14</v>
      </c>
      <c r="P13" s="2"/>
      <c r="Q13" s="2"/>
      <c r="R13" s="2"/>
      <c r="S13" s="16"/>
      <c r="T13" s="522">
        <v>3.0599999999999999E-2</v>
      </c>
    </row>
    <row r="14" spans="1:20" ht="12.75" customHeight="1" x14ac:dyDescent="0.2">
      <c r="A14" s="200"/>
      <c r="B14" s="523"/>
      <c r="C14" s="523"/>
      <c r="D14" s="523"/>
      <c r="E14" s="523"/>
      <c r="F14" s="15">
        <f>SUM(F11:F13)</f>
        <v>1.3100000000000001E-2</v>
      </c>
      <c r="H14" s="200"/>
      <c r="I14" s="523"/>
      <c r="J14" s="523"/>
      <c r="K14" s="523"/>
      <c r="L14" s="523"/>
      <c r="M14" s="15">
        <f>SUM(M11:M13)</f>
        <v>2.81E-2</v>
      </c>
      <c r="O14" s="200"/>
      <c r="P14" s="523"/>
      <c r="Q14" s="523"/>
      <c r="R14" s="523"/>
      <c r="S14" s="523"/>
      <c r="T14" s="15">
        <f>SUM(T11:T13)</f>
        <v>7.0599999999999996E-2</v>
      </c>
    </row>
    <row r="15" spans="1:20" ht="12.75" customHeight="1" x14ac:dyDescent="0.2">
      <c r="A15" s="200"/>
      <c r="B15" s="523"/>
      <c r="C15" s="523"/>
      <c r="D15" s="631" t="s">
        <v>88</v>
      </c>
      <c r="E15" s="632"/>
      <c r="F15" s="18">
        <f>F10+F14</f>
        <v>0.15659999999999999</v>
      </c>
      <c r="H15" s="200"/>
      <c r="I15" s="523"/>
      <c r="J15" s="523"/>
      <c r="K15" s="631" t="s">
        <v>88</v>
      </c>
      <c r="L15" s="632"/>
      <c r="M15" s="18">
        <f>M10+M14</f>
        <v>0.17159999999999997</v>
      </c>
      <c r="O15" s="200"/>
      <c r="P15" s="523"/>
      <c r="Q15" s="523"/>
      <c r="R15" s="631" t="s">
        <v>88</v>
      </c>
      <c r="S15" s="632"/>
      <c r="T15" s="18">
        <f>T10+T14</f>
        <v>0.27259999999999995</v>
      </c>
    </row>
    <row r="16" spans="1:20" ht="12.75" customHeight="1" x14ac:dyDescent="0.2">
      <c r="A16" s="7" t="s">
        <v>63</v>
      </c>
      <c r="B16" s="8"/>
      <c r="C16" s="8"/>
      <c r="D16" s="9"/>
      <c r="E16" s="9"/>
      <c r="F16" s="10"/>
      <c r="H16" s="7" t="s">
        <v>63</v>
      </c>
      <c r="I16" s="8"/>
      <c r="J16" s="8"/>
      <c r="K16" s="9"/>
      <c r="L16" s="9"/>
      <c r="M16" s="10"/>
      <c r="O16" s="7" t="s">
        <v>63</v>
      </c>
      <c r="P16" s="8"/>
      <c r="Q16" s="8"/>
      <c r="R16" s="9"/>
      <c r="S16" s="9"/>
      <c r="T16" s="10"/>
    </row>
    <row r="17" spans="1:20" ht="12.75" customHeight="1" x14ac:dyDescent="0.2">
      <c r="A17" s="197" t="s">
        <v>86</v>
      </c>
      <c r="B17" s="2"/>
      <c r="C17" s="2"/>
      <c r="D17" s="2"/>
      <c r="E17" s="2"/>
      <c r="F17" s="524">
        <f>(1/12)*(F15+1)</f>
        <v>9.6383333333333335E-2</v>
      </c>
      <c r="H17" s="197" t="s">
        <v>86</v>
      </c>
      <c r="I17" s="2"/>
      <c r="J17" s="2"/>
      <c r="K17" s="2"/>
      <c r="L17" s="2"/>
      <c r="M17" s="524">
        <f>(1/12)*(M15+1)</f>
        <v>9.7633333333333322E-2</v>
      </c>
      <c r="O17" s="197" t="s">
        <v>86</v>
      </c>
      <c r="P17" s="2"/>
      <c r="Q17" s="2"/>
      <c r="R17" s="2"/>
      <c r="S17" s="2"/>
      <c r="T17" s="524">
        <f>(1/12)*(T15+1)</f>
        <v>0.10604999999999999</v>
      </c>
    </row>
    <row r="18" spans="1:20" ht="12.75" customHeight="1" x14ac:dyDescent="0.2">
      <c r="A18" s="197" t="s">
        <v>87</v>
      </c>
      <c r="B18" s="2"/>
      <c r="C18" s="2"/>
      <c r="D18" s="2"/>
      <c r="E18" s="14">
        <v>14</v>
      </c>
      <c r="F18" s="524">
        <f>(E18/300)*(F15+1)</f>
        <v>5.3974666666666671E-2</v>
      </c>
      <c r="H18" s="197" t="s">
        <v>87</v>
      </c>
      <c r="I18" s="2"/>
      <c r="J18" s="2"/>
      <c r="K18" s="2"/>
      <c r="L18" s="14">
        <v>14</v>
      </c>
      <c r="M18" s="524">
        <f>(L18/300)*(M15+1)</f>
        <v>5.467466666666667E-2</v>
      </c>
      <c r="O18" s="197" t="s">
        <v>87</v>
      </c>
      <c r="P18" s="2"/>
      <c r="Q18" s="2"/>
      <c r="R18" s="2"/>
      <c r="S18" s="14">
        <v>14</v>
      </c>
      <c r="T18" s="524">
        <f>(S18/300)*(T15+1)</f>
        <v>5.9388000000000003E-2</v>
      </c>
    </row>
    <row r="19" spans="1:20" ht="12.75" customHeight="1" x14ac:dyDescent="0.2">
      <c r="A19" s="197" t="s">
        <v>15</v>
      </c>
      <c r="B19" s="2"/>
      <c r="C19" s="2"/>
      <c r="D19" s="2"/>
      <c r="E19" s="14">
        <v>11</v>
      </c>
      <c r="F19" s="524">
        <f>(E19/300)*(F15+1)</f>
        <v>4.2408666666666671E-2</v>
      </c>
      <c r="H19" s="197" t="s">
        <v>15</v>
      </c>
      <c r="I19" s="2"/>
      <c r="J19" s="2"/>
      <c r="K19" s="2"/>
      <c r="L19" s="14">
        <v>11</v>
      </c>
      <c r="M19" s="524">
        <f>(L19/300)*(M15+1)</f>
        <v>4.2958666666666666E-2</v>
      </c>
      <c r="O19" s="197" t="s">
        <v>15</v>
      </c>
      <c r="P19" s="2"/>
      <c r="Q19" s="2"/>
      <c r="R19" s="2"/>
      <c r="S19" s="14">
        <v>11</v>
      </c>
      <c r="T19" s="524">
        <f>(S19/300)*(T15+1)</f>
        <v>4.6661999999999995E-2</v>
      </c>
    </row>
    <row r="20" spans="1:20" ht="12.75" customHeight="1" x14ac:dyDescent="0.2">
      <c r="A20" s="197" t="s">
        <v>16</v>
      </c>
      <c r="B20" s="2"/>
      <c r="C20" s="2"/>
      <c r="D20" s="2"/>
      <c r="E20" s="14">
        <v>0</v>
      </c>
      <c r="F20" s="524">
        <f>(E20/300)*(F15+1)</f>
        <v>0</v>
      </c>
      <c r="H20" s="197" t="s">
        <v>16</v>
      </c>
      <c r="I20" s="2"/>
      <c r="J20" s="2"/>
      <c r="K20" s="2"/>
      <c r="L20" s="14">
        <v>0</v>
      </c>
      <c r="M20" s="524">
        <f>(L20/300)*(M15+1)</f>
        <v>0</v>
      </c>
      <c r="O20" s="197" t="s">
        <v>16</v>
      </c>
      <c r="P20" s="2"/>
      <c r="Q20" s="2"/>
      <c r="R20" s="2"/>
      <c r="S20" s="14">
        <v>0</v>
      </c>
      <c r="T20" s="524">
        <f>(S20/300)*(T15+1)</f>
        <v>0</v>
      </c>
    </row>
    <row r="21" spans="1:20" ht="12.75" customHeight="1" x14ac:dyDescent="0.2">
      <c r="A21" s="197" t="s">
        <v>17</v>
      </c>
      <c r="B21" s="2"/>
      <c r="C21" s="2"/>
      <c r="D21" s="2"/>
      <c r="E21" s="14">
        <v>0</v>
      </c>
      <c r="F21" s="524">
        <f>(E21/300)*(F15+1)</f>
        <v>0</v>
      </c>
      <c r="H21" s="197" t="s">
        <v>17</v>
      </c>
      <c r="I21" s="2"/>
      <c r="J21" s="2"/>
      <c r="K21" s="2"/>
      <c r="L21" s="14">
        <v>0</v>
      </c>
      <c r="M21" s="524">
        <f>(L21/300)*(M15+1)</f>
        <v>0</v>
      </c>
      <c r="O21" s="197" t="s">
        <v>17</v>
      </c>
      <c r="P21" s="2"/>
      <c r="Q21" s="2"/>
      <c r="R21" s="2"/>
      <c r="S21" s="14">
        <v>0</v>
      </c>
      <c r="T21" s="524">
        <f>(S21/300)*(T15+1)</f>
        <v>0</v>
      </c>
    </row>
    <row r="22" spans="1:20" ht="12.75" customHeight="1" x14ac:dyDescent="0.2">
      <c r="A22" s="197" t="s">
        <v>133</v>
      </c>
      <c r="B22" s="2"/>
      <c r="C22" s="2"/>
      <c r="D22" s="2"/>
      <c r="E22" s="2"/>
      <c r="F22" s="519">
        <f>1/12</f>
        <v>8.3333333333333329E-2</v>
      </c>
      <c r="H22" s="197" t="s">
        <v>166</v>
      </c>
      <c r="I22" s="2"/>
      <c r="J22" s="2"/>
      <c r="K22" s="2"/>
      <c r="L22" s="2"/>
      <c r="M22" s="519">
        <v>0.12</v>
      </c>
      <c r="O22" s="197" t="s">
        <v>133</v>
      </c>
      <c r="P22" s="2"/>
      <c r="Q22" s="2"/>
      <c r="R22" s="2"/>
      <c r="S22" s="2"/>
      <c r="T22" s="519">
        <f>1/12</f>
        <v>8.3333333333333329E-2</v>
      </c>
    </row>
    <row r="23" spans="1:20" x14ac:dyDescent="0.2">
      <c r="A23" s="197"/>
      <c r="B23" s="2"/>
      <c r="C23" s="2"/>
      <c r="D23" s="2"/>
      <c r="E23" s="16"/>
      <c r="F23" s="15">
        <f>SUM(F17:F22)</f>
        <v>0.27610000000000001</v>
      </c>
      <c r="H23" s="197"/>
      <c r="I23" s="2"/>
      <c r="J23" s="2"/>
      <c r="K23" s="2"/>
      <c r="L23" s="16"/>
      <c r="M23" s="15">
        <f>SUM(M17:M22)</f>
        <v>0.3152666666666667</v>
      </c>
      <c r="O23" s="197"/>
      <c r="P23" s="2"/>
      <c r="Q23" s="2"/>
      <c r="R23" s="2"/>
      <c r="S23" s="16"/>
      <c r="T23" s="15">
        <f>SUM(T17:T22)</f>
        <v>0.29543333333333333</v>
      </c>
    </row>
    <row r="24" spans="1:20" x14ac:dyDescent="0.2">
      <c r="A24" s="17" t="s">
        <v>64</v>
      </c>
      <c r="B24" s="2"/>
      <c r="C24" s="2"/>
      <c r="D24" s="2"/>
      <c r="E24" s="2"/>
      <c r="F24" s="15">
        <f>F10+F14+F23</f>
        <v>0.43269999999999997</v>
      </c>
      <c r="H24" s="17" t="s">
        <v>64</v>
      </c>
      <c r="I24" s="2"/>
      <c r="J24" s="2"/>
      <c r="K24" s="2"/>
      <c r="L24" s="2"/>
      <c r="M24" s="15">
        <f>M10+M14+M23</f>
        <v>0.48686666666666667</v>
      </c>
      <c r="O24" s="17" t="s">
        <v>64</v>
      </c>
      <c r="P24" s="2"/>
      <c r="Q24" s="2"/>
      <c r="R24" s="2"/>
      <c r="S24" s="2"/>
      <c r="T24" s="15">
        <f>T10+T14+T23</f>
        <v>0.56803333333333328</v>
      </c>
    </row>
    <row r="25" spans="1:20" x14ac:dyDescent="0.2">
      <c r="A25" s="523"/>
      <c r="B25" s="523"/>
      <c r="C25" s="523"/>
      <c r="D25" s="629" t="s">
        <v>150</v>
      </c>
      <c r="E25" s="630"/>
      <c r="F25" s="6">
        <f>SUM(F24:F24)</f>
        <v>0.43269999999999997</v>
      </c>
      <c r="H25" s="523"/>
      <c r="I25" s="523"/>
      <c r="J25" s="523"/>
      <c r="K25" s="629" t="s">
        <v>150</v>
      </c>
      <c r="L25" s="630"/>
      <c r="M25" s="6">
        <f>SUM(M24:M24)</f>
        <v>0.48686666666666667</v>
      </c>
      <c r="O25" s="523"/>
      <c r="P25" s="523"/>
      <c r="Q25" s="523"/>
      <c r="R25" s="629" t="s">
        <v>150</v>
      </c>
      <c r="S25" s="630"/>
      <c r="T25" s="6">
        <f>SUM(T24:T24)</f>
        <v>0.56803333333333328</v>
      </c>
    </row>
    <row r="27" spans="1:20" x14ac:dyDescent="0.2">
      <c r="T27" s="171"/>
    </row>
    <row r="28" spans="1:20" x14ac:dyDescent="0.2">
      <c r="A28" s="5" t="s">
        <v>125</v>
      </c>
      <c r="T28" s="172"/>
    </row>
    <row r="29" spans="1:20" x14ac:dyDescent="0.2">
      <c r="A29" s="4"/>
      <c r="B29" s="30"/>
    </row>
    <row r="30" spans="1:20" x14ac:dyDescent="0.2">
      <c r="A30" s="4"/>
      <c r="B30" s="4"/>
    </row>
    <row r="31" spans="1:20" ht="12.75" customHeight="1" x14ac:dyDescent="0.2">
      <c r="A31" s="4"/>
      <c r="B31" s="4"/>
    </row>
    <row r="32" spans="1:20" x14ac:dyDescent="0.2">
      <c r="A32" s="4"/>
      <c r="B32" s="4"/>
    </row>
    <row r="33" spans="1:2" x14ac:dyDescent="0.2">
      <c r="A33" s="4"/>
      <c r="B33" s="4"/>
    </row>
    <row r="34" spans="1:2" x14ac:dyDescent="0.2">
      <c r="A34" s="4"/>
      <c r="B34" s="4"/>
    </row>
    <row r="35" spans="1:2" x14ac:dyDescent="0.2">
      <c r="A35" s="4"/>
      <c r="B35" s="4"/>
    </row>
    <row r="36" spans="1:2" x14ac:dyDescent="0.2">
      <c r="A36" s="4"/>
      <c r="B36" s="4"/>
    </row>
    <row r="37" spans="1:2" ht="6.75" customHeight="1" x14ac:dyDescent="0.2"/>
    <row r="43" spans="1:2" ht="4.5" customHeight="1" x14ac:dyDescent="0.2"/>
    <row r="49" ht="6.75" customHeight="1" x14ac:dyDescent="0.2"/>
    <row r="52" ht="9" customHeight="1" x14ac:dyDescent="0.2"/>
  </sheetData>
  <customSheetViews>
    <customSheetView guid="{1DB1CDF8-B399-46E9-9F00-21524E82CD13}" scale="75" fitToPage="1" showRuler="0">
      <selection activeCell="A9" sqref="A9"/>
      <pageMargins left="0.39370078740157483" right="0.39370078740157483" top="0.39370078740157483" bottom="0.39370078740157483" header="0" footer="0"/>
      <pageSetup scale="51" fitToHeight="2" orientation="landscape" r:id="rId1"/>
      <headerFooter alignWithMargins="0"/>
    </customSheetView>
    <customSheetView guid="{FD728909-0D0B-441A-8E6A-F7FBB3EE0FF4}" scale="75" fitToPage="1">
      <selection activeCell="A9" sqref="A9"/>
      <pageMargins left="0.39370078740157483" right="0.39370078740157483" top="0.39370078740157483" bottom="0.39370078740157483" header="0" footer="0"/>
      <pageSetup scale="51" fitToHeight="2" orientation="landscape" r:id="rId2"/>
      <headerFooter alignWithMargins="0"/>
    </customSheetView>
    <customSheetView guid="{3E10442F-E643-4030-87D8-6F3C29ED4323}" scale="90" fitToPage="1" showRuler="0">
      <selection activeCell="AJ1" sqref="AJ1:AM65536"/>
      <pageMargins left="0.39370078740157483" right="0.39370078740157483" top="0.39370078740157483" bottom="0.39370078740157483" header="0" footer="0"/>
      <pageSetup scale="51" fitToHeight="2" orientation="landscape" r:id="rId3"/>
      <headerFooter alignWithMargins="0"/>
    </customSheetView>
    <customSheetView guid="{62D5B631-A5F0-449E-B42C-AE7ECEC2A7D1}" scale="75" fitToPage="1">
      <selection activeCell="A9" sqref="A9"/>
      <pageMargins left="0.39370078740157483" right="0.39370078740157483" top="0.39370078740157483" bottom="0.39370078740157483" header="0" footer="0"/>
      <pageSetup scale="51" fitToHeight="2" orientation="landscape" r:id="rId4"/>
      <headerFooter alignWithMargins="0"/>
    </customSheetView>
    <customSheetView guid="{F95940C3-2AB4-49FF-ABAA-F9CFD2FCC6F5}" scale="75" fitToPage="1">
      <selection activeCell="K28" sqref="K28"/>
      <pageMargins left="0.39370078740157483" right="0.39370078740157483" top="0.39370078740157483" bottom="0.39370078740157483" header="0" footer="0"/>
      <pageSetup scale="51" fitToHeight="2" orientation="landscape" r:id="rId5"/>
      <headerFooter alignWithMargins="0"/>
    </customSheetView>
  </customSheetViews>
  <mergeCells count="6">
    <mergeCell ref="R25:S25"/>
    <mergeCell ref="D25:E25"/>
    <mergeCell ref="K25:L25"/>
    <mergeCell ref="D15:E15"/>
    <mergeCell ref="K15:L15"/>
    <mergeCell ref="R15:S15"/>
  </mergeCells>
  <phoneticPr fontId="0" type="noConversion"/>
  <pageMargins left="0.39370078740157483" right="0.39370078740157483" top="0.39370078740157483" bottom="0.39370078740157483" header="0" footer="0"/>
  <pageSetup scale="51" fitToHeight="2" orientation="landscape" r:id="rId6"/>
  <headerFooter alignWithMargins="0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298"/>
  <sheetViews>
    <sheetView tabSelected="1" topLeftCell="A76" zoomScale="75" zoomScaleNormal="75" workbookViewId="0">
      <selection activeCell="G102" sqref="G102"/>
    </sheetView>
  </sheetViews>
  <sheetFormatPr baseColWidth="10" defaultRowHeight="12.75" x14ac:dyDescent="0.2"/>
  <cols>
    <col min="1" max="1" width="37.7109375" style="129" customWidth="1"/>
    <col min="2" max="2" width="13.5703125" style="129" bestFit="1" customWidth="1"/>
    <col min="3" max="3" width="13.140625" style="129" bestFit="1" customWidth="1"/>
    <col min="4" max="4" width="14.28515625" style="129" customWidth="1"/>
    <col min="5" max="5" width="14.7109375" style="129" customWidth="1"/>
    <col min="6" max="6" width="14.140625" style="129" customWidth="1"/>
    <col min="7" max="7" width="12.42578125" style="129" customWidth="1"/>
    <col min="8" max="8" width="15.28515625" style="131" customWidth="1"/>
    <col min="9" max="9" width="12.5703125" style="129" customWidth="1"/>
    <col min="10" max="11" width="13.140625" style="129" customWidth="1"/>
    <col min="12" max="15" width="11.42578125" style="129"/>
    <col min="16" max="62" width="11.42578125" style="21"/>
    <col min="63" max="16384" width="11.42578125" style="129"/>
  </cols>
  <sheetData>
    <row r="1" spans="1:15" ht="30" customHeight="1" x14ac:dyDescent="0.2">
      <c r="A1" s="21"/>
      <c r="B1" s="21"/>
      <c r="C1" s="21"/>
      <c r="D1" s="21"/>
      <c r="E1" s="21"/>
      <c r="F1" s="21"/>
      <c r="G1" s="21"/>
      <c r="H1" s="32"/>
      <c r="I1" s="21"/>
      <c r="J1" s="21"/>
      <c r="K1" s="21"/>
      <c r="L1" s="21"/>
      <c r="M1" s="21"/>
      <c r="N1" s="21"/>
      <c r="O1" s="21"/>
    </row>
    <row r="2" spans="1:15" ht="9.75" customHeight="1" x14ac:dyDescent="0.2">
      <c r="A2" s="130"/>
      <c r="B2" s="21"/>
      <c r="C2" s="21"/>
      <c r="D2" s="21"/>
      <c r="E2" s="21"/>
      <c r="F2" s="21"/>
      <c r="G2" s="21"/>
      <c r="H2" s="32"/>
      <c r="I2" s="21"/>
      <c r="J2" s="21"/>
      <c r="K2" s="21"/>
      <c r="L2" s="21"/>
      <c r="M2" s="21"/>
      <c r="N2" s="21"/>
      <c r="O2" s="21"/>
    </row>
    <row r="3" spans="1:15" ht="12" customHeight="1" x14ac:dyDescent="0.2">
      <c r="A3" s="130"/>
      <c r="B3" s="21"/>
      <c r="C3" s="21"/>
      <c r="D3" s="21"/>
      <c r="E3" s="21"/>
      <c r="F3" s="634" t="s">
        <v>148</v>
      </c>
      <c r="G3" s="634"/>
      <c r="H3" s="634"/>
      <c r="I3" s="634"/>
      <c r="J3" s="634"/>
      <c r="K3" s="634"/>
      <c r="L3" s="21"/>
      <c r="M3" s="21"/>
      <c r="N3" s="21"/>
      <c r="O3" s="21"/>
    </row>
    <row r="4" spans="1:15" ht="12.75" customHeight="1" x14ac:dyDescent="0.2">
      <c r="A4" s="635" t="s">
        <v>117</v>
      </c>
      <c r="B4" s="636"/>
      <c r="C4" s="636"/>
      <c r="D4" s="636"/>
      <c r="E4" s="56"/>
      <c r="F4" s="57">
        <v>200</v>
      </c>
      <c r="G4" s="57">
        <v>200</v>
      </c>
      <c r="H4" s="57">
        <v>200</v>
      </c>
      <c r="I4" s="57">
        <v>176</v>
      </c>
      <c r="J4" s="57">
        <v>176</v>
      </c>
      <c r="K4" s="57">
        <v>176</v>
      </c>
      <c r="L4" s="21"/>
      <c r="M4" s="21"/>
      <c r="N4" s="21"/>
      <c r="O4" s="21"/>
    </row>
    <row r="5" spans="1:15" ht="27.75" customHeight="1" x14ac:dyDescent="0.2">
      <c r="A5" s="64" t="s">
        <v>4</v>
      </c>
      <c r="B5" s="62" t="s">
        <v>41</v>
      </c>
      <c r="C5" s="62" t="s">
        <v>35</v>
      </c>
      <c r="D5" s="62" t="s">
        <v>42</v>
      </c>
      <c r="E5" s="62" t="s">
        <v>113</v>
      </c>
      <c r="F5" s="62" t="s">
        <v>171</v>
      </c>
      <c r="G5" s="62" t="s">
        <v>172</v>
      </c>
      <c r="H5" s="62" t="s">
        <v>173</v>
      </c>
      <c r="I5" s="62"/>
      <c r="J5" s="62"/>
      <c r="K5" s="62"/>
      <c r="L5" s="21"/>
      <c r="M5" s="21"/>
      <c r="N5" s="21"/>
      <c r="O5" s="21"/>
    </row>
    <row r="6" spans="1:15" x14ac:dyDescent="0.2">
      <c r="A6" s="215" t="s">
        <v>507</v>
      </c>
      <c r="B6" s="12">
        <v>4</v>
      </c>
      <c r="C6" s="12"/>
      <c r="D6" s="11">
        <v>88500</v>
      </c>
      <c r="E6" s="11">
        <f>B6*D6</f>
        <v>354000</v>
      </c>
      <c r="F6" s="525" t="s">
        <v>114</v>
      </c>
      <c r="G6" s="124"/>
      <c r="H6" s="122" t="s">
        <v>114</v>
      </c>
      <c r="I6" s="43"/>
      <c r="J6" s="43"/>
      <c r="K6" s="43"/>
      <c r="L6" s="21"/>
      <c r="M6" s="21"/>
      <c r="N6" s="21"/>
      <c r="O6" s="21"/>
    </row>
    <row r="7" spans="1:15" x14ac:dyDescent="0.2">
      <c r="A7" s="215" t="s">
        <v>508</v>
      </c>
      <c r="B7" s="12">
        <v>4</v>
      </c>
      <c r="C7" s="12"/>
      <c r="D7" s="11">
        <v>154000</v>
      </c>
      <c r="E7" s="11">
        <f>B7*D7</f>
        <v>616000</v>
      </c>
      <c r="F7" s="526" t="s">
        <v>114</v>
      </c>
      <c r="G7" s="45"/>
      <c r="H7" s="122" t="s">
        <v>114</v>
      </c>
      <c r="I7" s="43"/>
      <c r="J7" s="43"/>
      <c r="K7" s="43"/>
      <c r="L7" s="21"/>
      <c r="M7" s="21"/>
      <c r="N7" s="21"/>
      <c r="O7" s="21"/>
    </row>
    <row r="8" spans="1:15" x14ac:dyDescent="0.2">
      <c r="A8" s="215" t="s">
        <v>510</v>
      </c>
      <c r="B8" s="12">
        <v>2</v>
      </c>
      <c r="C8" s="12"/>
      <c r="D8" s="11">
        <v>12700</v>
      </c>
      <c r="E8" s="11">
        <f>B8*D8</f>
        <v>25400</v>
      </c>
      <c r="F8" s="526" t="s">
        <v>114</v>
      </c>
      <c r="G8" s="123"/>
      <c r="H8" s="122" t="s">
        <v>114</v>
      </c>
      <c r="I8" s="43"/>
      <c r="J8" s="43"/>
      <c r="K8" s="43"/>
      <c r="L8" s="21"/>
      <c r="M8" s="21"/>
      <c r="N8" s="21"/>
      <c r="O8" s="21"/>
    </row>
    <row r="9" spans="1:15" x14ac:dyDescent="0.2">
      <c r="A9" s="215" t="s">
        <v>511</v>
      </c>
      <c r="B9" s="12">
        <v>1</v>
      </c>
      <c r="C9" s="12"/>
      <c r="D9" s="11">
        <v>16000</v>
      </c>
      <c r="E9" s="11">
        <f t="shared" ref="E9:E17" si="0">B9*D9</f>
        <v>16000</v>
      </c>
      <c r="F9" s="526" t="s">
        <v>114</v>
      </c>
      <c r="G9" s="123"/>
      <c r="H9" s="122" t="s">
        <v>114</v>
      </c>
      <c r="I9" s="43"/>
      <c r="J9" s="43"/>
      <c r="K9" s="43"/>
      <c r="L9" s="21"/>
      <c r="M9" s="21"/>
      <c r="N9" s="21"/>
      <c r="O9" s="21"/>
    </row>
    <row r="10" spans="1:15" x14ac:dyDescent="0.2">
      <c r="A10" s="215" t="s">
        <v>512</v>
      </c>
      <c r="B10" s="12">
        <v>1</v>
      </c>
      <c r="C10" s="12"/>
      <c r="D10" s="11">
        <v>100000</v>
      </c>
      <c r="E10" s="11">
        <f t="shared" si="0"/>
        <v>100000</v>
      </c>
      <c r="F10" s="526" t="s">
        <v>114</v>
      </c>
      <c r="G10" s="123"/>
      <c r="H10" s="122" t="s">
        <v>114</v>
      </c>
      <c r="I10" s="43"/>
      <c r="J10" s="43"/>
      <c r="K10" s="43"/>
      <c r="L10" s="21"/>
      <c r="M10" s="21"/>
      <c r="N10" s="21"/>
      <c r="O10" s="21"/>
    </row>
    <row r="11" spans="1:15" x14ac:dyDescent="0.2">
      <c r="A11" s="215" t="s">
        <v>509</v>
      </c>
      <c r="B11" s="12">
        <v>1</v>
      </c>
      <c r="C11" s="12"/>
      <c r="D11" s="11">
        <v>150000</v>
      </c>
      <c r="E11" s="11">
        <f t="shared" si="0"/>
        <v>150000</v>
      </c>
      <c r="F11" s="526" t="s">
        <v>114</v>
      </c>
      <c r="G11" s="123"/>
      <c r="H11" s="122" t="s">
        <v>114</v>
      </c>
      <c r="I11" s="43"/>
      <c r="J11" s="43"/>
      <c r="K11" s="43"/>
      <c r="L11" s="21"/>
      <c r="M11" s="21"/>
      <c r="N11" s="21"/>
      <c r="O11" s="21"/>
    </row>
    <row r="12" spans="1:15" x14ac:dyDescent="0.2">
      <c r="A12" s="215"/>
      <c r="B12" s="12"/>
      <c r="C12" s="12"/>
      <c r="D12" s="11"/>
      <c r="E12" s="11"/>
      <c r="F12" s="526" t="s">
        <v>114</v>
      </c>
      <c r="G12" s="123"/>
      <c r="H12" s="122" t="s">
        <v>114</v>
      </c>
      <c r="I12" s="43"/>
      <c r="J12" s="43"/>
      <c r="K12" s="43"/>
      <c r="L12" s="21"/>
      <c r="M12" s="21"/>
      <c r="N12" s="21"/>
      <c r="O12" s="21"/>
    </row>
    <row r="13" spans="1:15" x14ac:dyDescent="0.2">
      <c r="A13" s="215"/>
      <c r="B13" s="12"/>
      <c r="C13" s="12"/>
      <c r="D13" s="11"/>
      <c r="E13" s="11"/>
      <c r="F13" s="526" t="s">
        <v>114</v>
      </c>
      <c r="G13" s="123"/>
      <c r="H13" s="122" t="s">
        <v>114</v>
      </c>
      <c r="I13" s="43"/>
      <c r="J13" s="43"/>
      <c r="K13" s="43"/>
      <c r="L13" s="21"/>
      <c r="M13" s="21"/>
      <c r="N13" s="21"/>
      <c r="O13" s="21"/>
    </row>
    <row r="14" spans="1:15" x14ac:dyDescent="0.2">
      <c r="A14" s="215" t="s">
        <v>513</v>
      </c>
      <c r="B14" s="12">
        <v>12</v>
      </c>
      <c r="C14" s="12"/>
      <c r="D14" s="11">
        <v>18000</v>
      </c>
      <c r="E14" s="11">
        <f t="shared" si="0"/>
        <v>216000</v>
      </c>
      <c r="F14" s="526" t="s">
        <v>114</v>
      </c>
      <c r="G14" s="123"/>
      <c r="H14" s="122" t="s">
        <v>114</v>
      </c>
      <c r="I14" s="43"/>
      <c r="J14" s="43"/>
      <c r="K14" s="43"/>
      <c r="L14" s="21"/>
      <c r="M14" s="21"/>
      <c r="N14" s="21"/>
      <c r="O14" s="21"/>
    </row>
    <row r="15" spans="1:15" x14ac:dyDescent="0.2">
      <c r="A15" s="13"/>
      <c r="B15" s="12"/>
      <c r="C15" s="12"/>
      <c r="D15" s="11"/>
      <c r="E15" s="11">
        <f t="shared" si="0"/>
        <v>0</v>
      </c>
      <c r="F15" s="125"/>
      <c r="G15" s="123"/>
      <c r="H15" s="122"/>
      <c r="I15" s="43"/>
      <c r="J15" s="43"/>
      <c r="K15" s="43"/>
      <c r="L15" s="21"/>
      <c r="M15" s="21"/>
      <c r="N15" s="21"/>
      <c r="O15" s="21"/>
    </row>
    <row r="16" spans="1:15" x14ac:dyDescent="0.2">
      <c r="A16" s="13"/>
      <c r="B16" s="12"/>
      <c r="C16" s="12"/>
      <c r="D16" s="11"/>
      <c r="E16" s="11">
        <f t="shared" si="0"/>
        <v>0</v>
      </c>
      <c r="F16" s="125"/>
      <c r="G16" s="123"/>
      <c r="H16" s="122"/>
      <c r="I16" s="43"/>
      <c r="J16" s="43"/>
      <c r="K16" s="43"/>
      <c r="L16" s="21"/>
      <c r="M16" s="21"/>
      <c r="N16" s="21"/>
      <c r="O16" s="21"/>
    </row>
    <row r="17" spans="1:15" x14ac:dyDescent="0.2">
      <c r="A17" s="13"/>
      <c r="B17" s="12"/>
      <c r="C17" s="12"/>
      <c r="D17" s="11"/>
      <c r="E17" s="11">
        <f t="shared" si="0"/>
        <v>0</v>
      </c>
      <c r="F17" s="125"/>
      <c r="G17" s="123"/>
      <c r="H17" s="122"/>
      <c r="I17" s="43"/>
      <c r="J17" s="43"/>
      <c r="K17" s="43"/>
      <c r="L17" s="21"/>
      <c r="M17" s="21"/>
      <c r="N17" s="21"/>
      <c r="O17" s="21"/>
    </row>
    <row r="18" spans="1:15" x14ac:dyDescent="0.2">
      <c r="A18" s="13"/>
      <c r="B18" s="12"/>
      <c r="C18" s="12"/>
      <c r="D18" s="11"/>
      <c r="E18" s="11">
        <f>B18*D18</f>
        <v>0</v>
      </c>
      <c r="F18" s="125"/>
      <c r="G18" s="123"/>
      <c r="H18" s="122"/>
      <c r="I18" s="43"/>
      <c r="J18" s="43"/>
      <c r="K18" s="43"/>
      <c r="L18" s="21"/>
      <c r="M18" s="21"/>
      <c r="N18" s="21"/>
      <c r="O18" s="21"/>
    </row>
    <row r="19" spans="1:15" x14ac:dyDescent="0.2">
      <c r="A19" s="13"/>
      <c r="B19" s="12"/>
      <c r="C19" s="12"/>
      <c r="D19" s="11"/>
      <c r="E19" s="11">
        <f>B19*D19</f>
        <v>0</v>
      </c>
      <c r="F19" s="125"/>
      <c r="G19" s="123"/>
      <c r="H19" s="122"/>
      <c r="I19" s="43"/>
      <c r="J19" s="43"/>
      <c r="K19" s="43"/>
      <c r="L19" s="21"/>
      <c r="M19" s="21"/>
      <c r="N19" s="21"/>
      <c r="O19" s="21"/>
    </row>
    <row r="20" spans="1:15" x14ac:dyDescent="0.2">
      <c r="A20" s="13"/>
      <c r="B20" s="12"/>
      <c r="C20" s="12"/>
      <c r="D20" s="11"/>
      <c r="E20" s="11"/>
      <c r="F20" s="125"/>
      <c r="G20" s="123"/>
      <c r="H20" s="122"/>
      <c r="I20" s="43"/>
      <c r="J20" s="43"/>
      <c r="K20" s="43"/>
      <c r="L20" s="21"/>
      <c r="M20" s="21"/>
      <c r="N20" s="21"/>
      <c r="O20" s="21"/>
    </row>
    <row r="21" spans="1:15" hidden="1" x14ac:dyDescent="0.2">
      <c r="A21" s="13"/>
      <c r="B21" s="12"/>
      <c r="C21" s="12"/>
      <c r="D21" s="11"/>
      <c r="E21" s="11"/>
      <c r="F21" s="26"/>
      <c r="G21" s="45"/>
      <c r="H21" s="43"/>
      <c r="I21" s="43"/>
      <c r="J21" s="43"/>
      <c r="K21" s="43"/>
      <c r="L21" s="21"/>
      <c r="M21" s="21"/>
      <c r="N21" s="21"/>
      <c r="O21" s="21"/>
    </row>
    <row r="22" spans="1:15" hidden="1" x14ac:dyDescent="0.2">
      <c r="A22" s="13"/>
      <c r="B22" s="12"/>
      <c r="C22" s="12"/>
      <c r="D22" s="11"/>
      <c r="E22" s="11"/>
      <c r="F22" s="26"/>
      <c r="G22" s="45"/>
      <c r="H22" s="43"/>
      <c r="I22" s="43"/>
      <c r="J22" s="43"/>
      <c r="K22" s="43"/>
      <c r="L22" s="21"/>
      <c r="M22" s="21"/>
      <c r="N22" s="21"/>
      <c r="O22" s="21"/>
    </row>
    <row r="23" spans="1:15" hidden="1" x14ac:dyDescent="0.2">
      <c r="A23" s="13"/>
      <c r="B23" s="12"/>
      <c r="C23" s="12"/>
      <c r="D23" s="11"/>
      <c r="E23" s="11"/>
      <c r="F23" s="26"/>
      <c r="G23" s="45"/>
      <c r="H23" s="43"/>
      <c r="I23" s="43"/>
      <c r="J23" s="43"/>
      <c r="K23" s="43"/>
      <c r="L23" s="21"/>
      <c r="M23" s="21"/>
      <c r="N23" s="21"/>
      <c r="O23" s="21"/>
    </row>
    <row r="24" spans="1:15" hidden="1" x14ac:dyDescent="0.2">
      <c r="A24" s="13"/>
      <c r="B24" s="12"/>
      <c r="C24" s="12"/>
      <c r="D24" s="11"/>
      <c r="E24" s="11"/>
      <c r="F24" s="26"/>
      <c r="G24" s="45"/>
      <c r="H24" s="43"/>
      <c r="I24" s="43"/>
      <c r="J24" s="43"/>
      <c r="K24" s="43"/>
      <c r="L24" s="21"/>
      <c r="M24" s="21"/>
      <c r="N24" s="21"/>
      <c r="O24" s="21"/>
    </row>
    <row r="25" spans="1:15" hidden="1" x14ac:dyDescent="0.2">
      <c r="A25" s="13"/>
      <c r="B25" s="12"/>
      <c r="C25" s="12"/>
      <c r="D25" s="11"/>
      <c r="E25" s="11"/>
      <c r="F25" s="26"/>
      <c r="G25" s="45"/>
      <c r="H25" s="43"/>
      <c r="I25" s="43"/>
      <c r="J25" s="43"/>
      <c r="K25" s="43"/>
      <c r="L25" s="21"/>
      <c r="M25" s="21"/>
      <c r="N25" s="21"/>
      <c r="O25" s="21"/>
    </row>
    <row r="26" spans="1:15" hidden="1" x14ac:dyDescent="0.2">
      <c r="A26" s="13"/>
      <c r="B26" s="12"/>
      <c r="C26" s="12"/>
      <c r="D26" s="11"/>
      <c r="E26" s="11"/>
      <c r="F26" s="26"/>
      <c r="G26" s="45"/>
      <c r="H26" s="43"/>
      <c r="I26" s="43"/>
      <c r="J26" s="43"/>
      <c r="K26" s="43"/>
      <c r="L26" s="21"/>
      <c r="M26" s="21"/>
      <c r="N26" s="21"/>
      <c r="O26" s="21"/>
    </row>
    <row r="27" spans="1:15" hidden="1" x14ac:dyDescent="0.2">
      <c r="A27" s="13"/>
      <c r="B27" s="12"/>
      <c r="C27" s="12"/>
      <c r="D27" s="11"/>
      <c r="E27" s="11"/>
      <c r="F27" s="26"/>
      <c r="G27" s="45"/>
      <c r="H27" s="43"/>
      <c r="I27" s="43"/>
      <c r="J27" s="43"/>
      <c r="K27" s="43"/>
      <c r="L27" s="21"/>
      <c r="M27" s="21"/>
      <c r="N27" s="21"/>
      <c r="O27" s="21"/>
    </row>
    <row r="28" spans="1:15" hidden="1" x14ac:dyDescent="0.2">
      <c r="A28" s="13"/>
      <c r="B28" s="12"/>
      <c r="C28" s="12"/>
      <c r="D28" s="11"/>
      <c r="E28" s="11"/>
      <c r="F28" s="26"/>
      <c r="G28" s="45"/>
      <c r="H28" s="43"/>
      <c r="I28" s="43"/>
      <c r="J28" s="43"/>
      <c r="K28" s="43"/>
      <c r="L28" s="21"/>
      <c r="M28" s="21"/>
      <c r="N28" s="21"/>
      <c r="O28" s="21"/>
    </row>
    <row r="29" spans="1:15" hidden="1" x14ac:dyDescent="0.2">
      <c r="A29" s="13"/>
      <c r="B29" s="12"/>
      <c r="C29" s="12"/>
      <c r="D29" s="11"/>
      <c r="E29" s="11"/>
      <c r="F29" s="26"/>
      <c r="G29" s="45"/>
      <c r="H29" s="43"/>
      <c r="I29" s="43"/>
      <c r="J29" s="43"/>
      <c r="K29" s="43"/>
      <c r="L29" s="21"/>
      <c r="M29" s="21"/>
      <c r="N29" s="21"/>
      <c r="O29" s="21"/>
    </row>
    <row r="30" spans="1:15" hidden="1" x14ac:dyDescent="0.2">
      <c r="A30" s="13"/>
      <c r="B30" s="12"/>
      <c r="C30" s="12"/>
      <c r="D30" s="11"/>
      <c r="E30" s="11"/>
      <c r="F30" s="26"/>
      <c r="G30" s="45"/>
      <c r="H30" s="43"/>
      <c r="I30" s="43"/>
      <c r="J30" s="43"/>
      <c r="K30" s="43"/>
      <c r="L30" s="21"/>
      <c r="M30" s="21"/>
      <c r="N30" s="21"/>
      <c r="O30" s="21"/>
    </row>
    <row r="31" spans="1:15" hidden="1" x14ac:dyDescent="0.2">
      <c r="A31" s="13"/>
      <c r="B31" s="12"/>
      <c r="C31" s="12"/>
      <c r="D31" s="11"/>
      <c r="E31" s="11"/>
      <c r="F31" s="26"/>
      <c r="G31" s="45"/>
      <c r="H31" s="43"/>
      <c r="I31" s="43"/>
      <c r="J31" s="43"/>
      <c r="K31" s="43"/>
      <c r="L31" s="21"/>
      <c r="M31" s="21"/>
      <c r="N31" s="21"/>
      <c r="O31" s="21"/>
    </row>
    <row r="32" spans="1:15" hidden="1" x14ac:dyDescent="0.2">
      <c r="A32" s="13"/>
      <c r="B32" s="12"/>
      <c r="C32" s="12"/>
      <c r="D32" s="11"/>
      <c r="E32" s="11"/>
      <c r="F32" s="26"/>
      <c r="G32" s="45"/>
      <c r="H32" s="43"/>
      <c r="I32" s="43"/>
      <c r="J32" s="43"/>
      <c r="K32" s="43"/>
      <c r="L32" s="21"/>
      <c r="M32" s="21"/>
      <c r="N32" s="21"/>
      <c r="O32" s="21"/>
    </row>
    <row r="33" spans="1:15" hidden="1" x14ac:dyDescent="0.2">
      <c r="A33" s="13"/>
      <c r="B33" s="12"/>
      <c r="C33" s="12"/>
      <c r="D33" s="11"/>
      <c r="E33" s="11"/>
      <c r="F33" s="26"/>
      <c r="G33" s="45"/>
      <c r="H33" s="43"/>
      <c r="I33" s="43"/>
      <c r="J33" s="43"/>
      <c r="K33" s="43"/>
      <c r="L33" s="21"/>
      <c r="M33" s="21"/>
      <c r="N33" s="21"/>
      <c r="O33" s="21"/>
    </row>
    <row r="34" spans="1:15" hidden="1" x14ac:dyDescent="0.2">
      <c r="A34" s="13"/>
      <c r="B34" s="12"/>
      <c r="C34" s="12"/>
      <c r="D34" s="11"/>
      <c r="E34" s="11"/>
      <c r="F34" s="26"/>
      <c r="G34" s="45"/>
      <c r="H34" s="43"/>
      <c r="I34" s="43"/>
      <c r="J34" s="43"/>
      <c r="K34" s="43"/>
      <c r="L34" s="21"/>
      <c r="M34" s="21"/>
      <c r="N34" s="21"/>
      <c r="O34" s="21"/>
    </row>
    <row r="35" spans="1:15" hidden="1" x14ac:dyDescent="0.2">
      <c r="A35" s="13"/>
      <c r="B35" s="12"/>
      <c r="C35" s="12"/>
      <c r="D35" s="11"/>
      <c r="E35" s="11"/>
      <c r="F35" s="26"/>
      <c r="G35" s="45"/>
      <c r="H35" s="43"/>
      <c r="I35" s="43"/>
      <c r="J35" s="43"/>
      <c r="K35" s="43"/>
      <c r="L35" s="21"/>
      <c r="M35" s="21"/>
      <c r="N35" s="21"/>
      <c r="O35" s="21"/>
    </row>
    <row r="36" spans="1:15" hidden="1" x14ac:dyDescent="0.2">
      <c r="A36" s="13"/>
      <c r="B36" s="12"/>
      <c r="C36" s="12"/>
      <c r="D36" s="11"/>
      <c r="E36" s="11"/>
      <c r="F36" s="26"/>
      <c r="G36" s="45"/>
      <c r="H36" s="43"/>
      <c r="I36" s="43"/>
      <c r="J36" s="43"/>
      <c r="K36" s="43"/>
      <c r="L36" s="21"/>
      <c r="M36" s="21"/>
      <c r="N36" s="21"/>
      <c r="O36" s="21"/>
    </row>
    <row r="37" spans="1:15" hidden="1" x14ac:dyDescent="0.2">
      <c r="A37" s="13"/>
      <c r="B37" s="12"/>
      <c r="C37" s="12"/>
      <c r="D37" s="11"/>
      <c r="E37" s="11"/>
      <c r="F37" s="26"/>
      <c r="G37" s="45"/>
      <c r="H37" s="43"/>
      <c r="I37" s="43"/>
      <c r="J37" s="43"/>
      <c r="K37" s="43"/>
      <c r="L37" s="21"/>
      <c r="M37" s="21"/>
      <c r="N37" s="21"/>
      <c r="O37" s="21"/>
    </row>
    <row r="38" spans="1:15" hidden="1" x14ac:dyDescent="0.2">
      <c r="A38" s="13"/>
      <c r="B38" s="12"/>
      <c r="C38" s="12"/>
      <c r="D38" s="11"/>
      <c r="E38" s="11"/>
      <c r="F38" s="26"/>
      <c r="G38" s="45"/>
      <c r="H38" s="43"/>
      <c r="I38" s="43"/>
      <c r="J38" s="43"/>
      <c r="K38" s="43"/>
      <c r="L38" s="21"/>
      <c r="M38" s="21"/>
      <c r="N38" s="21"/>
      <c r="O38" s="21"/>
    </row>
    <row r="39" spans="1:15" hidden="1" x14ac:dyDescent="0.2">
      <c r="A39" s="13"/>
      <c r="B39" s="12"/>
      <c r="C39" s="12"/>
      <c r="D39" s="11"/>
      <c r="E39" s="11"/>
      <c r="F39" s="26"/>
      <c r="G39" s="45"/>
      <c r="H39" s="43"/>
      <c r="I39" s="43"/>
      <c r="J39" s="43"/>
      <c r="K39" s="43"/>
      <c r="L39" s="21"/>
      <c r="M39" s="21"/>
      <c r="N39" s="21"/>
      <c r="O39" s="21"/>
    </row>
    <row r="40" spans="1:15" hidden="1" x14ac:dyDescent="0.2">
      <c r="A40" s="13"/>
      <c r="B40" s="12"/>
      <c r="C40" s="12"/>
      <c r="D40" s="11"/>
      <c r="E40" s="11"/>
      <c r="F40" s="26"/>
      <c r="G40" s="45"/>
      <c r="H40" s="43"/>
      <c r="I40" s="43"/>
      <c r="J40" s="43"/>
      <c r="K40" s="43"/>
      <c r="L40" s="21"/>
      <c r="M40" s="21"/>
      <c r="N40" s="21"/>
      <c r="O40" s="21"/>
    </row>
    <row r="41" spans="1:15" hidden="1" x14ac:dyDescent="0.2">
      <c r="A41" s="13"/>
      <c r="B41" s="12"/>
      <c r="C41" s="12"/>
      <c r="D41" s="11"/>
      <c r="E41" s="11"/>
      <c r="F41" s="26"/>
      <c r="G41" s="45"/>
      <c r="H41" s="43"/>
      <c r="I41" s="43"/>
      <c r="J41" s="43"/>
      <c r="K41" s="43"/>
      <c r="L41" s="21"/>
      <c r="M41" s="21"/>
      <c r="N41" s="21"/>
      <c r="O41" s="21"/>
    </row>
    <row r="42" spans="1:15" hidden="1" x14ac:dyDescent="0.2">
      <c r="A42" s="13"/>
      <c r="B42" s="12"/>
      <c r="C42" s="12"/>
      <c r="D42" s="11"/>
      <c r="E42" s="11"/>
      <c r="F42" s="26"/>
      <c r="G42" s="45"/>
      <c r="H42" s="43"/>
      <c r="I42" s="43"/>
      <c r="J42" s="43"/>
      <c r="K42" s="43"/>
      <c r="L42" s="21"/>
      <c r="M42" s="21"/>
      <c r="N42" s="21"/>
      <c r="O42" s="21"/>
    </row>
    <row r="43" spans="1:15" hidden="1" x14ac:dyDescent="0.2">
      <c r="A43" s="13"/>
      <c r="B43" s="12"/>
      <c r="C43" s="12"/>
      <c r="D43" s="11"/>
      <c r="E43" s="11"/>
      <c r="F43" s="26"/>
      <c r="G43" s="45"/>
      <c r="H43" s="43"/>
      <c r="I43" s="43"/>
      <c r="J43" s="43"/>
      <c r="K43" s="43"/>
      <c r="L43" s="21"/>
      <c r="M43" s="21"/>
      <c r="N43" s="21"/>
      <c r="O43" s="21"/>
    </row>
    <row r="44" spans="1:15" hidden="1" x14ac:dyDescent="0.2">
      <c r="A44" s="13"/>
      <c r="B44" s="12"/>
      <c r="C44" s="12"/>
      <c r="D44" s="11"/>
      <c r="E44" s="11"/>
      <c r="F44" s="26"/>
      <c r="G44" s="45"/>
      <c r="H44" s="43"/>
      <c r="I44" s="43"/>
      <c r="J44" s="43"/>
      <c r="K44" s="43"/>
      <c r="L44" s="21"/>
      <c r="M44" s="21"/>
      <c r="N44" s="21"/>
      <c r="O44" s="21"/>
    </row>
    <row r="45" spans="1:15" hidden="1" x14ac:dyDescent="0.2">
      <c r="A45" s="13"/>
      <c r="B45" s="12"/>
      <c r="C45" s="12"/>
      <c r="D45" s="11"/>
      <c r="E45" s="11"/>
      <c r="F45" s="26"/>
      <c r="G45" s="45"/>
      <c r="H45" s="43"/>
      <c r="I45" s="43"/>
      <c r="J45" s="43"/>
      <c r="K45" s="43"/>
      <c r="L45" s="21"/>
      <c r="M45" s="21"/>
      <c r="N45" s="21"/>
      <c r="O45" s="21"/>
    </row>
    <row r="46" spans="1:15" hidden="1" x14ac:dyDescent="0.2">
      <c r="A46" s="13"/>
      <c r="B46" s="12"/>
      <c r="C46" s="12"/>
      <c r="D46" s="11"/>
      <c r="E46" s="11"/>
      <c r="F46" s="26"/>
      <c r="G46" s="45"/>
      <c r="H46" s="43"/>
      <c r="I46" s="43"/>
      <c r="J46" s="43"/>
      <c r="K46" s="43"/>
      <c r="L46" s="21"/>
      <c r="M46" s="21"/>
      <c r="N46" s="21"/>
      <c r="O46" s="21"/>
    </row>
    <row r="47" spans="1:15" hidden="1" x14ac:dyDescent="0.2">
      <c r="A47" s="13"/>
      <c r="B47" s="12"/>
      <c r="C47" s="12"/>
      <c r="D47" s="11"/>
      <c r="E47" s="11"/>
      <c r="F47" s="26"/>
      <c r="G47" s="45"/>
      <c r="H47" s="43"/>
      <c r="I47" s="43"/>
      <c r="J47" s="43"/>
      <c r="K47" s="43"/>
      <c r="L47" s="21"/>
      <c r="M47" s="21"/>
      <c r="N47" s="21"/>
      <c r="O47" s="21"/>
    </row>
    <row r="48" spans="1:15" hidden="1" x14ac:dyDescent="0.2">
      <c r="A48" s="13"/>
      <c r="B48" s="12"/>
      <c r="C48" s="12"/>
      <c r="D48" s="11"/>
      <c r="E48" s="11"/>
      <c r="F48" s="26"/>
      <c r="G48" s="45"/>
      <c r="H48" s="43"/>
      <c r="I48" s="43"/>
      <c r="J48" s="43"/>
      <c r="K48" s="43"/>
      <c r="L48" s="21"/>
      <c r="M48" s="21"/>
      <c r="N48" s="21"/>
      <c r="O48" s="21"/>
    </row>
    <row r="49" spans="1:62" hidden="1" x14ac:dyDescent="0.2">
      <c r="A49" s="13"/>
      <c r="B49" s="12"/>
      <c r="C49" s="12"/>
      <c r="D49" s="11"/>
      <c r="E49" s="11"/>
      <c r="F49" s="26"/>
      <c r="G49" s="45"/>
      <c r="H49" s="43"/>
      <c r="I49" s="43"/>
      <c r="J49" s="43"/>
      <c r="K49" s="43"/>
      <c r="L49" s="21"/>
      <c r="M49" s="21"/>
      <c r="N49" s="21"/>
      <c r="O49" s="21"/>
    </row>
    <row r="50" spans="1:62" hidden="1" x14ac:dyDescent="0.2">
      <c r="A50" s="13"/>
      <c r="B50" s="12"/>
      <c r="C50" s="12"/>
      <c r="D50" s="11"/>
      <c r="E50" s="11"/>
      <c r="F50" s="26"/>
      <c r="G50" s="45"/>
      <c r="H50" s="43"/>
      <c r="I50" s="43"/>
      <c r="J50" s="43"/>
      <c r="K50" s="43"/>
      <c r="L50" s="21"/>
      <c r="M50" s="21"/>
      <c r="N50" s="21"/>
      <c r="O50" s="21"/>
    </row>
    <row r="51" spans="1:62" hidden="1" x14ac:dyDescent="0.2">
      <c r="A51" s="13"/>
      <c r="B51" s="12"/>
      <c r="C51" s="12"/>
      <c r="D51" s="11"/>
      <c r="E51" s="11"/>
      <c r="F51" s="26"/>
      <c r="G51" s="45"/>
      <c r="H51" s="43"/>
      <c r="I51" s="43"/>
      <c r="J51" s="43"/>
      <c r="K51" s="43"/>
      <c r="L51" s="21"/>
      <c r="M51" s="21"/>
      <c r="N51" s="21"/>
      <c r="O51" s="21"/>
    </row>
    <row r="52" spans="1:62" hidden="1" x14ac:dyDescent="0.2">
      <c r="A52" s="13"/>
      <c r="B52" s="12"/>
      <c r="C52" s="12"/>
      <c r="D52" s="11"/>
      <c r="E52" s="11"/>
      <c r="F52" s="26"/>
      <c r="G52" s="45"/>
      <c r="H52" s="43"/>
      <c r="I52" s="43"/>
      <c r="J52" s="43"/>
      <c r="K52" s="43"/>
      <c r="L52" s="21"/>
      <c r="M52" s="21"/>
      <c r="N52" s="21"/>
      <c r="O52" s="21"/>
    </row>
    <row r="53" spans="1:62" hidden="1" x14ac:dyDescent="0.2">
      <c r="A53" s="13"/>
      <c r="B53" s="12"/>
      <c r="C53" s="12"/>
      <c r="D53" s="11"/>
      <c r="E53" s="11"/>
      <c r="F53" s="26"/>
      <c r="G53" s="45"/>
      <c r="H53" s="43"/>
      <c r="I53" s="43"/>
      <c r="J53" s="43"/>
      <c r="K53" s="43"/>
      <c r="L53" s="21"/>
      <c r="M53" s="21"/>
      <c r="N53" s="21"/>
      <c r="O53" s="21"/>
    </row>
    <row r="54" spans="1:62" hidden="1" x14ac:dyDescent="0.2">
      <c r="A54" s="13"/>
      <c r="B54" s="12"/>
      <c r="C54" s="12"/>
      <c r="D54" s="11"/>
      <c r="E54" s="11"/>
      <c r="F54" s="26"/>
      <c r="G54" s="45"/>
      <c r="H54" s="43"/>
      <c r="I54" s="43"/>
      <c r="J54" s="43"/>
      <c r="K54" s="43"/>
      <c r="L54" s="21"/>
      <c r="M54" s="21"/>
      <c r="N54" s="21"/>
      <c r="O54" s="21"/>
    </row>
    <row r="55" spans="1:62" x14ac:dyDescent="0.2">
      <c r="A55" s="13"/>
      <c r="B55" s="12"/>
      <c r="C55" s="12"/>
      <c r="D55" s="11"/>
      <c r="E55" s="11"/>
      <c r="F55" s="46"/>
      <c r="G55" s="47"/>
      <c r="H55" s="43"/>
      <c r="I55" s="43"/>
      <c r="J55" s="43"/>
      <c r="K55" s="43"/>
      <c r="L55" s="21"/>
      <c r="M55" s="21"/>
      <c r="N55" s="21"/>
      <c r="O55" s="21"/>
    </row>
    <row r="56" spans="1:62" x14ac:dyDescent="0.2">
      <c r="A56" s="13"/>
      <c r="B56" s="640"/>
      <c r="C56" s="640"/>
      <c r="D56" s="633" t="s">
        <v>115</v>
      </c>
      <c r="E56" s="633"/>
      <c r="F56" s="132">
        <f>SUMIF(F6:F55,"si",E6:E55)</f>
        <v>1477400</v>
      </c>
      <c r="G56" s="132">
        <f>SUMIF(G6:G55,"si",E6:E55)</f>
        <v>0</v>
      </c>
      <c r="H56" s="132">
        <f>SUMIF(H6:H55,"si",$E6:$E55)</f>
        <v>1477400</v>
      </c>
      <c r="I56" s="132">
        <f>SUMIF(I6:I55,"si",$E6:$E55)</f>
        <v>0</v>
      </c>
      <c r="J56" s="132">
        <f>SUMIF(J6:J55,"si",$E6:$E55)</f>
        <v>0</v>
      </c>
      <c r="K56" s="132">
        <f>SUMIF(K6:K55,"si",$E6:$E55)</f>
        <v>0</v>
      </c>
      <c r="L56" s="21"/>
      <c r="M56" s="21"/>
      <c r="N56" s="21"/>
      <c r="O56" s="21"/>
    </row>
    <row r="57" spans="1:62" x14ac:dyDescent="0.2">
      <c r="A57" s="48"/>
      <c r="B57" s="641"/>
      <c r="C57" s="641"/>
      <c r="D57" s="633" t="s">
        <v>116</v>
      </c>
      <c r="E57" s="633"/>
      <c r="F57" s="132">
        <f t="shared" ref="F57:K57" si="1">(F56/12)/F4</f>
        <v>615.58333333333337</v>
      </c>
      <c r="G57" s="132">
        <f t="shared" si="1"/>
        <v>0</v>
      </c>
      <c r="H57" s="132">
        <f t="shared" si="1"/>
        <v>615.58333333333337</v>
      </c>
      <c r="I57" s="132">
        <f t="shared" si="1"/>
        <v>0</v>
      </c>
      <c r="J57" s="132">
        <f t="shared" si="1"/>
        <v>0</v>
      </c>
      <c r="K57" s="132">
        <f t="shared" si="1"/>
        <v>0</v>
      </c>
      <c r="L57" s="21"/>
      <c r="M57" s="21"/>
      <c r="N57" s="21"/>
      <c r="O57" s="21"/>
    </row>
    <row r="58" spans="1:62" x14ac:dyDescent="0.2">
      <c r="A58" s="21"/>
      <c r="B58" s="21"/>
      <c r="C58" s="32"/>
      <c r="D58" s="32"/>
      <c r="E58" s="11"/>
      <c r="F58" s="21"/>
      <c r="G58" s="21"/>
      <c r="H58" s="32"/>
      <c r="I58" s="59"/>
      <c r="J58" s="21"/>
      <c r="K58" s="21"/>
      <c r="L58" s="21"/>
      <c r="M58" s="21"/>
      <c r="N58" s="21"/>
      <c r="O58" s="21"/>
    </row>
    <row r="59" spans="1:62" x14ac:dyDescent="0.2">
      <c r="A59" s="21"/>
      <c r="B59" s="21"/>
      <c r="C59" s="32"/>
      <c r="D59" s="32"/>
      <c r="E59" s="11"/>
      <c r="F59" s="634" t="s">
        <v>148</v>
      </c>
      <c r="G59" s="634"/>
      <c r="H59" s="634"/>
      <c r="I59" s="634"/>
      <c r="J59" s="634"/>
      <c r="K59" s="634"/>
      <c r="L59" s="21"/>
      <c r="M59" s="21"/>
      <c r="N59" s="21"/>
      <c r="O59" s="21"/>
    </row>
    <row r="60" spans="1:62" ht="13.5" customHeight="1" x14ac:dyDescent="0.2">
      <c r="A60" s="49" t="s">
        <v>162</v>
      </c>
      <c r="B60" s="50"/>
      <c r="C60" s="50"/>
      <c r="D60" s="50"/>
      <c r="E60" s="50"/>
      <c r="F60" s="57">
        <v>200</v>
      </c>
      <c r="G60" s="57">
        <v>200</v>
      </c>
      <c r="H60" s="57">
        <v>200</v>
      </c>
      <c r="I60" s="57">
        <v>200</v>
      </c>
      <c r="J60" s="57">
        <v>200</v>
      </c>
      <c r="K60" s="57">
        <v>200</v>
      </c>
      <c r="L60" s="21"/>
      <c r="M60" s="21"/>
      <c r="N60" s="21"/>
      <c r="O60" s="21"/>
    </row>
    <row r="61" spans="1:62" ht="29.25" customHeight="1" x14ac:dyDescent="0.2">
      <c r="A61" s="637" t="s">
        <v>4</v>
      </c>
      <c r="B61" s="638"/>
      <c r="C61" s="639"/>
      <c r="D61" s="63" t="s">
        <v>161</v>
      </c>
      <c r="E61" s="63" t="s">
        <v>113</v>
      </c>
      <c r="F61" s="62" t="s">
        <v>171</v>
      </c>
      <c r="G61" s="62" t="s">
        <v>172</v>
      </c>
      <c r="H61" s="527" t="s">
        <v>173</v>
      </c>
      <c r="I61" s="62"/>
      <c r="J61" s="62"/>
      <c r="K61" s="62"/>
      <c r="L61" s="21"/>
      <c r="M61" s="21"/>
      <c r="N61" s="21"/>
      <c r="O61" s="21"/>
      <c r="BJ61" s="129"/>
    </row>
    <row r="62" spans="1:62" x14ac:dyDescent="0.2">
      <c r="A62" s="52" t="s">
        <v>174</v>
      </c>
      <c r="B62" s="32"/>
      <c r="C62" s="11"/>
      <c r="D62" s="11"/>
      <c r="E62" s="41"/>
      <c r="F62" s="45"/>
      <c r="G62" s="45"/>
      <c r="H62" s="43"/>
      <c r="I62" s="43"/>
      <c r="J62" s="43"/>
      <c r="K62" s="43"/>
      <c r="L62" s="21"/>
      <c r="M62" s="21"/>
      <c r="N62" s="21"/>
      <c r="O62" s="21">
        <v>2.2200000000000002</v>
      </c>
      <c r="BJ62" s="129"/>
    </row>
    <row r="63" spans="1:62" x14ac:dyDescent="0.2">
      <c r="A63" s="51" t="s">
        <v>57</v>
      </c>
      <c r="B63" s="32"/>
      <c r="C63" s="53"/>
      <c r="D63" s="11">
        <v>300</v>
      </c>
      <c r="E63" s="41">
        <f>D63*12*O62</f>
        <v>7992.0000000000009</v>
      </c>
      <c r="F63" s="45" t="s">
        <v>114</v>
      </c>
      <c r="G63" s="123"/>
      <c r="H63" s="432" t="s">
        <v>114</v>
      </c>
      <c r="I63" s="43"/>
      <c r="J63" s="43"/>
      <c r="K63" s="43"/>
      <c r="L63" s="21" t="s">
        <v>517</v>
      </c>
      <c r="M63" s="21"/>
      <c r="N63" s="21"/>
      <c r="O63" s="21"/>
      <c r="BJ63" s="129"/>
    </row>
    <row r="64" spans="1:62" x14ac:dyDescent="0.2">
      <c r="A64" s="51" t="s">
        <v>56</v>
      </c>
      <c r="B64" s="32"/>
      <c r="C64" s="53"/>
      <c r="D64" s="11">
        <v>80</v>
      </c>
      <c r="E64" s="41">
        <f>D64*12*O62</f>
        <v>2131.2000000000003</v>
      </c>
      <c r="F64" s="45" t="s">
        <v>114</v>
      </c>
      <c r="G64" s="123"/>
      <c r="H64" s="432" t="s">
        <v>114</v>
      </c>
      <c r="I64" s="43"/>
      <c r="J64" s="43"/>
      <c r="K64" s="43"/>
      <c r="L64" s="21" t="s">
        <v>517</v>
      </c>
      <c r="M64" s="21"/>
      <c r="N64" s="21"/>
      <c r="O64" s="21"/>
      <c r="BJ64" s="129"/>
    </row>
    <row r="65" spans="1:62" x14ac:dyDescent="0.2">
      <c r="A65" s="51"/>
      <c r="B65" s="32"/>
      <c r="C65" s="53"/>
      <c r="D65" s="11"/>
      <c r="E65" s="41"/>
      <c r="F65" s="45"/>
      <c r="G65" s="45"/>
      <c r="H65" s="43"/>
      <c r="I65" s="43"/>
      <c r="J65" s="43"/>
      <c r="K65" s="43"/>
      <c r="L65" s="21"/>
      <c r="M65" s="21"/>
      <c r="N65" s="21"/>
      <c r="O65" s="21"/>
      <c r="BJ65" s="129"/>
    </row>
    <row r="66" spans="1:62" x14ac:dyDescent="0.2">
      <c r="A66" s="51"/>
      <c r="B66" s="32"/>
      <c r="C66" s="53"/>
      <c r="D66" s="11"/>
      <c r="E66" s="41"/>
      <c r="F66" s="45"/>
      <c r="G66" s="45"/>
      <c r="H66" s="43"/>
      <c r="I66" s="43"/>
      <c r="J66" s="43"/>
      <c r="K66" s="43"/>
      <c r="L66" s="21"/>
      <c r="M66" s="21"/>
      <c r="N66" s="21"/>
      <c r="O66" s="21"/>
      <c r="BJ66" s="129"/>
    </row>
    <row r="67" spans="1:62" x14ac:dyDescent="0.2">
      <c r="A67" s="51"/>
      <c r="B67" s="32"/>
      <c r="C67" s="54"/>
      <c r="D67" s="11"/>
      <c r="E67" s="41"/>
      <c r="F67" s="45"/>
      <c r="G67" s="45"/>
      <c r="H67" s="43"/>
      <c r="I67" s="43"/>
      <c r="J67" s="43"/>
      <c r="K67" s="43"/>
      <c r="L67" s="21"/>
      <c r="M67" s="21"/>
      <c r="N67" s="21"/>
      <c r="O67" s="21"/>
      <c r="BJ67" s="129"/>
    </row>
    <row r="68" spans="1:62" x14ac:dyDescent="0.2">
      <c r="A68" s="51"/>
      <c r="B68" s="32"/>
      <c r="C68" s="11"/>
      <c r="D68" s="11"/>
      <c r="E68" s="41"/>
      <c r="F68" s="45"/>
      <c r="G68" s="45"/>
      <c r="H68" s="43"/>
      <c r="I68" s="43"/>
      <c r="J68" s="43"/>
      <c r="K68" s="43"/>
      <c r="L68" s="21"/>
      <c r="M68" s="21"/>
      <c r="N68" s="21"/>
      <c r="O68" s="21"/>
      <c r="BJ68" s="129"/>
    </row>
    <row r="69" spans="1:62" x14ac:dyDescent="0.2">
      <c r="A69" s="52" t="s">
        <v>7</v>
      </c>
      <c r="B69" s="32"/>
      <c r="C69" s="11"/>
      <c r="D69" s="32"/>
      <c r="E69" s="41"/>
      <c r="F69" s="45"/>
      <c r="G69" s="45"/>
      <c r="H69" s="43"/>
      <c r="I69" s="43"/>
      <c r="J69" s="43"/>
      <c r="K69" s="43"/>
      <c r="L69" s="21"/>
      <c r="M69" s="21"/>
      <c r="N69" s="21"/>
      <c r="O69" s="21"/>
      <c r="BJ69" s="129"/>
    </row>
    <row r="70" spans="1:62" x14ac:dyDescent="0.2">
      <c r="A70" s="51"/>
      <c r="B70" s="32"/>
      <c r="C70" s="11"/>
      <c r="E70" s="11">
        <f>(35594+11760+55708+3500+7200+6500+7000+10700+9900+3700+6600+10100)*O62</f>
        <v>373541.64</v>
      </c>
      <c r="F70" s="505" t="s">
        <v>114</v>
      </c>
      <c r="G70" s="45"/>
      <c r="H70" s="432" t="s">
        <v>114</v>
      </c>
      <c r="I70" s="43"/>
      <c r="J70" s="43"/>
      <c r="K70" s="43"/>
      <c r="L70" s="21"/>
      <c r="M70" s="21"/>
      <c r="N70" s="21"/>
      <c r="O70" s="21"/>
      <c r="BJ70" s="129"/>
    </row>
    <row r="71" spans="1:62" x14ac:dyDescent="0.2">
      <c r="A71" s="51"/>
      <c r="B71" s="32"/>
      <c r="C71" s="11"/>
      <c r="D71" s="11"/>
      <c r="E71" s="41"/>
      <c r="F71" s="45"/>
      <c r="G71" s="45"/>
      <c r="H71" s="43"/>
      <c r="I71" s="43"/>
      <c r="J71" s="43"/>
      <c r="K71" s="43"/>
      <c r="L71" s="21"/>
      <c r="M71" s="21"/>
      <c r="N71" s="21"/>
      <c r="O71" s="21"/>
      <c r="BJ71" s="129"/>
    </row>
    <row r="72" spans="1:62" x14ac:dyDescent="0.2">
      <c r="A72" s="51"/>
      <c r="B72" s="32"/>
      <c r="C72" s="11"/>
      <c r="D72" s="11"/>
      <c r="E72" s="41"/>
      <c r="F72" s="45"/>
      <c r="G72" s="45"/>
      <c r="H72" s="43"/>
      <c r="I72" s="43"/>
      <c r="J72" s="43"/>
      <c r="K72" s="43"/>
      <c r="L72" s="21"/>
      <c r="M72" s="21"/>
      <c r="N72" s="21"/>
      <c r="O72" s="21"/>
      <c r="BJ72" s="129"/>
    </row>
    <row r="73" spans="1:62" x14ac:dyDescent="0.2">
      <c r="A73" s="51"/>
      <c r="B73" s="32"/>
      <c r="C73" s="11"/>
      <c r="D73" s="11"/>
      <c r="E73" s="41"/>
      <c r="F73" s="45"/>
      <c r="G73" s="45"/>
      <c r="H73" s="43"/>
      <c r="I73" s="43"/>
      <c r="J73" s="43"/>
      <c r="K73" s="43"/>
      <c r="L73" s="21"/>
      <c r="M73" s="21"/>
      <c r="N73" s="21"/>
      <c r="O73" s="21"/>
      <c r="BJ73" s="129"/>
    </row>
    <row r="74" spans="1:62" x14ac:dyDescent="0.2">
      <c r="A74" s="51"/>
      <c r="B74" s="32"/>
      <c r="C74" s="11"/>
      <c r="D74" s="11"/>
      <c r="E74" s="41"/>
      <c r="F74" s="45" t="s">
        <v>114</v>
      </c>
      <c r="G74" s="45"/>
      <c r="H74" s="432" t="s">
        <v>114</v>
      </c>
      <c r="I74" s="43"/>
      <c r="J74" s="43"/>
      <c r="K74" s="43"/>
      <c r="L74" s="21"/>
      <c r="M74" s="21"/>
      <c r="N74" s="21"/>
      <c r="O74" s="21"/>
      <c r="BJ74" s="129"/>
    </row>
    <row r="75" spans="1:62" x14ac:dyDescent="0.2">
      <c r="A75" s="52" t="s">
        <v>55</v>
      </c>
      <c r="B75" s="21"/>
      <c r="C75" s="21"/>
      <c r="D75" s="21"/>
      <c r="E75" s="41"/>
      <c r="F75" s="45"/>
      <c r="G75" s="45"/>
      <c r="H75" s="43"/>
      <c r="I75" s="43"/>
      <c r="J75" s="43"/>
      <c r="K75" s="43"/>
      <c r="L75" s="21"/>
      <c r="M75" s="21"/>
      <c r="N75" s="21"/>
      <c r="O75" s="21"/>
      <c r="BJ75" s="129"/>
    </row>
    <row r="76" spans="1:62" x14ac:dyDescent="0.2">
      <c r="A76" s="128" t="s">
        <v>175</v>
      </c>
      <c r="B76" s="11"/>
      <c r="C76" s="11"/>
      <c r="D76" s="32"/>
      <c r="E76" s="41">
        <f>119000*O62</f>
        <v>264180</v>
      </c>
      <c r="F76" s="123" t="s">
        <v>114</v>
      </c>
      <c r="G76" s="123"/>
      <c r="H76" s="432" t="s">
        <v>114</v>
      </c>
      <c r="I76" s="43"/>
      <c r="J76" s="43"/>
      <c r="K76" s="43"/>
      <c r="L76" s="21"/>
      <c r="M76" s="21"/>
      <c r="N76" s="21"/>
      <c r="O76" s="21"/>
      <c r="BJ76" s="129"/>
    </row>
    <row r="77" spans="1:62" x14ac:dyDescent="0.2">
      <c r="A77" s="51"/>
      <c r="B77" s="11"/>
      <c r="C77" s="11"/>
      <c r="D77" s="32"/>
      <c r="E77" s="41"/>
      <c r="F77" s="45"/>
      <c r="G77" s="45"/>
      <c r="H77" s="43"/>
      <c r="I77" s="43"/>
      <c r="J77" s="43"/>
      <c r="K77" s="43"/>
      <c r="L77" s="21"/>
      <c r="M77" s="21"/>
      <c r="N77" s="21"/>
      <c r="O77" s="21"/>
      <c r="BJ77" s="129"/>
    </row>
    <row r="78" spans="1:62" x14ac:dyDescent="0.2">
      <c r="A78" s="51"/>
      <c r="B78" s="11"/>
      <c r="C78" s="11"/>
      <c r="D78" s="32"/>
      <c r="E78" s="41"/>
      <c r="F78" s="45"/>
      <c r="G78" s="45"/>
      <c r="H78" s="43"/>
      <c r="I78" s="43"/>
      <c r="J78" s="43"/>
      <c r="K78" s="43"/>
      <c r="L78" s="21"/>
      <c r="M78" s="21"/>
      <c r="N78" s="21"/>
      <c r="O78" s="21"/>
      <c r="BJ78" s="129"/>
    </row>
    <row r="79" spans="1:62" x14ac:dyDescent="0.2">
      <c r="A79" s="51"/>
      <c r="B79" s="11"/>
      <c r="C79" s="11"/>
      <c r="D79" s="32"/>
      <c r="E79" s="41"/>
      <c r="F79" s="45"/>
      <c r="G79" s="45"/>
      <c r="H79" s="43"/>
      <c r="I79" s="43"/>
      <c r="J79" s="43"/>
      <c r="K79" s="43"/>
      <c r="L79" s="21"/>
      <c r="M79" s="21"/>
      <c r="N79" s="21"/>
      <c r="O79" s="21"/>
      <c r="BJ79" s="129"/>
    </row>
    <row r="80" spans="1:62" x14ac:dyDescent="0.2">
      <c r="A80" s="51"/>
      <c r="B80" s="11"/>
      <c r="C80" s="11"/>
      <c r="D80" s="32"/>
      <c r="E80" s="41"/>
      <c r="F80" s="45"/>
      <c r="G80" s="45"/>
      <c r="H80" s="43"/>
      <c r="I80" s="43"/>
      <c r="J80" s="43"/>
      <c r="K80" s="43"/>
      <c r="L80" s="21"/>
      <c r="M80" s="21"/>
      <c r="N80" s="21"/>
      <c r="O80" s="21"/>
      <c r="BJ80" s="129"/>
    </row>
    <row r="81" spans="1:62" x14ac:dyDescent="0.2">
      <c r="A81" s="51"/>
      <c r="B81" s="11"/>
      <c r="C81" s="11"/>
      <c r="D81" s="32"/>
      <c r="E81" s="41"/>
      <c r="F81" s="45"/>
      <c r="G81" s="45"/>
      <c r="H81" s="43"/>
      <c r="I81" s="43"/>
      <c r="J81" s="43"/>
      <c r="K81" s="43"/>
      <c r="L81" s="21"/>
      <c r="M81" s="21"/>
      <c r="N81" s="21"/>
      <c r="O81" s="21"/>
      <c r="BJ81" s="129"/>
    </row>
    <row r="82" spans="1:62" x14ac:dyDescent="0.2">
      <c r="A82" s="51"/>
      <c r="B82" s="11"/>
      <c r="C82" s="11"/>
      <c r="D82" s="32"/>
      <c r="E82" s="41"/>
      <c r="F82" s="45"/>
      <c r="G82" s="45"/>
      <c r="H82" s="43"/>
      <c r="I82" s="43"/>
      <c r="J82" s="43"/>
      <c r="K82" s="43"/>
      <c r="L82" s="21"/>
      <c r="M82" s="21"/>
      <c r="N82" s="21"/>
      <c r="O82" s="21"/>
      <c r="BJ82" s="129"/>
    </row>
    <row r="83" spans="1:62" x14ac:dyDescent="0.2">
      <c r="A83" s="51"/>
      <c r="B83" s="11"/>
      <c r="C83" s="11"/>
      <c r="D83" s="32"/>
      <c r="E83" s="41"/>
      <c r="F83" s="45"/>
      <c r="G83" s="45"/>
      <c r="H83" s="43"/>
      <c r="I83" s="43"/>
      <c r="J83" s="43"/>
      <c r="K83" s="43"/>
      <c r="L83" s="21"/>
      <c r="M83" s="21"/>
      <c r="N83" s="21"/>
      <c r="O83" s="21"/>
      <c r="BJ83" s="129"/>
    </row>
    <row r="84" spans="1:62" x14ac:dyDescent="0.2">
      <c r="A84" s="51"/>
      <c r="B84" s="11"/>
      <c r="C84" s="11"/>
      <c r="D84" s="32"/>
      <c r="E84" s="41"/>
      <c r="F84" s="45"/>
      <c r="G84" s="45"/>
      <c r="H84" s="43"/>
      <c r="I84" s="43"/>
      <c r="J84" s="43"/>
      <c r="K84" s="43"/>
      <c r="L84" s="21"/>
      <c r="M84" s="21"/>
      <c r="N84" s="21"/>
      <c r="O84" s="21"/>
      <c r="BJ84" s="129"/>
    </row>
    <row r="85" spans="1:62" x14ac:dyDescent="0.2">
      <c r="A85" s="51"/>
      <c r="B85" s="11"/>
      <c r="C85" s="11"/>
      <c r="D85" s="32"/>
      <c r="E85" s="41"/>
      <c r="F85" s="45"/>
      <c r="G85" s="45"/>
      <c r="H85" s="43"/>
      <c r="I85" s="43"/>
      <c r="J85" s="43"/>
      <c r="K85" s="43"/>
      <c r="L85" s="21"/>
      <c r="M85" s="21"/>
      <c r="N85" s="21"/>
      <c r="O85" s="21"/>
      <c r="BJ85" s="129"/>
    </row>
    <row r="86" spans="1:62" x14ac:dyDescent="0.2">
      <c r="A86" s="51"/>
      <c r="B86" s="11"/>
      <c r="C86" s="11"/>
      <c r="D86" s="32"/>
      <c r="E86" s="41"/>
      <c r="F86" s="45"/>
      <c r="G86" s="45"/>
      <c r="H86" s="43"/>
      <c r="I86" s="43"/>
      <c r="J86" s="43"/>
      <c r="K86" s="43"/>
      <c r="L86" s="21"/>
      <c r="M86" s="21"/>
      <c r="N86" s="21"/>
      <c r="O86" s="21"/>
      <c r="BJ86" s="129"/>
    </row>
    <row r="87" spans="1:62" x14ac:dyDescent="0.2">
      <c r="A87" s="52" t="s">
        <v>165</v>
      </c>
      <c r="B87" s="11"/>
      <c r="C87" s="11"/>
      <c r="D87" s="32"/>
      <c r="E87" s="41"/>
      <c r="F87" s="45"/>
      <c r="G87" s="45"/>
      <c r="H87" s="43"/>
      <c r="I87" s="43"/>
      <c r="J87" s="43"/>
      <c r="K87" s="43"/>
      <c r="L87" s="21"/>
      <c r="M87" s="21"/>
      <c r="N87" s="21"/>
      <c r="O87" s="21"/>
      <c r="BJ87" s="129"/>
    </row>
    <row r="88" spans="1:62" x14ac:dyDescent="0.2">
      <c r="A88" s="52"/>
      <c r="B88" s="11"/>
      <c r="C88" s="11"/>
      <c r="D88" s="32"/>
      <c r="E88" s="41"/>
      <c r="F88" s="45"/>
      <c r="G88" s="45"/>
      <c r="H88" s="43"/>
      <c r="I88" s="43"/>
      <c r="J88" s="43"/>
      <c r="K88" s="43"/>
      <c r="L88" s="21"/>
      <c r="M88" s="21"/>
      <c r="N88" s="21"/>
      <c r="O88" s="21"/>
      <c r="BJ88" s="129"/>
    </row>
    <row r="89" spans="1:62" x14ac:dyDescent="0.2">
      <c r="A89" s="52"/>
      <c r="B89" s="11"/>
      <c r="C89" s="11"/>
      <c r="D89" s="32"/>
      <c r="E89" s="41"/>
      <c r="F89" s="45"/>
      <c r="G89" s="45"/>
      <c r="H89" s="43"/>
      <c r="I89" s="43"/>
      <c r="J89" s="43"/>
      <c r="K89" s="43"/>
      <c r="L89" s="21"/>
      <c r="M89" s="21"/>
      <c r="N89" s="21"/>
      <c r="O89" s="21"/>
      <c r="BJ89" s="129"/>
    </row>
    <row r="90" spans="1:62" x14ac:dyDescent="0.2">
      <c r="A90" s="51"/>
      <c r="B90" s="11"/>
      <c r="C90" s="11"/>
      <c r="D90" s="32"/>
      <c r="E90" s="41"/>
      <c r="F90" s="45"/>
      <c r="G90" s="45"/>
      <c r="H90" s="43"/>
      <c r="I90" s="43"/>
      <c r="J90" s="43"/>
      <c r="K90" s="43"/>
      <c r="L90" s="21"/>
      <c r="M90" s="21"/>
      <c r="N90" s="21"/>
      <c r="O90" s="21"/>
      <c r="BJ90" s="129"/>
    </row>
    <row r="91" spans="1:62" x14ac:dyDescent="0.2">
      <c r="A91" s="51"/>
      <c r="B91" s="11"/>
      <c r="C91" s="11"/>
      <c r="D91" s="32"/>
      <c r="E91" s="41"/>
      <c r="F91" s="45"/>
      <c r="G91" s="45"/>
      <c r="H91" s="43"/>
      <c r="I91" s="43"/>
      <c r="J91" s="43"/>
      <c r="K91" s="43"/>
      <c r="L91" s="21"/>
      <c r="M91" s="21"/>
      <c r="N91" s="21"/>
      <c r="O91" s="21"/>
      <c r="BJ91" s="129"/>
    </row>
    <row r="92" spans="1:62" x14ac:dyDescent="0.2">
      <c r="A92" s="51"/>
      <c r="B92" s="11"/>
      <c r="C92" s="11"/>
      <c r="D92" s="32"/>
      <c r="E92" s="41"/>
      <c r="F92" s="47"/>
      <c r="G92" s="47"/>
      <c r="H92" s="55"/>
      <c r="I92" s="55"/>
      <c r="J92" s="55"/>
      <c r="K92" s="55"/>
      <c r="L92" s="21"/>
      <c r="M92" s="21"/>
      <c r="N92" s="21"/>
      <c r="O92" s="21"/>
      <c r="BJ92" s="129"/>
    </row>
    <row r="93" spans="1:62" x14ac:dyDescent="0.2">
      <c r="A93" s="51"/>
      <c r="B93" s="21"/>
      <c r="C93" s="21"/>
      <c r="D93" s="633" t="s">
        <v>115</v>
      </c>
      <c r="E93" s="633"/>
      <c r="F93" s="133">
        <f>SUMIF(F62:F92,"si",E62:E92)</f>
        <v>647844.84000000008</v>
      </c>
      <c r="G93" s="133">
        <f>SUMIF(G62:G92,"si",E62:E92)</f>
        <v>0</v>
      </c>
      <c r="H93" s="133">
        <f>SUMIF(H62:H92,"si",$E$62:$E$92)</f>
        <v>647844.84000000008</v>
      </c>
      <c r="I93" s="133">
        <f>SUMIF(I62:I92,"si",$E$62:$E$92)</f>
        <v>0</v>
      </c>
      <c r="J93" s="133">
        <f>SUMIF(J62:J92,"si",$E$62:$E$92)</f>
        <v>0</v>
      </c>
      <c r="K93" s="133">
        <f>SUMIF(K62:K92,"si",$E$62:$E$92)</f>
        <v>0</v>
      </c>
      <c r="L93" s="21"/>
      <c r="M93" s="21"/>
      <c r="N93" s="21"/>
      <c r="O93" s="21"/>
      <c r="BJ93" s="129"/>
    </row>
    <row r="94" spans="1:62" x14ac:dyDescent="0.2">
      <c r="A94" s="48"/>
      <c r="B94" s="38"/>
      <c r="C94" s="37"/>
      <c r="D94" s="633" t="s">
        <v>116</v>
      </c>
      <c r="E94" s="633"/>
      <c r="F94" s="132">
        <f t="shared" ref="F94:K94" si="2">(F93/12)/F60</f>
        <v>269.93535000000003</v>
      </c>
      <c r="G94" s="132">
        <f t="shared" si="2"/>
        <v>0</v>
      </c>
      <c r="H94" s="132">
        <f t="shared" si="2"/>
        <v>269.93535000000003</v>
      </c>
      <c r="I94" s="132">
        <f t="shared" si="2"/>
        <v>0</v>
      </c>
      <c r="J94" s="132">
        <f t="shared" si="2"/>
        <v>0</v>
      </c>
      <c r="K94" s="132">
        <f t="shared" si="2"/>
        <v>0</v>
      </c>
      <c r="L94" s="21"/>
      <c r="M94" s="21"/>
      <c r="N94" s="21"/>
      <c r="O94" s="21"/>
      <c r="BJ94" s="129"/>
    </row>
    <row r="95" spans="1:62" x14ac:dyDescent="0.2">
      <c r="A95" s="21"/>
      <c r="B95" s="21"/>
      <c r="C95" s="21"/>
      <c r="D95" s="21"/>
      <c r="E95" s="21"/>
      <c r="F95" s="21"/>
      <c r="G95" s="21"/>
      <c r="H95" s="32"/>
      <c r="I95" s="21"/>
      <c r="J95" s="21"/>
      <c r="K95" s="21"/>
      <c r="L95" s="21"/>
      <c r="M95" s="21"/>
      <c r="N95" s="21"/>
      <c r="O95" s="21"/>
    </row>
    <row r="96" spans="1:62" x14ac:dyDescent="0.2">
      <c r="A96" s="21"/>
      <c r="B96" s="21"/>
      <c r="C96" s="21"/>
      <c r="D96" s="21"/>
      <c r="E96" s="21"/>
      <c r="F96" s="21"/>
      <c r="G96" s="21"/>
      <c r="H96" s="32"/>
      <c r="I96" s="21"/>
      <c r="J96" s="21"/>
      <c r="K96" s="21"/>
      <c r="L96" s="21"/>
      <c r="M96" s="21"/>
      <c r="N96" s="21"/>
      <c r="O96" s="21"/>
    </row>
    <row r="97" spans="1:15" x14ac:dyDescent="0.2">
      <c r="A97" s="21"/>
      <c r="B97" s="21"/>
      <c r="C97" s="21"/>
      <c r="D97" s="21"/>
      <c r="E97" s="21"/>
      <c r="F97" s="21"/>
      <c r="G97" s="21"/>
      <c r="H97" s="32"/>
      <c r="I97" s="21"/>
      <c r="J97" s="21"/>
      <c r="K97" s="21"/>
      <c r="L97" s="21"/>
      <c r="M97" s="21"/>
      <c r="N97" s="21"/>
      <c r="O97" s="21"/>
    </row>
    <row r="98" spans="1:15" x14ac:dyDescent="0.2">
      <c r="A98" s="21"/>
      <c r="B98" s="21"/>
      <c r="C98" s="21"/>
      <c r="D98" s="21"/>
      <c r="E98" s="21"/>
      <c r="F98" s="21"/>
      <c r="G98" s="21"/>
      <c r="H98" s="32"/>
      <c r="I98" s="21"/>
      <c r="J98" s="21"/>
      <c r="K98" s="21"/>
      <c r="L98" s="21"/>
      <c r="M98" s="21"/>
      <c r="N98" s="21"/>
      <c r="O98" s="21"/>
    </row>
    <row r="99" spans="1:15" x14ac:dyDescent="0.2">
      <c r="A99" s="21"/>
      <c r="B99" s="21"/>
      <c r="C99" s="21"/>
      <c r="D99" s="21"/>
      <c r="E99" s="21"/>
      <c r="F99" s="21"/>
      <c r="G99" s="21"/>
      <c r="H99" s="32"/>
      <c r="I99" s="21"/>
      <c r="J99" s="21"/>
      <c r="K99" s="21"/>
      <c r="L99" s="21"/>
      <c r="M99" s="21"/>
      <c r="N99" s="21"/>
      <c r="O99" s="21"/>
    </row>
    <row r="100" spans="1:15" x14ac:dyDescent="0.2">
      <c r="A100" s="21"/>
      <c r="B100" s="21"/>
      <c r="C100" s="21"/>
      <c r="D100" s="21"/>
      <c r="E100" s="21"/>
      <c r="F100" s="21"/>
      <c r="G100" s="21"/>
      <c r="H100" s="32"/>
      <c r="I100" s="21"/>
      <c r="J100" s="21"/>
      <c r="K100" s="21"/>
      <c r="L100" s="21"/>
      <c r="M100" s="21"/>
      <c r="N100" s="21"/>
      <c r="O100" s="21"/>
    </row>
    <row r="101" spans="1:15" x14ac:dyDescent="0.2">
      <c r="A101" s="21"/>
      <c r="B101" s="21"/>
      <c r="C101" s="21"/>
      <c r="D101" s="21"/>
      <c r="E101" s="21"/>
      <c r="F101" s="21">
        <f>+F94*8*30</f>
        <v>64784.484000000004</v>
      </c>
      <c r="G101" s="541">
        <f>+F101/F102</f>
        <v>4.3189656E-2</v>
      </c>
      <c r="H101" s="32"/>
      <c r="I101" s="21"/>
      <c r="J101" s="21"/>
      <c r="K101" s="21"/>
      <c r="L101" s="21"/>
      <c r="M101" s="21"/>
      <c r="N101" s="21"/>
      <c r="O101" s="21"/>
    </row>
    <row r="102" spans="1:15" x14ac:dyDescent="0.2">
      <c r="A102" s="21"/>
      <c r="B102" s="21"/>
      <c r="C102" s="21"/>
      <c r="D102" s="21"/>
      <c r="E102" s="21"/>
      <c r="F102" s="21">
        <v>1500000</v>
      </c>
      <c r="G102" s="21"/>
      <c r="H102" s="32"/>
      <c r="I102" s="21"/>
      <c r="J102" s="21"/>
      <c r="K102" s="21"/>
      <c r="L102" s="21"/>
      <c r="M102" s="21"/>
      <c r="N102" s="21"/>
      <c r="O102" s="21"/>
    </row>
    <row r="103" spans="1:15" x14ac:dyDescent="0.2">
      <c r="A103" s="21"/>
      <c r="B103" s="21"/>
      <c r="C103" s="21"/>
      <c r="D103" s="21"/>
      <c r="E103" s="21"/>
      <c r="F103" s="21"/>
      <c r="G103" s="21"/>
      <c r="H103" s="32"/>
      <c r="I103" s="21"/>
      <c r="J103" s="21"/>
      <c r="K103" s="21"/>
      <c r="L103" s="21"/>
      <c r="M103" s="21"/>
      <c r="N103" s="21"/>
      <c r="O103" s="21"/>
    </row>
    <row r="104" spans="1:15" x14ac:dyDescent="0.2">
      <c r="A104" s="21"/>
      <c r="B104" s="21"/>
      <c r="C104" s="21"/>
      <c r="D104" s="21"/>
      <c r="E104" s="21"/>
      <c r="F104" s="21"/>
      <c r="G104" s="21"/>
      <c r="H104" s="32"/>
      <c r="I104" s="21"/>
      <c r="J104" s="21"/>
      <c r="K104" s="21"/>
      <c r="L104" s="21"/>
      <c r="M104" s="21"/>
      <c r="N104" s="21"/>
      <c r="O104" s="21"/>
    </row>
    <row r="105" spans="1:15" x14ac:dyDescent="0.2">
      <c r="A105" s="21"/>
      <c r="B105" s="21"/>
      <c r="C105" s="21"/>
      <c r="D105" s="21"/>
      <c r="E105" s="21"/>
      <c r="F105" s="21"/>
      <c r="G105" s="21"/>
      <c r="H105" s="32"/>
      <c r="I105" s="21"/>
      <c r="J105" s="21"/>
      <c r="K105" s="21"/>
      <c r="L105" s="21"/>
      <c r="M105" s="21"/>
      <c r="N105" s="21"/>
      <c r="O105" s="21"/>
    </row>
    <row r="106" spans="1:15" x14ac:dyDescent="0.2">
      <c r="A106" s="21"/>
      <c r="B106" s="21"/>
      <c r="C106" s="21"/>
      <c r="D106" s="21"/>
      <c r="E106" s="21"/>
      <c r="F106" s="21"/>
      <c r="G106" s="21"/>
      <c r="H106" s="32"/>
      <c r="I106" s="21"/>
      <c r="J106" s="21"/>
      <c r="K106" s="21"/>
      <c r="L106" s="21"/>
      <c r="M106" s="21"/>
      <c r="N106" s="21"/>
      <c r="O106" s="21"/>
    </row>
    <row r="107" spans="1:15" x14ac:dyDescent="0.2">
      <c r="A107" s="21"/>
      <c r="B107" s="21"/>
      <c r="C107" s="21"/>
      <c r="D107" s="21"/>
      <c r="E107" s="21"/>
      <c r="F107" s="21"/>
      <c r="G107" s="21"/>
      <c r="H107" s="32"/>
      <c r="I107" s="21"/>
      <c r="J107" s="21"/>
      <c r="K107" s="21"/>
      <c r="L107" s="21"/>
      <c r="M107" s="21"/>
      <c r="N107" s="21"/>
      <c r="O107" s="21"/>
    </row>
    <row r="108" spans="1:15" x14ac:dyDescent="0.2">
      <c r="A108" s="21"/>
      <c r="B108" s="21"/>
      <c r="C108" s="21"/>
      <c r="D108" s="21"/>
      <c r="E108" s="21"/>
      <c r="F108" s="21"/>
      <c r="G108" s="21"/>
      <c r="H108" s="32"/>
      <c r="I108" s="21"/>
      <c r="J108" s="21"/>
      <c r="K108" s="21"/>
      <c r="L108" s="21"/>
      <c r="M108" s="21"/>
      <c r="N108" s="21"/>
      <c r="O108" s="21"/>
    </row>
    <row r="109" spans="1:15" x14ac:dyDescent="0.2">
      <c r="A109" s="21"/>
      <c r="B109" s="21"/>
      <c r="C109" s="21"/>
      <c r="D109" s="21"/>
      <c r="E109" s="21"/>
      <c r="F109" s="21"/>
      <c r="G109" s="21"/>
      <c r="H109" s="32"/>
      <c r="I109" s="21"/>
      <c r="J109" s="21"/>
      <c r="K109" s="21"/>
      <c r="L109" s="21"/>
      <c r="M109" s="21"/>
      <c r="N109" s="21"/>
      <c r="O109" s="21"/>
    </row>
    <row r="110" spans="1:15" x14ac:dyDescent="0.2">
      <c r="A110" s="21"/>
      <c r="B110" s="21"/>
      <c r="C110" s="21"/>
      <c r="D110" s="21"/>
      <c r="E110" s="21"/>
      <c r="F110" s="21"/>
      <c r="G110" s="21"/>
      <c r="H110" s="32"/>
      <c r="I110" s="21"/>
      <c r="J110" s="21"/>
      <c r="K110" s="21"/>
      <c r="L110" s="21"/>
      <c r="M110" s="21"/>
      <c r="N110" s="21"/>
      <c r="O110" s="21"/>
    </row>
    <row r="111" spans="1:15" x14ac:dyDescent="0.2">
      <c r="A111" s="21"/>
      <c r="B111" s="21"/>
      <c r="C111" s="21"/>
      <c r="D111" s="21"/>
      <c r="E111" s="21"/>
      <c r="F111" s="21"/>
      <c r="G111" s="21"/>
      <c r="H111" s="32"/>
      <c r="I111" s="21"/>
      <c r="J111" s="21"/>
      <c r="K111" s="21"/>
      <c r="L111" s="21"/>
      <c r="M111" s="21"/>
      <c r="N111" s="21"/>
      <c r="O111" s="21"/>
    </row>
    <row r="112" spans="1:15" x14ac:dyDescent="0.2">
      <c r="A112" s="21"/>
      <c r="B112" s="21"/>
      <c r="C112" s="21"/>
      <c r="D112" s="21"/>
      <c r="E112" s="21"/>
      <c r="F112" s="21"/>
      <c r="G112" s="21"/>
      <c r="H112" s="32"/>
      <c r="I112" s="21"/>
      <c r="J112" s="21"/>
      <c r="K112" s="21"/>
      <c r="L112" s="21"/>
      <c r="M112" s="21"/>
      <c r="N112" s="21"/>
      <c r="O112" s="21"/>
    </row>
    <row r="113" spans="1:15" x14ac:dyDescent="0.2">
      <c r="A113" s="21"/>
      <c r="B113" s="21"/>
      <c r="C113" s="21"/>
      <c r="D113" s="21"/>
      <c r="E113" s="21"/>
      <c r="F113" s="21"/>
      <c r="G113" s="21"/>
      <c r="H113" s="32"/>
      <c r="I113" s="21"/>
      <c r="J113" s="21"/>
      <c r="K113" s="21"/>
      <c r="L113" s="21"/>
      <c r="M113" s="21"/>
      <c r="N113" s="21"/>
      <c r="O113" s="21"/>
    </row>
    <row r="114" spans="1:15" x14ac:dyDescent="0.2">
      <c r="A114" s="21"/>
      <c r="B114" s="21"/>
      <c r="C114" s="21"/>
      <c r="D114" s="21"/>
      <c r="E114" s="21"/>
      <c r="F114" s="21"/>
      <c r="G114" s="21"/>
      <c r="H114" s="32"/>
      <c r="I114" s="21"/>
      <c r="J114" s="21"/>
      <c r="K114" s="21"/>
      <c r="L114" s="21"/>
      <c r="M114" s="21"/>
      <c r="N114" s="21"/>
      <c r="O114" s="21"/>
    </row>
    <row r="115" spans="1:15" x14ac:dyDescent="0.2">
      <c r="A115" s="21"/>
      <c r="B115" s="21"/>
      <c r="C115" s="21"/>
      <c r="D115" s="21"/>
      <c r="E115" s="21"/>
      <c r="F115" s="21"/>
      <c r="G115" s="21"/>
      <c r="H115" s="32"/>
      <c r="I115" s="21"/>
      <c r="J115" s="21"/>
      <c r="K115" s="21"/>
      <c r="L115" s="21"/>
      <c r="M115" s="21"/>
      <c r="N115" s="21"/>
      <c r="O115" s="21"/>
    </row>
    <row r="116" spans="1:15" x14ac:dyDescent="0.2">
      <c r="A116" s="21"/>
      <c r="B116" s="21"/>
      <c r="C116" s="21"/>
      <c r="D116" s="21"/>
      <c r="E116" s="21"/>
      <c r="F116" s="21"/>
      <c r="G116" s="21"/>
      <c r="H116" s="32"/>
      <c r="I116" s="21"/>
      <c r="J116" s="21"/>
      <c r="K116" s="21"/>
      <c r="L116" s="21"/>
      <c r="M116" s="21"/>
      <c r="N116" s="21"/>
      <c r="O116" s="21"/>
    </row>
    <row r="117" spans="1:15" x14ac:dyDescent="0.2">
      <c r="A117" s="21"/>
      <c r="B117" s="21"/>
      <c r="C117" s="21"/>
      <c r="D117" s="21"/>
      <c r="E117" s="21"/>
      <c r="F117" s="21"/>
      <c r="G117" s="21"/>
      <c r="H117" s="32"/>
      <c r="I117" s="21"/>
      <c r="J117" s="21"/>
      <c r="K117" s="21"/>
      <c r="L117" s="21"/>
      <c r="M117" s="21"/>
      <c r="N117" s="21"/>
      <c r="O117" s="21"/>
    </row>
    <row r="118" spans="1:15" x14ac:dyDescent="0.2">
      <c r="A118" s="21"/>
      <c r="B118" s="21"/>
      <c r="C118" s="21"/>
      <c r="D118" s="21"/>
      <c r="E118" s="21"/>
      <c r="F118" s="21"/>
      <c r="G118" s="21"/>
      <c r="H118" s="32"/>
      <c r="I118" s="21"/>
      <c r="J118" s="21"/>
      <c r="K118" s="21"/>
      <c r="L118" s="21"/>
      <c r="M118" s="21"/>
      <c r="N118" s="21"/>
      <c r="O118" s="21"/>
    </row>
    <row r="119" spans="1:15" x14ac:dyDescent="0.2">
      <c r="A119" s="21"/>
      <c r="B119" s="21"/>
      <c r="C119" s="21"/>
      <c r="D119" s="21"/>
      <c r="E119" s="21"/>
      <c r="F119" s="21"/>
      <c r="G119" s="21"/>
      <c r="H119" s="32"/>
      <c r="I119" s="21"/>
      <c r="J119" s="21"/>
      <c r="K119" s="21"/>
      <c r="L119" s="21"/>
      <c r="M119" s="21"/>
      <c r="N119" s="21"/>
      <c r="O119" s="21"/>
    </row>
    <row r="120" spans="1:15" x14ac:dyDescent="0.2">
      <c r="A120" s="21"/>
      <c r="B120" s="21"/>
      <c r="C120" s="21"/>
      <c r="D120" s="21"/>
      <c r="E120" s="21"/>
      <c r="F120" s="21"/>
      <c r="G120" s="21"/>
      <c r="H120" s="32"/>
      <c r="I120" s="21"/>
      <c r="J120" s="21"/>
      <c r="K120" s="21"/>
      <c r="L120" s="21"/>
      <c r="M120" s="21"/>
      <c r="N120" s="21"/>
      <c r="O120" s="21"/>
    </row>
    <row r="121" spans="1:15" x14ac:dyDescent="0.2">
      <c r="A121" s="21"/>
      <c r="B121" s="21"/>
      <c r="C121" s="21"/>
      <c r="D121" s="21"/>
      <c r="E121" s="21"/>
      <c r="F121" s="21"/>
      <c r="G121" s="21"/>
      <c r="H121" s="32"/>
      <c r="I121" s="21"/>
      <c r="J121" s="21"/>
      <c r="K121" s="21"/>
      <c r="L121" s="21"/>
      <c r="M121" s="21"/>
      <c r="N121" s="21"/>
      <c r="O121" s="21"/>
    </row>
    <row r="122" spans="1:15" x14ac:dyDescent="0.2">
      <c r="A122" s="21"/>
      <c r="B122" s="21"/>
      <c r="C122" s="21"/>
      <c r="D122" s="21"/>
      <c r="E122" s="21"/>
      <c r="F122" s="21"/>
      <c r="G122" s="21"/>
      <c r="H122" s="32"/>
      <c r="I122" s="21"/>
      <c r="J122" s="21"/>
      <c r="K122" s="21"/>
      <c r="L122" s="21"/>
      <c r="M122" s="21"/>
      <c r="N122" s="21"/>
      <c r="O122" s="21"/>
    </row>
    <row r="123" spans="1:15" x14ac:dyDescent="0.2">
      <c r="A123" s="21"/>
      <c r="B123" s="21"/>
      <c r="C123" s="21"/>
      <c r="D123" s="21"/>
      <c r="E123" s="21"/>
      <c r="F123" s="21"/>
      <c r="G123" s="21"/>
      <c r="H123" s="32"/>
      <c r="I123" s="21"/>
      <c r="J123" s="21"/>
      <c r="K123" s="21"/>
      <c r="L123" s="21"/>
      <c r="M123" s="21"/>
      <c r="N123" s="21"/>
      <c r="O123" s="21"/>
    </row>
    <row r="124" spans="1:15" x14ac:dyDescent="0.2">
      <c r="A124" s="21"/>
      <c r="B124" s="21"/>
      <c r="C124" s="21"/>
      <c r="D124" s="21"/>
      <c r="E124" s="21"/>
      <c r="F124" s="21"/>
      <c r="G124" s="21"/>
      <c r="H124" s="32"/>
      <c r="I124" s="21"/>
      <c r="J124" s="21"/>
      <c r="K124" s="21"/>
      <c r="L124" s="21"/>
      <c r="M124" s="21"/>
      <c r="N124" s="21"/>
      <c r="O124" s="21"/>
    </row>
    <row r="125" spans="1:15" x14ac:dyDescent="0.2">
      <c r="A125" s="21"/>
      <c r="B125" s="21"/>
      <c r="C125" s="21"/>
      <c r="D125" s="21"/>
      <c r="E125" s="21"/>
      <c r="F125" s="21"/>
      <c r="G125" s="21"/>
      <c r="H125" s="32"/>
      <c r="I125" s="21"/>
      <c r="J125" s="21"/>
      <c r="K125" s="21"/>
      <c r="L125" s="21"/>
      <c r="M125" s="21"/>
      <c r="N125" s="21"/>
      <c r="O125" s="21"/>
    </row>
    <row r="126" spans="1:15" x14ac:dyDescent="0.2">
      <c r="A126" s="21"/>
      <c r="B126" s="21"/>
      <c r="C126" s="21"/>
      <c r="D126" s="21"/>
      <c r="E126" s="21"/>
      <c r="F126" s="21"/>
      <c r="G126" s="21"/>
      <c r="H126" s="32"/>
      <c r="I126" s="21"/>
      <c r="J126" s="21"/>
      <c r="K126" s="21"/>
      <c r="L126" s="21"/>
      <c r="M126" s="21"/>
      <c r="N126" s="21"/>
      <c r="O126" s="21"/>
    </row>
    <row r="127" spans="1:15" x14ac:dyDescent="0.2">
      <c r="A127" s="21"/>
      <c r="B127" s="21"/>
      <c r="C127" s="21"/>
      <c r="D127" s="21"/>
      <c r="E127" s="21"/>
      <c r="F127" s="21"/>
      <c r="G127" s="21"/>
      <c r="H127" s="32"/>
      <c r="I127" s="21"/>
      <c r="J127" s="21"/>
      <c r="K127" s="21"/>
      <c r="L127" s="21"/>
      <c r="M127" s="21"/>
      <c r="N127" s="21"/>
      <c r="O127" s="21"/>
    </row>
    <row r="128" spans="1:15" x14ac:dyDescent="0.2">
      <c r="A128" s="21"/>
      <c r="B128" s="21"/>
      <c r="C128" s="21"/>
      <c r="D128" s="21"/>
      <c r="E128" s="21"/>
      <c r="F128" s="21"/>
      <c r="G128" s="21"/>
      <c r="H128" s="32"/>
      <c r="I128" s="21"/>
      <c r="J128" s="21"/>
      <c r="K128" s="21"/>
      <c r="L128" s="21"/>
      <c r="M128" s="21"/>
      <c r="N128" s="21"/>
      <c r="O128" s="21"/>
    </row>
    <row r="129" spans="1:15" x14ac:dyDescent="0.2">
      <c r="A129" s="21"/>
      <c r="B129" s="21"/>
      <c r="C129" s="21"/>
      <c r="D129" s="21"/>
      <c r="E129" s="21"/>
      <c r="F129" s="21"/>
      <c r="G129" s="21"/>
      <c r="H129" s="32"/>
      <c r="I129" s="21"/>
      <c r="J129" s="21"/>
      <c r="K129" s="21"/>
      <c r="L129" s="21"/>
      <c r="M129" s="21"/>
      <c r="N129" s="21"/>
      <c r="O129" s="21"/>
    </row>
    <row r="130" spans="1:15" x14ac:dyDescent="0.2">
      <c r="A130" s="21"/>
      <c r="B130" s="21"/>
      <c r="C130" s="21"/>
      <c r="D130" s="21"/>
      <c r="E130" s="21"/>
      <c r="F130" s="21"/>
      <c r="G130" s="21"/>
      <c r="H130" s="32"/>
      <c r="I130" s="21"/>
      <c r="J130" s="21"/>
      <c r="K130" s="21"/>
      <c r="L130" s="21"/>
      <c r="M130" s="21"/>
      <c r="N130" s="21"/>
      <c r="O130" s="21"/>
    </row>
    <row r="131" spans="1:15" x14ac:dyDescent="0.2">
      <c r="A131" s="21"/>
      <c r="B131" s="21"/>
      <c r="C131" s="21"/>
      <c r="D131" s="21"/>
      <c r="E131" s="21"/>
      <c r="F131" s="21"/>
      <c r="G131" s="21"/>
      <c r="H131" s="32"/>
      <c r="I131" s="21"/>
      <c r="J131" s="21"/>
      <c r="K131" s="21"/>
      <c r="L131" s="21"/>
      <c r="M131" s="21"/>
      <c r="N131" s="21"/>
      <c r="O131" s="21"/>
    </row>
    <row r="132" spans="1:15" x14ac:dyDescent="0.2">
      <c r="A132" s="21"/>
      <c r="B132" s="21"/>
      <c r="C132" s="21"/>
      <c r="D132" s="21"/>
      <c r="E132" s="21"/>
      <c r="F132" s="21"/>
      <c r="G132" s="21"/>
      <c r="H132" s="32"/>
      <c r="I132" s="21"/>
      <c r="J132" s="21"/>
      <c r="K132" s="21"/>
      <c r="L132" s="21"/>
      <c r="M132" s="21"/>
      <c r="N132" s="21"/>
      <c r="O132" s="21"/>
    </row>
    <row r="133" spans="1:15" x14ac:dyDescent="0.2">
      <c r="A133" s="21"/>
      <c r="B133" s="21"/>
      <c r="C133" s="21"/>
      <c r="D133" s="21"/>
      <c r="E133" s="21"/>
      <c r="F133" s="21"/>
      <c r="G133" s="21"/>
      <c r="H133" s="32"/>
      <c r="I133" s="21"/>
      <c r="J133" s="21"/>
      <c r="K133" s="21"/>
      <c r="L133" s="21"/>
      <c r="M133" s="21"/>
      <c r="N133" s="21"/>
      <c r="O133" s="21"/>
    </row>
    <row r="134" spans="1:15" x14ac:dyDescent="0.2">
      <c r="A134" s="21"/>
      <c r="B134" s="21"/>
      <c r="C134" s="21"/>
      <c r="D134" s="21"/>
      <c r="E134" s="21"/>
      <c r="F134" s="21"/>
      <c r="G134" s="21"/>
      <c r="H134" s="32"/>
      <c r="I134" s="21"/>
      <c r="J134" s="21"/>
      <c r="K134" s="21"/>
      <c r="L134" s="21"/>
      <c r="M134" s="21"/>
      <c r="N134" s="21"/>
      <c r="O134" s="21"/>
    </row>
    <row r="135" spans="1:15" x14ac:dyDescent="0.2">
      <c r="A135" s="21"/>
      <c r="B135" s="21"/>
      <c r="C135" s="21"/>
      <c r="D135" s="21"/>
      <c r="E135" s="21"/>
      <c r="F135" s="21"/>
      <c r="G135" s="21"/>
      <c r="H135" s="32"/>
      <c r="I135" s="21"/>
      <c r="J135" s="21"/>
      <c r="K135" s="21"/>
      <c r="L135" s="21"/>
      <c r="M135" s="21"/>
      <c r="N135" s="21"/>
      <c r="O135" s="21"/>
    </row>
    <row r="136" spans="1:15" x14ac:dyDescent="0.2">
      <c r="A136" s="21"/>
      <c r="B136" s="21"/>
      <c r="C136" s="21"/>
      <c r="D136" s="21"/>
      <c r="E136" s="21"/>
      <c r="F136" s="21"/>
      <c r="G136" s="21"/>
      <c r="H136" s="32"/>
      <c r="I136" s="21"/>
      <c r="J136" s="21"/>
      <c r="K136" s="21"/>
      <c r="L136" s="21"/>
      <c r="M136" s="21"/>
      <c r="N136" s="21"/>
      <c r="O136" s="21"/>
    </row>
    <row r="137" spans="1:15" x14ac:dyDescent="0.2">
      <c r="A137" s="21"/>
      <c r="B137" s="21"/>
      <c r="C137" s="21"/>
      <c r="D137" s="21"/>
      <c r="E137" s="21"/>
      <c r="F137" s="21"/>
      <c r="G137" s="21"/>
      <c r="H137" s="32"/>
      <c r="I137" s="21"/>
      <c r="J137" s="21"/>
      <c r="K137" s="21"/>
      <c r="L137" s="21"/>
      <c r="M137" s="21"/>
      <c r="N137" s="21"/>
      <c r="O137" s="21"/>
    </row>
    <row r="138" spans="1:15" x14ac:dyDescent="0.2">
      <c r="A138" s="21"/>
      <c r="B138" s="21"/>
      <c r="C138" s="21"/>
      <c r="D138" s="21"/>
      <c r="E138" s="21"/>
      <c r="F138" s="21"/>
      <c r="G138" s="21"/>
      <c r="H138" s="32"/>
      <c r="I138" s="21"/>
      <c r="J138" s="21"/>
      <c r="K138" s="21"/>
      <c r="L138" s="21"/>
      <c r="M138" s="21"/>
      <c r="N138" s="21"/>
      <c r="O138" s="21"/>
    </row>
    <row r="139" spans="1:15" x14ac:dyDescent="0.2">
      <c r="A139" s="21"/>
      <c r="B139" s="21"/>
      <c r="C139" s="21"/>
      <c r="D139" s="21"/>
      <c r="E139" s="21"/>
      <c r="F139" s="21"/>
      <c r="G139" s="21"/>
      <c r="H139" s="32"/>
      <c r="I139" s="21"/>
      <c r="J139" s="21"/>
      <c r="K139" s="21"/>
      <c r="L139" s="21"/>
      <c r="M139" s="21"/>
      <c r="N139" s="21"/>
      <c r="O139" s="21"/>
    </row>
    <row r="140" spans="1:15" x14ac:dyDescent="0.2">
      <c r="A140" s="21"/>
      <c r="B140" s="21"/>
      <c r="C140" s="21"/>
      <c r="D140" s="21"/>
      <c r="E140" s="21"/>
      <c r="F140" s="21"/>
      <c r="G140" s="21"/>
      <c r="H140" s="32"/>
      <c r="I140" s="21"/>
      <c r="J140" s="21"/>
      <c r="K140" s="21"/>
      <c r="L140" s="21"/>
      <c r="M140" s="21"/>
      <c r="N140" s="21"/>
      <c r="O140" s="21"/>
    </row>
    <row r="141" spans="1:15" x14ac:dyDescent="0.2">
      <c r="A141" s="21"/>
      <c r="B141" s="21"/>
      <c r="C141" s="21"/>
      <c r="D141" s="21"/>
      <c r="E141" s="21"/>
      <c r="F141" s="21"/>
      <c r="G141" s="21"/>
      <c r="H141" s="32"/>
      <c r="I141" s="21"/>
      <c r="J141" s="21"/>
      <c r="K141" s="21"/>
      <c r="L141" s="21"/>
      <c r="M141" s="21"/>
      <c r="N141" s="21"/>
      <c r="O141" s="21"/>
    </row>
    <row r="142" spans="1:15" x14ac:dyDescent="0.2">
      <c r="A142" s="21"/>
      <c r="B142" s="21"/>
      <c r="C142" s="21"/>
      <c r="D142" s="21"/>
      <c r="E142" s="21"/>
      <c r="F142" s="21"/>
      <c r="G142" s="21"/>
      <c r="H142" s="32"/>
      <c r="I142" s="21"/>
      <c r="J142" s="21"/>
      <c r="K142" s="21"/>
      <c r="L142" s="21"/>
      <c r="M142" s="21"/>
      <c r="N142" s="21"/>
      <c r="O142" s="21"/>
    </row>
    <row r="143" spans="1:15" x14ac:dyDescent="0.2">
      <c r="A143" s="21"/>
      <c r="B143" s="21"/>
      <c r="C143" s="21"/>
      <c r="D143" s="21"/>
      <c r="E143" s="21"/>
      <c r="F143" s="21"/>
      <c r="G143" s="21"/>
      <c r="H143" s="32"/>
      <c r="I143" s="21"/>
      <c r="J143" s="21"/>
      <c r="K143" s="21"/>
      <c r="L143" s="21"/>
      <c r="M143" s="21"/>
      <c r="N143" s="21"/>
      <c r="O143" s="21"/>
    </row>
    <row r="144" spans="1:15" x14ac:dyDescent="0.2">
      <c r="A144" s="21"/>
      <c r="B144" s="21"/>
      <c r="C144" s="21"/>
      <c r="D144" s="21"/>
      <c r="E144" s="21"/>
      <c r="F144" s="21"/>
      <c r="G144" s="21"/>
      <c r="H144" s="32"/>
      <c r="I144" s="21"/>
      <c r="J144" s="21"/>
      <c r="K144" s="21"/>
      <c r="L144" s="21"/>
      <c r="M144" s="21"/>
      <c r="N144" s="21"/>
      <c r="O144" s="21"/>
    </row>
    <row r="145" spans="1:15" x14ac:dyDescent="0.2">
      <c r="A145" s="21"/>
      <c r="B145" s="21"/>
      <c r="C145" s="21"/>
      <c r="D145" s="21"/>
      <c r="E145" s="21"/>
      <c r="F145" s="21"/>
      <c r="G145" s="21"/>
      <c r="H145" s="32"/>
      <c r="I145" s="21"/>
      <c r="J145" s="21"/>
      <c r="K145" s="21"/>
      <c r="L145" s="21"/>
      <c r="M145" s="21"/>
      <c r="N145" s="21"/>
      <c r="O145" s="21"/>
    </row>
    <row r="146" spans="1:15" x14ac:dyDescent="0.2">
      <c r="A146" s="21"/>
      <c r="B146" s="21"/>
      <c r="C146" s="21"/>
      <c r="D146" s="21"/>
      <c r="E146" s="21"/>
      <c r="F146" s="21"/>
      <c r="G146" s="21"/>
      <c r="H146" s="32"/>
      <c r="I146" s="21"/>
      <c r="J146" s="21"/>
      <c r="K146" s="21"/>
      <c r="L146" s="21"/>
      <c r="M146" s="21"/>
      <c r="N146" s="21"/>
      <c r="O146" s="21"/>
    </row>
    <row r="147" spans="1:15" x14ac:dyDescent="0.2">
      <c r="A147" s="21"/>
      <c r="B147" s="21"/>
      <c r="C147" s="21"/>
      <c r="D147" s="21"/>
      <c r="E147" s="21"/>
      <c r="F147" s="21"/>
      <c r="G147" s="21"/>
      <c r="H147" s="32"/>
      <c r="I147" s="21"/>
      <c r="J147" s="21"/>
      <c r="K147" s="21"/>
      <c r="L147" s="21"/>
      <c r="M147" s="21"/>
      <c r="N147" s="21"/>
      <c r="O147" s="21"/>
    </row>
    <row r="148" spans="1:15" x14ac:dyDescent="0.2">
      <c r="A148" s="21"/>
      <c r="B148" s="21"/>
      <c r="C148" s="21"/>
      <c r="D148" s="21"/>
      <c r="E148" s="21"/>
      <c r="F148" s="21"/>
      <c r="G148" s="21"/>
      <c r="H148" s="32"/>
      <c r="I148" s="21"/>
      <c r="J148" s="21"/>
      <c r="K148" s="21"/>
      <c r="L148" s="21"/>
      <c r="M148" s="21"/>
      <c r="N148" s="21"/>
      <c r="O148" s="21"/>
    </row>
    <row r="149" spans="1:15" x14ac:dyDescent="0.2">
      <c r="A149" s="21"/>
      <c r="B149" s="21"/>
      <c r="C149" s="21"/>
      <c r="D149" s="21"/>
      <c r="E149" s="21"/>
      <c r="F149" s="21"/>
      <c r="G149" s="21"/>
      <c r="H149" s="32"/>
      <c r="I149" s="21"/>
      <c r="J149" s="21"/>
      <c r="K149" s="21"/>
      <c r="L149" s="21"/>
      <c r="M149" s="21"/>
      <c r="N149" s="21"/>
      <c r="O149" s="21"/>
    </row>
    <row r="150" spans="1:15" x14ac:dyDescent="0.2">
      <c r="A150" s="21"/>
      <c r="B150" s="21"/>
      <c r="C150" s="21"/>
      <c r="D150" s="21"/>
      <c r="E150" s="21"/>
      <c r="F150" s="21"/>
      <c r="G150" s="21"/>
      <c r="H150" s="32"/>
      <c r="I150" s="21"/>
      <c r="J150" s="21"/>
      <c r="K150" s="21"/>
      <c r="L150" s="21"/>
      <c r="M150" s="21"/>
      <c r="N150" s="21"/>
      <c r="O150" s="21"/>
    </row>
    <row r="151" spans="1:15" x14ac:dyDescent="0.2">
      <c r="A151" s="21"/>
      <c r="B151" s="21"/>
      <c r="C151" s="21"/>
      <c r="D151" s="21"/>
      <c r="E151" s="21"/>
      <c r="F151" s="21"/>
      <c r="G151" s="21"/>
      <c r="H151" s="32"/>
      <c r="I151" s="21"/>
      <c r="J151" s="21"/>
      <c r="K151" s="21"/>
      <c r="L151" s="21"/>
      <c r="M151" s="21"/>
      <c r="N151" s="21"/>
      <c r="O151" s="21"/>
    </row>
    <row r="152" spans="1:15" x14ac:dyDescent="0.2">
      <c r="A152" s="21"/>
      <c r="B152" s="21"/>
      <c r="C152" s="21"/>
      <c r="D152" s="21"/>
      <c r="E152" s="21"/>
      <c r="F152" s="21"/>
      <c r="G152" s="21"/>
      <c r="H152" s="32"/>
      <c r="I152" s="21"/>
      <c r="J152" s="21"/>
      <c r="K152" s="21"/>
      <c r="L152" s="21"/>
      <c r="M152" s="21"/>
      <c r="N152" s="21"/>
      <c r="O152" s="21"/>
    </row>
    <row r="153" spans="1:15" x14ac:dyDescent="0.2">
      <c r="A153" s="21"/>
      <c r="B153" s="21"/>
      <c r="C153" s="21"/>
      <c r="D153" s="21"/>
      <c r="E153" s="21"/>
      <c r="F153" s="21"/>
      <c r="G153" s="21"/>
      <c r="H153" s="32"/>
      <c r="I153" s="21"/>
      <c r="J153" s="21"/>
      <c r="K153" s="21"/>
      <c r="L153" s="21"/>
      <c r="M153" s="21"/>
      <c r="N153" s="21"/>
      <c r="O153" s="21"/>
    </row>
    <row r="154" spans="1:15" x14ac:dyDescent="0.2">
      <c r="A154" s="21"/>
      <c r="B154" s="21"/>
      <c r="C154" s="21"/>
      <c r="D154" s="21"/>
      <c r="E154" s="21"/>
      <c r="F154" s="21"/>
      <c r="G154" s="21"/>
      <c r="H154" s="32"/>
      <c r="I154" s="21"/>
      <c r="J154" s="21"/>
      <c r="K154" s="21"/>
      <c r="L154" s="21"/>
      <c r="M154" s="21"/>
      <c r="N154" s="21"/>
      <c r="O154" s="21"/>
    </row>
    <row r="155" spans="1:15" x14ac:dyDescent="0.2">
      <c r="A155" s="21"/>
      <c r="B155" s="21"/>
      <c r="C155" s="21"/>
      <c r="D155" s="21"/>
      <c r="E155" s="21"/>
      <c r="F155" s="21"/>
      <c r="G155" s="21"/>
      <c r="H155" s="32"/>
      <c r="I155" s="21"/>
      <c r="J155" s="21"/>
      <c r="K155" s="21"/>
      <c r="L155" s="21"/>
      <c r="M155" s="21"/>
      <c r="N155" s="21"/>
      <c r="O155" s="21"/>
    </row>
    <row r="156" spans="1:15" x14ac:dyDescent="0.2">
      <c r="A156" s="21"/>
      <c r="B156" s="21"/>
      <c r="C156" s="21"/>
      <c r="D156" s="21"/>
      <c r="E156" s="21"/>
      <c r="F156" s="21"/>
      <c r="G156" s="21"/>
      <c r="H156" s="32"/>
      <c r="I156" s="21"/>
      <c r="J156" s="21"/>
      <c r="K156" s="21"/>
      <c r="L156" s="21"/>
      <c r="M156" s="21"/>
      <c r="N156" s="21"/>
      <c r="O156" s="21"/>
    </row>
    <row r="157" spans="1:15" x14ac:dyDescent="0.2">
      <c r="A157" s="21"/>
      <c r="B157" s="21"/>
      <c r="C157" s="21"/>
      <c r="D157" s="21"/>
      <c r="E157" s="21"/>
      <c r="F157" s="21"/>
      <c r="G157" s="21"/>
      <c r="H157" s="32"/>
      <c r="I157" s="21"/>
      <c r="J157" s="21"/>
      <c r="K157" s="21"/>
      <c r="L157" s="21"/>
      <c r="M157" s="21"/>
      <c r="N157" s="21"/>
      <c r="O157" s="21"/>
    </row>
    <row r="158" spans="1:15" x14ac:dyDescent="0.2">
      <c r="A158" s="21"/>
      <c r="B158" s="21"/>
      <c r="C158" s="21"/>
      <c r="D158" s="21"/>
      <c r="E158" s="21"/>
      <c r="F158" s="21"/>
      <c r="G158" s="21"/>
      <c r="H158" s="32"/>
      <c r="I158" s="21"/>
      <c r="J158" s="21"/>
      <c r="K158" s="21"/>
      <c r="L158" s="21"/>
      <c r="M158" s="21"/>
      <c r="N158" s="21"/>
      <c r="O158" s="21"/>
    </row>
    <row r="159" spans="1:15" x14ac:dyDescent="0.2">
      <c r="A159" s="21"/>
      <c r="B159" s="21"/>
      <c r="C159" s="21"/>
      <c r="D159" s="21"/>
      <c r="E159" s="21"/>
      <c r="F159" s="21"/>
      <c r="G159" s="21"/>
      <c r="H159" s="32"/>
      <c r="I159" s="21"/>
      <c r="J159" s="21"/>
      <c r="K159" s="21"/>
      <c r="L159" s="21"/>
      <c r="M159" s="21"/>
      <c r="N159" s="21"/>
      <c r="O159" s="21"/>
    </row>
    <row r="160" spans="1:15" x14ac:dyDescent="0.2">
      <c r="A160" s="21"/>
      <c r="B160" s="21"/>
      <c r="C160" s="21"/>
      <c r="D160" s="21"/>
      <c r="E160" s="21"/>
      <c r="F160" s="21"/>
      <c r="G160" s="21"/>
      <c r="H160" s="32"/>
      <c r="I160" s="21"/>
      <c r="J160" s="21"/>
      <c r="K160" s="21"/>
      <c r="L160" s="21"/>
      <c r="M160" s="21"/>
      <c r="N160" s="21"/>
      <c r="O160" s="21"/>
    </row>
    <row r="161" spans="1:15" x14ac:dyDescent="0.2">
      <c r="A161" s="21"/>
      <c r="B161" s="21"/>
      <c r="C161" s="21"/>
      <c r="D161" s="21"/>
      <c r="E161" s="21"/>
      <c r="F161" s="21"/>
      <c r="G161" s="21"/>
      <c r="H161" s="32"/>
      <c r="I161" s="21"/>
      <c r="J161" s="21"/>
      <c r="K161" s="21"/>
      <c r="L161" s="21"/>
      <c r="M161" s="21"/>
      <c r="N161" s="21"/>
      <c r="O161" s="21"/>
    </row>
    <row r="162" spans="1:15" x14ac:dyDescent="0.2">
      <c r="A162" s="21"/>
      <c r="B162" s="21"/>
      <c r="C162" s="21"/>
      <c r="D162" s="21"/>
      <c r="E162" s="21"/>
      <c r="F162" s="21"/>
      <c r="G162" s="21"/>
      <c r="H162" s="32"/>
      <c r="I162" s="21"/>
      <c r="J162" s="21"/>
      <c r="K162" s="21"/>
      <c r="L162" s="21"/>
      <c r="M162" s="21"/>
      <c r="N162" s="21"/>
      <c r="O162" s="21"/>
    </row>
    <row r="163" spans="1:15" x14ac:dyDescent="0.2">
      <c r="A163" s="21"/>
      <c r="B163" s="21"/>
      <c r="C163" s="21"/>
      <c r="D163" s="21"/>
      <c r="E163" s="21"/>
      <c r="F163" s="21"/>
      <c r="G163" s="21"/>
      <c r="H163" s="32"/>
      <c r="I163" s="21"/>
      <c r="J163" s="21"/>
      <c r="K163" s="21"/>
      <c r="L163" s="21"/>
      <c r="M163" s="21"/>
      <c r="N163" s="21"/>
      <c r="O163" s="21"/>
    </row>
    <row r="164" spans="1:15" x14ac:dyDescent="0.2">
      <c r="A164" s="21"/>
      <c r="B164" s="21"/>
      <c r="C164" s="21"/>
      <c r="D164" s="21"/>
      <c r="E164" s="21"/>
      <c r="F164" s="21"/>
      <c r="G164" s="21"/>
      <c r="H164" s="32"/>
      <c r="I164" s="21"/>
      <c r="J164" s="21"/>
      <c r="K164" s="21"/>
      <c r="L164" s="21"/>
      <c r="M164" s="21"/>
      <c r="N164" s="21"/>
      <c r="O164" s="21"/>
    </row>
    <row r="165" spans="1:15" x14ac:dyDescent="0.2">
      <c r="A165" s="21"/>
      <c r="B165" s="21"/>
      <c r="C165" s="21"/>
      <c r="D165" s="21"/>
      <c r="E165" s="21"/>
      <c r="F165" s="21"/>
      <c r="G165" s="21"/>
      <c r="H165" s="32"/>
      <c r="I165" s="21"/>
      <c r="J165" s="21"/>
      <c r="K165" s="21"/>
      <c r="L165" s="21"/>
      <c r="M165" s="21"/>
      <c r="N165" s="21"/>
      <c r="O165" s="21"/>
    </row>
    <row r="166" spans="1:15" x14ac:dyDescent="0.2">
      <c r="A166" s="21"/>
      <c r="B166" s="21"/>
      <c r="C166" s="21"/>
      <c r="D166" s="21"/>
      <c r="E166" s="21"/>
      <c r="F166" s="21"/>
      <c r="G166" s="21"/>
      <c r="H166" s="32"/>
      <c r="I166" s="21"/>
      <c r="J166" s="21"/>
      <c r="K166" s="21"/>
      <c r="L166" s="21"/>
      <c r="M166" s="21"/>
      <c r="N166" s="21"/>
      <c r="O166" s="21"/>
    </row>
    <row r="167" spans="1:15" x14ac:dyDescent="0.2">
      <c r="A167" s="21"/>
      <c r="B167" s="21"/>
      <c r="C167" s="21"/>
      <c r="D167" s="21"/>
      <c r="E167" s="21"/>
      <c r="F167" s="21"/>
      <c r="G167" s="21"/>
      <c r="H167" s="32"/>
      <c r="I167" s="21"/>
      <c r="J167" s="21"/>
      <c r="K167" s="21"/>
      <c r="L167" s="21"/>
      <c r="M167" s="21"/>
      <c r="N167" s="21"/>
      <c r="O167" s="21"/>
    </row>
    <row r="168" spans="1:15" x14ac:dyDescent="0.2">
      <c r="A168" s="21"/>
      <c r="B168" s="21"/>
      <c r="C168" s="21"/>
      <c r="D168" s="21"/>
      <c r="E168" s="21"/>
      <c r="F168" s="21"/>
      <c r="G168" s="21"/>
      <c r="H168" s="32"/>
      <c r="I168" s="21"/>
      <c r="J168" s="21"/>
      <c r="K168" s="21"/>
      <c r="L168" s="21"/>
      <c r="M168" s="21"/>
      <c r="N168" s="21"/>
      <c r="O168" s="21"/>
    </row>
    <row r="169" spans="1:15" x14ac:dyDescent="0.2">
      <c r="A169" s="21"/>
      <c r="B169" s="21"/>
      <c r="C169" s="21"/>
      <c r="D169" s="21"/>
      <c r="E169" s="21"/>
      <c r="F169" s="21"/>
      <c r="G169" s="21"/>
      <c r="H169" s="32"/>
      <c r="I169" s="21"/>
      <c r="J169" s="21"/>
      <c r="K169" s="21"/>
      <c r="L169" s="21"/>
      <c r="M169" s="21"/>
      <c r="N169" s="21"/>
      <c r="O169" s="21"/>
    </row>
    <row r="170" spans="1:15" x14ac:dyDescent="0.2">
      <c r="A170" s="21"/>
      <c r="B170" s="21"/>
      <c r="C170" s="21"/>
      <c r="D170" s="21"/>
      <c r="E170" s="21"/>
      <c r="F170" s="21"/>
      <c r="G170" s="21"/>
      <c r="H170" s="32"/>
      <c r="I170" s="21"/>
      <c r="J170" s="21"/>
      <c r="K170" s="21"/>
      <c r="L170" s="21"/>
      <c r="M170" s="21"/>
      <c r="N170" s="21"/>
      <c r="O170" s="21"/>
    </row>
    <row r="171" spans="1:15" x14ac:dyDescent="0.2">
      <c r="A171" s="21"/>
      <c r="B171" s="21"/>
      <c r="C171" s="21"/>
      <c r="D171" s="21"/>
      <c r="E171" s="21"/>
      <c r="F171" s="21"/>
      <c r="G171" s="21"/>
      <c r="H171" s="32"/>
      <c r="I171" s="21"/>
      <c r="J171" s="21"/>
      <c r="K171" s="21"/>
      <c r="L171" s="21"/>
      <c r="M171" s="21"/>
      <c r="N171" s="21"/>
      <c r="O171" s="21"/>
    </row>
    <row r="172" spans="1:15" x14ac:dyDescent="0.2">
      <c r="A172" s="21"/>
      <c r="B172" s="21"/>
      <c r="C172" s="21"/>
      <c r="D172" s="21"/>
      <c r="E172" s="21"/>
      <c r="F172" s="21"/>
      <c r="G172" s="21"/>
      <c r="H172" s="32"/>
      <c r="I172" s="21"/>
      <c r="J172" s="21"/>
      <c r="K172" s="21"/>
      <c r="L172" s="21"/>
      <c r="M172" s="21"/>
      <c r="N172" s="21"/>
      <c r="O172" s="21"/>
    </row>
    <row r="173" spans="1:15" x14ac:dyDescent="0.2">
      <c r="A173" s="21"/>
      <c r="B173" s="21"/>
      <c r="C173" s="21"/>
      <c r="D173" s="21"/>
      <c r="E173" s="21"/>
      <c r="F173" s="21"/>
      <c r="G173" s="21"/>
      <c r="H173" s="32"/>
      <c r="I173" s="21"/>
      <c r="J173" s="21"/>
      <c r="K173" s="21"/>
      <c r="L173" s="21"/>
      <c r="M173" s="21"/>
      <c r="N173" s="21"/>
      <c r="O173" s="21"/>
    </row>
    <row r="174" spans="1:15" x14ac:dyDescent="0.2">
      <c r="A174" s="21"/>
      <c r="B174" s="21"/>
      <c r="C174" s="21"/>
      <c r="D174" s="21"/>
      <c r="E174" s="21"/>
      <c r="F174" s="21"/>
      <c r="G174" s="21"/>
      <c r="H174" s="32"/>
      <c r="I174" s="21"/>
      <c r="J174" s="21"/>
      <c r="K174" s="21"/>
      <c r="L174" s="21"/>
      <c r="M174" s="21"/>
      <c r="N174" s="21"/>
      <c r="O174" s="21"/>
    </row>
    <row r="175" spans="1:15" x14ac:dyDescent="0.2">
      <c r="A175" s="21"/>
      <c r="B175" s="21"/>
      <c r="C175" s="21"/>
      <c r="D175" s="21"/>
      <c r="E175" s="21"/>
      <c r="F175" s="21"/>
      <c r="G175" s="21"/>
      <c r="H175" s="32"/>
      <c r="I175" s="21"/>
      <c r="J175" s="21"/>
      <c r="K175" s="21"/>
      <c r="L175" s="21"/>
      <c r="M175" s="21"/>
      <c r="N175" s="21"/>
      <c r="O175" s="21"/>
    </row>
    <row r="176" spans="1:15" x14ac:dyDescent="0.2">
      <c r="A176" s="21"/>
      <c r="B176" s="21"/>
      <c r="C176" s="21"/>
      <c r="D176" s="21"/>
      <c r="E176" s="21"/>
      <c r="F176" s="21"/>
      <c r="G176" s="21"/>
      <c r="H176" s="32"/>
      <c r="I176" s="21"/>
      <c r="J176" s="21"/>
      <c r="K176" s="21"/>
      <c r="L176" s="21"/>
      <c r="M176" s="21"/>
      <c r="N176" s="21"/>
      <c r="O176" s="21"/>
    </row>
    <row r="177" spans="1:15" x14ac:dyDescent="0.2">
      <c r="A177" s="21"/>
      <c r="B177" s="21"/>
      <c r="C177" s="21"/>
      <c r="D177" s="21"/>
      <c r="E177" s="21"/>
      <c r="F177" s="21"/>
      <c r="G177" s="21"/>
      <c r="H177" s="32"/>
      <c r="I177" s="21"/>
      <c r="J177" s="21"/>
      <c r="K177" s="21"/>
      <c r="L177" s="21"/>
      <c r="M177" s="21"/>
      <c r="N177" s="21"/>
      <c r="O177" s="21"/>
    </row>
    <row r="178" spans="1:15" x14ac:dyDescent="0.2">
      <c r="A178" s="21"/>
      <c r="B178" s="21"/>
      <c r="C178" s="21"/>
      <c r="D178" s="21"/>
      <c r="E178" s="21"/>
      <c r="F178" s="21"/>
      <c r="G178" s="21"/>
      <c r="H178" s="32"/>
      <c r="I178" s="21"/>
      <c r="J178" s="21"/>
      <c r="K178" s="21"/>
      <c r="L178" s="21"/>
      <c r="M178" s="21"/>
      <c r="N178" s="21"/>
      <c r="O178" s="21"/>
    </row>
    <row r="179" spans="1:15" x14ac:dyDescent="0.2">
      <c r="A179" s="21"/>
      <c r="B179" s="21"/>
      <c r="C179" s="21"/>
      <c r="D179" s="21"/>
      <c r="E179" s="21"/>
      <c r="F179" s="21"/>
      <c r="G179" s="21"/>
      <c r="H179" s="32"/>
      <c r="I179" s="21"/>
      <c r="J179" s="21"/>
      <c r="K179" s="21"/>
      <c r="L179" s="21"/>
      <c r="M179" s="21"/>
      <c r="N179" s="21"/>
      <c r="O179" s="21"/>
    </row>
    <row r="180" spans="1:15" x14ac:dyDescent="0.2">
      <c r="A180" s="21"/>
      <c r="B180" s="21"/>
      <c r="C180" s="21"/>
      <c r="D180" s="21"/>
      <c r="E180" s="21"/>
      <c r="F180" s="21"/>
      <c r="G180" s="21"/>
      <c r="H180" s="32"/>
      <c r="I180" s="21"/>
      <c r="J180" s="21"/>
      <c r="K180" s="21"/>
      <c r="L180" s="21"/>
      <c r="M180" s="21"/>
      <c r="N180" s="21"/>
      <c r="O180" s="21"/>
    </row>
    <row r="181" spans="1:15" x14ac:dyDescent="0.2">
      <c r="A181" s="21"/>
      <c r="B181" s="21"/>
      <c r="C181" s="21"/>
      <c r="D181" s="21"/>
      <c r="E181" s="21"/>
      <c r="F181" s="21"/>
      <c r="G181" s="21"/>
      <c r="H181" s="32"/>
      <c r="I181" s="21"/>
      <c r="J181" s="21"/>
      <c r="K181" s="21"/>
      <c r="L181" s="21"/>
      <c r="M181" s="21"/>
      <c r="N181" s="21"/>
      <c r="O181" s="21"/>
    </row>
    <row r="182" spans="1:15" x14ac:dyDescent="0.2">
      <c r="A182" s="21"/>
      <c r="B182" s="21"/>
      <c r="C182" s="21"/>
      <c r="D182" s="21"/>
      <c r="E182" s="21"/>
      <c r="F182" s="21"/>
      <c r="G182" s="21"/>
      <c r="H182" s="32"/>
      <c r="I182" s="21"/>
      <c r="J182" s="21"/>
      <c r="K182" s="21"/>
      <c r="L182" s="21"/>
      <c r="M182" s="21"/>
      <c r="N182" s="21"/>
      <c r="O182" s="21"/>
    </row>
    <row r="183" spans="1:15" x14ac:dyDescent="0.2">
      <c r="A183" s="21"/>
      <c r="B183" s="21"/>
      <c r="C183" s="21"/>
      <c r="D183" s="21"/>
      <c r="E183" s="21"/>
      <c r="F183" s="21"/>
      <c r="G183" s="21"/>
      <c r="H183" s="32"/>
      <c r="I183" s="21"/>
      <c r="J183" s="21"/>
      <c r="K183" s="21"/>
      <c r="L183" s="21"/>
      <c r="M183" s="21"/>
      <c r="N183" s="21"/>
      <c r="O183" s="21"/>
    </row>
    <row r="184" spans="1:15" x14ac:dyDescent="0.2">
      <c r="A184" s="21"/>
      <c r="B184" s="21"/>
      <c r="C184" s="21"/>
      <c r="D184" s="21"/>
      <c r="E184" s="21"/>
      <c r="F184" s="21"/>
      <c r="G184" s="21"/>
      <c r="H184" s="32"/>
      <c r="I184" s="21"/>
      <c r="J184" s="21"/>
      <c r="K184" s="21"/>
      <c r="L184" s="21"/>
      <c r="M184" s="21"/>
      <c r="N184" s="21"/>
      <c r="O184" s="21"/>
    </row>
    <row r="185" spans="1:15" x14ac:dyDescent="0.2">
      <c r="A185" s="21"/>
      <c r="B185" s="21"/>
      <c r="C185" s="21"/>
      <c r="D185" s="21"/>
      <c r="E185" s="21"/>
      <c r="F185" s="21"/>
      <c r="G185" s="21"/>
      <c r="H185" s="32"/>
      <c r="I185" s="21"/>
      <c r="J185" s="21"/>
      <c r="K185" s="21"/>
      <c r="L185" s="21"/>
      <c r="M185" s="21"/>
      <c r="N185" s="21"/>
      <c r="O185" s="21"/>
    </row>
    <row r="186" spans="1:15" x14ac:dyDescent="0.2">
      <c r="A186" s="21"/>
      <c r="B186" s="21"/>
      <c r="C186" s="21"/>
      <c r="D186" s="21"/>
      <c r="E186" s="21"/>
      <c r="F186" s="21"/>
      <c r="G186" s="21"/>
      <c r="H186" s="32"/>
      <c r="I186" s="21"/>
      <c r="J186" s="21"/>
      <c r="K186" s="21"/>
      <c r="L186" s="21"/>
      <c r="M186" s="21"/>
      <c r="N186" s="21"/>
      <c r="O186" s="21"/>
    </row>
    <row r="187" spans="1:15" x14ac:dyDescent="0.2">
      <c r="A187" s="21"/>
      <c r="B187" s="21"/>
      <c r="C187" s="21"/>
      <c r="D187" s="21"/>
      <c r="E187" s="21"/>
      <c r="F187" s="21"/>
      <c r="G187" s="21"/>
      <c r="H187" s="32"/>
      <c r="I187" s="21"/>
      <c r="J187" s="21"/>
      <c r="K187" s="21"/>
      <c r="L187" s="21"/>
      <c r="M187" s="21"/>
      <c r="N187" s="21"/>
      <c r="O187" s="21"/>
    </row>
    <row r="188" spans="1:15" x14ac:dyDescent="0.2">
      <c r="A188" s="21"/>
      <c r="B188" s="21"/>
      <c r="C188" s="21"/>
      <c r="D188" s="21"/>
      <c r="E188" s="21"/>
      <c r="F188" s="21"/>
      <c r="G188" s="21"/>
      <c r="H188" s="32"/>
      <c r="I188" s="21"/>
      <c r="J188" s="21"/>
      <c r="K188" s="21"/>
      <c r="L188" s="21"/>
      <c r="M188" s="21"/>
      <c r="N188" s="21"/>
      <c r="O188" s="21"/>
    </row>
    <row r="189" spans="1:15" x14ac:dyDescent="0.2">
      <c r="A189" s="21"/>
      <c r="B189" s="21"/>
      <c r="C189" s="21"/>
      <c r="D189" s="21"/>
      <c r="E189" s="21"/>
      <c r="F189" s="21"/>
      <c r="G189" s="21"/>
      <c r="H189" s="32"/>
      <c r="I189" s="21"/>
      <c r="J189" s="21"/>
      <c r="K189" s="21"/>
      <c r="L189" s="21"/>
      <c r="M189" s="21"/>
      <c r="N189" s="21"/>
      <c r="O189" s="21"/>
    </row>
    <row r="190" spans="1:15" x14ac:dyDescent="0.2">
      <c r="A190" s="21"/>
      <c r="B190" s="21"/>
      <c r="C190" s="21"/>
      <c r="D190" s="21"/>
      <c r="E190" s="21"/>
      <c r="F190" s="21"/>
      <c r="G190" s="21"/>
      <c r="H190" s="32"/>
      <c r="I190" s="21"/>
      <c r="J190" s="21"/>
      <c r="K190" s="21"/>
      <c r="L190" s="21"/>
      <c r="M190" s="21"/>
      <c r="N190" s="21"/>
      <c r="O190" s="21"/>
    </row>
    <row r="191" spans="1:15" x14ac:dyDescent="0.2">
      <c r="A191" s="21"/>
      <c r="B191" s="21"/>
      <c r="C191" s="21"/>
      <c r="D191" s="21"/>
      <c r="E191" s="21"/>
      <c r="F191" s="21"/>
      <c r="G191" s="21"/>
      <c r="H191" s="32"/>
      <c r="I191" s="21"/>
      <c r="J191" s="21"/>
      <c r="K191" s="21"/>
      <c r="L191" s="21"/>
      <c r="M191" s="21"/>
      <c r="N191" s="21"/>
      <c r="O191" s="21"/>
    </row>
    <row r="192" spans="1:15" x14ac:dyDescent="0.2">
      <c r="A192" s="21"/>
      <c r="B192" s="21"/>
      <c r="C192" s="21"/>
      <c r="D192" s="21"/>
      <c r="E192" s="21"/>
      <c r="F192" s="21"/>
      <c r="G192" s="21"/>
      <c r="H192" s="32"/>
      <c r="I192" s="21"/>
      <c r="J192" s="21"/>
      <c r="K192" s="21"/>
      <c r="L192" s="21"/>
      <c r="M192" s="21"/>
      <c r="N192" s="21"/>
      <c r="O192" s="21"/>
    </row>
    <row r="193" spans="1:15" x14ac:dyDescent="0.2">
      <c r="A193" s="21"/>
      <c r="B193" s="21"/>
      <c r="C193" s="21"/>
      <c r="D193" s="21"/>
      <c r="E193" s="21"/>
      <c r="F193" s="21"/>
      <c r="G193" s="21"/>
      <c r="H193" s="32"/>
      <c r="I193" s="21"/>
      <c r="J193" s="21"/>
      <c r="K193" s="21"/>
      <c r="L193" s="21"/>
      <c r="M193" s="21"/>
      <c r="N193" s="21"/>
      <c r="O193" s="21"/>
    </row>
    <row r="194" spans="1:15" x14ac:dyDescent="0.2">
      <c r="A194" s="21"/>
      <c r="B194" s="21"/>
      <c r="C194" s="21"/>
      <c r="D194" s="21"/>
      <c r="E194" s="21"/>
      <c r="F194" s="21"/>
      <c r="G194" s="21"/>
      <c r="H194" s="32"/>
      <c r="I194" s="21"/>
      <c r="J194" s="21"/>
      <c r="K194" s="21"/>
      <c r="L194" s="21"/>
      <c r="M194" s="21"/>
      <c r="N194" s="21"/>
      <c r="O194" s="21"/>
    </row>
    <row r="195" spans="1:15" x14ac:dyDescent="0.2">
      <c r="A195" s="21"/>
      <c r="B195" s="21"/>
      <c r="C195" s="21"/>
      <c r="D195" s="21"/>
      <c r="E195" s="21"/>
      <c r="F195" s="21"/>
      <c r="G195" s="21"/>
      <c r="H195" s="32"/>
      <c r="I195" s="21"/>
      <c r="J195" s="21"/>
      <c r="K195" s="21"/>
      <c r="L195" s="21"/>
      <c r="M195" s="21"/>
      <c r="N195" s="21"/>
      <c r="O195" s="21"/>
    </row>
    <row r="196" spans="1:15" x14ac:dyDescent="0.2">
      <c r="A196" s="21"/>
      <c r="B196" s="21"/>
      <c r="C196" s="21"/>
      <c r="D196" s="21"/>
      <c r="E196" s="21"/>
      <c r="F196" s="21"/>
      <c r="G196" s="21"/>
      <c r="H196" s="32"/>
      <c r="I196" s="21"/>
      <c r="J196" s="21"/>
      <c r="K196" s="21"/>
      <c r="L196" s="21"/>
      <c r="M196" s="21"/>
      <c r="N196" s="21"/>
      <c r="O196" s="21"/>
    </row>
    <row r="197" spans="1:15" x14ac:dyDescent="0.2">
      <c r="A197" s="21"/>
      <c r="B197" s="21"/>
      <c r="C197" s="21"/>
      <c r="D197" s="21"/>
      <c r="E197" s="21"/>
      <c r="F197" s="21"/>
      <c r="G197" s="21"/>
      <c r="H197" s="32"/>
      <c r="I197" s="21"/>
      <c r="J197" s="21"/>
      <c r="K197" s="21"/>
      <c r="L197" s="21"/>
      <c r="M197" s="21"/>
      <c r="N197" s="21"/>
      <c r="O197" s="21"/>
    </row>
    <row r="198" spans="1:15" x14ac:dyDescent="0.2">
      <c r="A198" s="21"/>
      <c r="B198" s="21"/>
      <c r="C198" s="21"/>
      <c r="D198" s="21"/>
      <c r="E198" s="21"/>
      <c r="F198" s="21"/>
      <c r="G198" s="21"/>
      <c r="H198" s="32"/>
      <c r="I198" s="21"/>
      <c r="J198" s="21"/>
      <c r="K198" s="21"/>
      <c r="L198" s="21"/>
      <c r="M198" s="21"/>
      <c r="N198" s="21"/>
      <c r="O198" s="21"/>
    </row>
    <row r="199" spans="1:15" x14ac:dyDescent="0.2">
      <c r="A199" s="21"/>
      <c r="B199" s="21"/>
      <c r="C199" s="21"/>
      <c r="D199" s="21"/>
      <c r="E199" s="21"/>
      <c r="F199" s="21"/>
      <c r="G199" s="21"/>
      <c r="H199" s="32"/>
      <c r="I199" s="21"/>
      <c r="J199" s="21"/>
      <c r="K199" s="21"/>
      <c r="L199" s="21"/>
      <c r="M199" s="21"/>
      <c r="N199" s="21"/>
      <c r="O199" s="21"/>
    </row>
    <row r="200" spans="1:15" x14ac:dyDescent="0.2">
      <c r="A200" s="21"/>
      <c r="B200" s="21"/>
      <c r="C200" s="21"/>
      <c r="D200" s="21"/>
      <c r="E200" s="21"/>
      <c r="F200" s="21"/>
      <c r="G200" s="21"/>
      <c r="H200" s="32"/>
      <c r="I200" s="21"/>
      <c r="J200" s="21"/>
      <c r="K200" s="21"/>
      <c r="L200" s="21"/>
      <c r="M200" s="21"/>
      <c r="N200" s="21"/>
      <c r="O200" s="21"/>
    </row>
    <row r="201" spans="1:15" x14ac:dyDescent="0.2">
      <c r="A201" s="21"/>
      <c r="B201" s="21"/>
      <c r="C201" s="21"/>
      <c r="D201" s="21"/>
      <c r="E201" s="21"/>
      <c r="F201" s="21"/>
      <c r="G201" s="21"/>
      <c r="H201" s="32"/>
      <c r="I201" s="21"/>
      <c r="J201" s="21"/>
      <c r="K201" s="21"/>
      <c r="L201" s="21"/>
      <c r="M201" s="21"/>
      <c r="N201" s="21"/>
      <c r="O201" s="21"/>
    </row>
    <row r="202" spans="1:15" x14ac:dyDescent="0.2">
      <c r="A202" s="21"/>
      <c r="B202" s="21"/>
      <c r="C202" s="21"/>
      <c r="D202" s="21"/>
      <c r="E202" s="21"/>
      <c r="F202" s="21"/>
      <c r="G202" s="21"/>
      <c r="H202" s="32"/>
      <c r="I202" s="21"/>
      <c r="J202" s="21"/>
      <c r="K202" s="21"/>
      <c r="L202" s="21"/>
      <c r="M202" s="21"/>
      <c r="N202" s="21"/>
      <c r="O202" s="21"/>
    </row>
    <row r="203" spans="1:15" x14ac:dyDescent="0.2">
      <c r="A203" s="21"/>
      <c r="B203" s="21"/>
      <c r="C203" s="21"/>
      <c r="D203" s="21"/>
      <c r="E203" s="21"/>
      <c r="F203" s="21"/>
      <c r="G203" s="21"/>
      <c r="H203" s="32"/>
      <c r="I203" s="21"/>
      <c r="J203" s="21"/>
      <c r="K203" s="21"/>
      <c r="L203" s="21"/>
      <c r="M203" s="21"/>
      <c r="N203" s="21"/>
      <c r="O203" s="21"/>
    </row>
    <row r="204" spans="1:15" x14ac:dyDescent="0.2">
      <c r="A204" s="21"/>
      <c r="B204" s="21"/>
      <c r="C204" s="21"/>
      <c r="D204" s="21"/>
      <c r="E204" s="21"/>
      <c r="F204" s="21"/>
      <c r="G204" s="21"/>
      <c r="H204" s="32"/>
      <c r="I204" s="21"/>
      <c r="J204" s="21"/>
      <c r="K204" s="21"/>
      <c r="L204" s="21"/>
      <c r="M204" s="21"/>
      <c r="N204" s="21"/>
      <c r="O204" s="21"/>
    </row>
    <row r="205" spans="1:15" x14ac:dyDescent="0.2">
      <c r="A205" s="21"/>
      <c r="B205" s="21"/>
      <c r="C205" s="21"/>
      <c r="D205" s="21"/>
      <c r="E205" s="21"/>
      <c r="F205" s="21"/>
      <c r="G205" s="21"/>
      <c r="H205" s="32"/>
      <c r="I205" s="21"/>
      <c r="J205" s="21"/>
      <c r="K205" s="21"/>
      <c r="L205" s="21"/>
      <c r="M205" s="21"/>
      <c r="N205" s="21"/>
      <c r="O205" s="21"/>
    </row>
    <row r="206" spans="1:15" x14ac:dyDescent="0.2">
      <c r="A206" s="21"/>
      <c r="B206" s="21"/>
      <c r="C206" s="21"/>
      <c r="D206" s="21"/>
      <c r="E206" s="21"/>
      <c r="F206" s="21"/>
      <c r="G206" s="21"/>
      <c r="H206" s="32"/>
      <c r="I206" s="21"/>
      <c r="J206" s="21"/>
      <c r="K206" s="21"/>
      <c r="L206" s="21"/>
      <c r="M206" s="21"/>
      <c r="N206" s="21"/>
      <c r="O206" s="21"/>
    </row>
    <row r="207" spans="1:15" x14ac:dyDescent="0.2">
      <c r="A207" s="21"/>
      <c r="B207" s="21"/>
      <c r="C207" s="21"/>
      <c r="D207" s="21"/>
      <c r="E207" s="21"/>
      <c r="F207" s="21"/>
      <c r="G207" s="21"/>
      <c r="H207" s="32"/>
      <c r="I207" s="21"/>
      <c r="J207" s="21"/>
      <c r="K207" s="21"/>
      <c r="L207" s="21"/>
      <c r="M207" s="21"/>
      <c r="N207" s="21"/>
      <c r="O207" s="21"/>
    </row>
    <row r="208" spans="1:15" x14ac:dyDescent="0.2">
      <c r="A208" s="21"/>
      <c r="B208" s="21"/>
      <c r="C208" s="21"/>
      <c r="D208" s="21"/>
      <c r="E208" s="21"/>
      <c r="F208" s="21"/>
      <c r="G208" s="21"/>
      <c r="H208" s="32"/>
      <c r="I208" s="21"/>
      <c r="J208" s="21"/>
      <c r="K208" s="21"/>
      <c r="L208" s="21"/>
      <c r="M208" s="21"/>
      <c r="N208" s="21"/>
      <c r="O208" s="21"/>
    </row>
    <row r="209" spans="1:15" x14ac:dyDescent="0.2">
      <c r="A209" s="21"/>
      <c r="B209" s="21"/>
      <c r="C209" s="21"/>
      <c r="D209" s="21"/>
      <c r="E209" s="21"/>
      <c r="F209" s="21"/>
      <c r="G209" s="21"/>
      <c r="H209" s="32"/>
      <c r="I209" s="21"/>
      <c r="J209" s="21"/>
      <c r="K209" s="21"/>
      <c r="L209" s="21"/>
      <c r="M209" s="21"/>
      <c r="N209" s="21"/>
      <c r="O209" s="21"/>
    </row>
    <row r="210" spans="1:15" x14ac:dyDescent="0.2">
      <c r="A210" s="21"/>
      <c r="B210" s="21"/>
      <c r="C210" s="21"/>
      <c r="D210" s="21"/>
      <c r="E210" s="21"/>
      <c r="F210" s="21"/>
      <c r="G210" s="21"/>
      <c r="H210" s="32"/>
      <c r="I210" s="21"/>
      <c r="J210" s="21"/>
      <c r="K210" s="21"/>
      <c r="L210" s="21"/>
      <c r="M210" s="21"/>
      <c r="N210" s="21"/>
      <c r="O210" s="21"/>
    </row>
    <row r="211" spans="1:15" x14ac:dyDescent="0.2">
      <c r="A211" s="21"/>
      <c r="B211" s="21"/>
      <c r="C211" s="21"/>
      <c r="D211" s="21"/>
      <c r="E211" s="21"/>
      <c r="F211" s="21"/>
      <c r="G211" s="21"/>
      <c r="H211" s="32"/>
      <c r="I211" s="21"/>
      <c r="J211" s="21"/>
      <c r="K211" s="21"/>
      <c r="L211" s="21"/>
      <c r="M211" s="21"/>
      <c r="N211" s="21"/>
      <c r="O211" s="21"/>
    </row>
    <row r="212" spans="1:15" x14ac:dyDescent="0.2">
      <c r="A212" s="21"/>
      <c r="B212" s="21"/>
      <c r="C212" s="21"/>
      <c r="D212" s="21"/>
      <c r="E212" s="21"/>
      <c r="F212" s="21"/>
      <c r="G212" s="21"/>
      <c r="H212" s="32"/>
      <c r="I212" s="21"/>
      <c r="J212" s="21"/>
      <c r="K212" s="21"/>
      <c r="L212" s="21"/>
      <c r="M212" s="21"/>
      <c r="N212" s="21"/>
      <c r="O212" s="21"/>
    </row>
    <row r="213" spans="1:15" x14ac:dyDescent="0.2">
      <c r="A213" s="21"/>
      <c r="B213" s="21"/>
      <c r="C213" s="21"/>
      <c r="D213" s="21"/>
      <c r="E213" s="21"/>
      <c r="F213" s="21"/>
      <c r="G213" s="21"/>
      <c r="H213" s="32"/>
      <c r="I213" s="21"/>
      <c r="J213" s="21"/>
      <c r="K213" s="21"/>
      <c r="L213" s="21"/>
      <c r="M213" s="21"/>
      <c r="N213" s="21"/>
      <c r="O213" s="21"/>
    </row>
    <row r="214" spans="1:15" x14ac:dyDescent="0.2">
      <c r="A214" s="21"/>
      <c r="B214" s="21"/>
      <c r="C214" s="21"/>
      <c r="D214" s="21"/>
      <c r="E214" s="21"/>
      <c r="F214" s="21"/>
      <c r="G214" s="21"/>
      <c r="H214" s="32"/>
      <c r="I214" s="21"/>
      <c r="J214" s="21"/>
      <c r="K214" s="21"/>
      <c r="L214" s="21"/>
      <c r="M214" s="21"/>
      <c r="N214" s="21"/>
      <c r="O214" s="21"/>
    </row>
    <row r="215" spans="1:15" x14ac:dyDescent="0.2">
      <c r="A215" s="21"/>
      <c r="B215" s="21"/>
      <c r="C215" s="21"/>
      <c r="D215" s="21"/>
      <c r="E215" s="21"/>
      <c r="F215" s="21"/>
      <c r="G215" s="21"/>
      <c r="H215" s="32"/>
      <c r="I215" s="21"/>
      <c r="J215" s="21"/>
      <c r="K215" s="21"/>
      <c r="L215" s="21"/>
      <c r="M215" s="21"/>
      <c r="N215" s="21"/>
      <c r="O215" s="21"/>
    </row>
    <row r="216" spans="1:15" x14ac:dyDescent="0.2">
      <c r="A216" s="21"/>
      <c r="B216" s="21"/>
      <c r="C216" s="21"/>
      <c r="D216" s="21"/>
      <c r="E216" s="21"/>
      <c r="F216" s="21"/>
      <c r="G216" s="21"/>
      <c r="H216" s="32"/>
      <c r="I216" s="21"/>
      <c r="J216" s="21"/>
      <c r="K216" s="21"/>
      <c r="L216" s="21"/>
      <c r="M216" s="21"/>
      <c r="N216" s="21"/>
      <c r="O216" s="21"/>
    </row>
    <row r="217" spans="1:15" x14ac:dyDescent="0.2">
      <c r="A217" s="21"/>
      <c r="B217" s="21"/>
      <c r="C217" s="21"/>
      <c r="D217" s="21"/>
      <c r="E217" s="21"/>
      <c r="F217" s="21"/>
      <c r="G217" s="21"/>
      <c r="H217" s="32"/>
      <c r="I217" s="21"/>
      <c r="J217" s="21"/>
      <c r="K217" s="21"/>
      <c r="L217" s="21"/>
      <c r="M217" s="21"/>
      <c r="N217" s="21"/>
      <c r="O217" s="21"/>
    </row>
    <row r="218" spans="1:15" x14ac:dyDescent="0.2">
      <c r="A218" s="21"/>
      <c r="B218" s="21"/>
      <c r="C218" s="21"/>
      <c r="D218" s="21"/>
      <c r="E218" s="21"/>
      <c r="F218" s="21"/>
      <c r="G218" s="21"/>
      <c r="H218" s="32"/>
      <c r="I218" s="21"/>
      <c r="J218" s="21"/>
      <c r="K218" s="21"/>
      <c r="L218" s="21"/>
      <c r="M218" s="21"/>
      <c r="N218" s="21"/>
      <c r="O218" s="21"/>
    </row>
    <row r="219" spans="1:15" x14ac:dyDescent="0.2">
      <c r="A219" s="21"/>
      <c r="B219" s="21"/>
      <c r="C219" s="21"/>
      <c r="D219" s="21"/>
      <c r="E219" s="21"/>
      <c r="F219" s="21"/>
      <c r="G219" s="21"/>
      <c r="H219" s="32"/>
      <c r="I219" s="21"/>
      <c r="J219" s="21"/>
      <c r="K219" s="21"/>
      <c r="L219" s="21"/>
      <c r="M219" s="21"/>
      <c r="N219" s="21"/>
      <c r="O219" s="21"/>
    </row>
    <row r="220" spans="1:15" x14ac:dyDescent="0.2">
      <c r="A220" s="21"/>
      <c r="B220" s="21"/>
      <c r="C220" s="21"/>
      <c r="D220" s="21"/>
      <c r="E220" s="21"/>
      <c r="F220" s="21"/>
      <c r="G220" s="21"/>
      <c r="H220" s="32"/>
      <c r="I220" s="21"/>
      <c r="J220" s="21"/>
      <c r="K220" s="21"/>
      <c r="L220" s="21"/>
      <c r="M220" s="21"/>
      <c r="N220" s="21"/>
      <c r="O220" s="21"/>
    </row>
    <row r="221" spans="1:15" x14ac:dyDescent="0.2">
      <c r="A221" s="21"/>
      <c r="B221" s="21"/>
      <c r="C221" s="21"/>
      <c r="D221" s="21"/>
      <c r="E221" s="21"/>
      <c r="F221" s="21"/>
      <c r="G221" s="21"/>
      <c r="H221" s="32"/>
      <c r="I221" s="21"/>
      <c r="J221" s="21"/>
      <c r="K221" s="21"/>
      <c r="L221" s="21"/>
      <c r="M221" s="21"/>
      <c r="N221" s="21"/>
      <c r="O221" s="21"/>
    </row>
    <row r="222" spans="1:15" x14ac:dyDescent="0.2">
      <c r="A222" s="21"/>
      <c r="B222" s="21"/>
      <c r="C222" s="21"/>
      <c r="D222" s="21"/>
      <c r="E222" s="21"/>
      <c r="F222" s="21"/>
      <c r="G222" s="21"/>
      <c r="H222" s="32"/>
      <c r="I222" s="21"/>
      <c r="J222" s="21"/>
      <c r="K222" s="21"/>
      <c r="L222" s="21"/>
      <c r="M222" s="21"/>
      <c r="N222" s="21"/>
      <c r="O222" s="21"/>
    </row>
    <row r="223" spans="1:15" x14ac:dyDescent="0.2">
      <c r="A223" s="21"/>
      <c r="B223" s="21"/>
      <c r="C223" s="21"/>
      <c r="D223" s="21"/>
      <c r="E223" s="21"/>
      <c r="F223" s="21"/>
      <c r="G223" s="21"/>
      <c r="H223" s="32"/>
      <c r="I223" s="21"/>
      <c r="J223" s="21"/>
      <c r="K223" s="21"/>
      <c r="L223" s="21"/>
      <c r="M223" s="21"/>
      <c r="N223" s="21"/>
      <c r="O223" s="21"/>
    </row>
    <row r="224" spans="1:15" x14ac:dyDescent="0.2">
      <c r="A224" s="21"/>
      <c r="B224" s="21"/>
      <c r="C224" s="21"/>
      <c r="D224" s="21"/>
      <c r="E224" s="21"/>
      <c r="F224" s="21"/>
      <c r="G224" s="21"/>
      <c r="H224" s="32"/>
      <c r="I224" s="21"/>
      <c r="J224" s="21"/>
      <c r="K224" s="21"/>
      <c r="L224" s="21"/>
      <c r="M224" s="21"/>
      <c r="N224" s="21"/>
      <c r="O224" s="21"/>
    </row>
    <row r="225" spans="1:15" x14ac:dyDescent="0.2">
      <c r="A225" s="21"/>
      <c r="B225" s="21"/>
      <c r="C225" s="21"/>
      <c r="D225" s="21"/>
      <c r="E225" s="21"/>
      <c r="F225" s="21"/>
      <c r="G225" s="21"/>
      <c r="H225" s="32"/>
      <c r="I225" s="21"/>
      <c r="J225" s="21"/>
      <c r="K225" s="21"/>
      <c r="L225" s="21"/>
      <c r="M225" s="21"/>
      <c r="N225" s="21"/>
      <c r="O225" s="21"/>
    </row>
    <row r="226" spans="1:15" x14ac:dyDescent="0.2">
      <c r="A226" s="21"/>
      <c r="B226" s="21"/>
      <c r="C226" s="21"/>
      <c r="D226" s="21"/>
      <c r="E226" s="21"/>
      <c r="F226" s="21"/>
      <c r="G226" s="21"/>
      <c r="H226" s="32"/>
      <c r="I226" s="21"/>
      <c r="J226" s="21"/>
      <c r="K226" s="21"/>
      <c r="L226" s="21"/>
      <c r="M226" s="21"/>
      <c r="N226" s="21"/>
      <c r="O226" s="21"/>
    </row>
    <row r="227" spans="1:15" x14ac:dyDescent="0.2">
      <c r="A227" s="21"/>
      <c r="B227" s="21"/>
      <c r="C227" s="21"/>
      <c r="D227" s="21"/>
      <c r="E227" s="21"/>
      <c r="F227" s="21"/>
      <c r="G227" s="21"/>
      <c r="H227" s="32"/>
      <c r="I227" s="21"/>
      <c r="J227" s="21"/>
      <c r="K227" s="21"/>
      <c r="L227" s="21"/>
      <c r="M227" s="21"/>
      <c r="N227" s="21"/>
      <c r="O227" s="21"/>
    </row>
    <row r="228" spans="1:15" x14ac:dyDescent="0.2">
      <c r="A228" s="21"/>
      <c r="B228" s="21"/>
      <c r="C228" s="21"/>
      <c r="D228" s="21"/>
      <c r="E228" s="21"/>
      <c r="F228" s="21"/>
      <c r="G228" s="21"/>
      <c r="H228" s="32"/>
      <c r="I228" s="21"/>
      <c r="J228" s="21"/>
      <c r="K228" s="21"/>
      <c r="L228" s="21"/>
      <c r="M228" s="21"/>
      <c r="N228" s="21"/>
      <c r="O228" s="21"/>
    </row>
    <row r="229" spans="1:15" x14ac:dyDescent="0.2">
      <c r="A229" s="21"/>
      <c r="B229" s="21"/>
      <c r="C229" s="21"/>
      <c r="D229" s="21"/>
      <c r="E229" s="21"/>
      <c r="F229" s="21"/>
      <c r="G229" s="21"/>
      <c r="H229" s="32"/>
      <c r="I229" s="21"/>
      <c r="J229" s="21"/>
      <c r="K229" s="21"/>
      <c r="L229" s="21"/>
      <c r="M229" s="21"/>
      <c r="N229" s="21"/>
      <c r="O229" s="21"/>
    </row>
    <row r="230" spans="1:15" x14ac:dyDescent="0.2">
      <c r="A230" s="21"/>
      <c r="B230" s="21"/>
      <c r="C230" s="21"/>
      <c r="D230" s="21"/>
      <c r="E230" s="21"/>
      <c r="F230" s="21"/>
      <c r="G230" s="21"/>
      <c r="H230" s="32"/>
      <c r="I230" s="21"/>
      <c r="J230" s="21"/>
      <c r="K230" s="21"/>
      <c r="L230" s="21"/>
      <c r="M230" s="21"/>
      <c r="N230" s="21"/>
      <c r="O230" s="21"/>
    </row>
    <row r="231" spans="1:15" x14ac:dyDescent="0.2">
      <c r="A231" s="21"/>
      <c r="B231" s="21"/>
      <c r="C231" s="21"/>
      <c r="D231" s="21"/>
      <c r="E231" s="21"/>
      <c r="F231" s="21"/>
      <c r="G231" s="21"/>
      <c r="H231" s="32"/>
      <c r="I231" s="21"/>
      <c r="J231" s="21"/>
      <c r="K231" s="21"/>
      <c r="L231" s="21"/>
      <c r="M231" s="21"/>
      <c r="N231" s="21"/>
      <c r="O231" s="21"/>
    </row>
    <row r="232" spans="1:15" x14ac:dyDescent="0.2">
      <c r="A232" s="21"/>
      <c r="B232" s="21"/>
      <c r="C232" s="21"/>
      <c r="D232" s="21"/>
      <c r="E232" s="21"/>
      <c r="F232" s="21"/>
      <c r="G232" s="21"/>
      <c r="H232" s="32"/>
      <c r="I232" s="21"/>
      <c r="J232" s="21"/>
      <c r="K232" s="21"/>
      <c r="L232" s="21"/>
      <c r="M232" s="21"/>
      <c r="N232" s="21"/>
      <c r="O232" s="21"/>
    </row>
    <row r="233" spans="1:15" x14ac:dyDescent="0.2">
      <c r="A233" s="21"/>
      <c r="B233" s="21"/>
      <c r="C233" s="21"/>
      <c r="D233" s="21"/>
      <c r="E233" s="21"/>
      <c r="F233" s="21"/>
      <c r="G233" s="21"/>
      <c r="H233" s="32"/>
      <c r="I233" s="21"/>
      <c r="J233" s="21"/>
      <c r="K233" s="21"/>
      <c r="L233" s="21"/>
      <c r="M233" s="21"/>
      <c r="N233" s="21"/>
      <c r="O233" s="21"/>
    </row>
    <row r="234" spans="1:15" x14ac:dyDescent="0.2">
      <c r="A234" s="21"/>
      <c r="B234" s="21"/>
      <c r="C234" s="21"/>
      <c r="D234" s="21"/>
      <c r="E234" s="21"/>
      <c r="F234" s="21"/>
      <c r="G234" s="21"/>
      <c r="H234" s="32"/>
      <c r="I234" s="21"/>
      <c r="J234" s="21"/>
      <c r="K234" s="21"/>
      <c r="L234" s="21"/>
      <c r="M234" s="21"/>
      <c r="N234" s="21"/>
      <c r="O234" s="21"/>
    </row>
    <row r="235" spans="1:15" x14ac:dyDescent="0.2">
      <c r="A235" s="21"/>
      <c r="B235" s="21"/>
      <c r="C235" s="21"/>
      <c r="D235" s="21"/>
      <c r="E235" s="21"/>
      <c r="F235" s="21"/>
      <c r="G235" s="21"/>
      <c r="H235" s="32"/>
      <c r="I235" s="21"/>
      <c r="J235" s="21"/>
      <c r="K235" s="21"/>
      <c r="L235" s="21"/>
      <c r="M235" s="21"/>
      <c r="N235" s="21"/>
      <c r="O235" s="21"/>
    </row>
    <row r="236" spans="1:15" x14ac:dyDescent="0.2">
      <c r="A236" s="21"/>
      <c r="B236" s="21"/>
      <c r="C236" s="21"/>
      <c r="D236" s="21"/>
      <c r="E236" s="21"/>
      <c r="F236" s="21"/>
      <c r="G236" s="21"/>
      <c r="H236" s="32"/>
      <c r="I236" s="21"/>
      <c r="J236" s="21"/>
      <c r="K236" s="21"/>
      <c r="L236" s="21"/>
      <c r="M236" s="21"/>
      <c r="N236" s="21"/>
      <c r="O236" s="21"/>
    </row>
    <row r="237" spans="1:15" x14ac:dyDescent="0.2">
      <c r="A237" s="21"/>
      <c r="B237" s="21"/>
      <c r="C237" s="21"/>
      <c r="D237" s="21"/>
      <c r="E237" s="21"/>
      <c r="F237" s="21"/>
      <c r="G237" s="21"/>
      <c r="H237" s="32"/>
      <c r="I237" s="21"/>
      <c r="J237" s="21"/>
      <c r="K237" s="21"/>
      <c r="L237" s="21"/>
      <c r="M237" s="21"/>
      <c r="N237" s="21"/>
      <c r="O237" s="21"/>
    </row>
    <row r="238" spans="1:15" x14ac:dyDescent="0.2">
      <c r="A238" s="21"/>
      <c r="B238" s="21"/>
      <c r="C238" s="21"/>
      <c r="D238" s="21"/>
      <c r="E238" s="21"/>
      <c r="F238" s="21"/>
      <c r="G238" s="21"/>
      <c r="H238" s="32"/>
      <c r="I238" s="21"/>
      <c r="J238" s="21"/>
      <c r="K238" s="21"/>
      <c r="L238" s="21"/>
      <c r="M238" s="21"/>
      <c r="N238" s="21"/>
      <c r="O238" s="21"/>
    </row>
    <row r="239" spans="1:15" x14ac:dyDescent="0.2">
      <c r="A239" s="21"/>
      <c r="B239" s="21"/>
      <c r="C239" s="21"/>
      <c r="D239" s="21"/>
      <c r="E239" s="21"/>
      <c r="F239" s="21"/>
      <c r="G239" s="21"/>
      <c r="H239" s="32"/>
      <c r="I239" s="21"/>
      <c r="J239" s="21"/>
      <c r="K239" s="21"/>
      <c r="L239" s="21"/>
      <c r="M239" s="21"/>
      <c r="N239" s="21"/>
      <c r="O239" s="21"/>
    </row>
    <row r="240" spans="1:15" x14ac:dyDescent="0.2">
      <c r="A240" s="21"/>
      <c r="B240" s="21"/>
      <c r="C240" s="21"/>
      <c r="D240" s="21"/>
      <c r="E240" s="21"/>
      <c r="F240" s="21"/>
      <c r="G240" s="21"/>
      <c r="H240" s="32"/>
      <c r="I240" s="21"/>
      <c r="J240" s="21"/>
      <c r="K240" s="21"/>
      <c r="L240" s="21"/>
      <c r="M240" s="21"/>
      <c r="N240" s="21"/>
      <c r="O240" s="21"/>
    </row>
    <row r="241" spans="1:15" x14ac:dyDescent="0.2">
      <c r="A241" s="21"/>
      <c r="B241" s="21"/>
      <c r="C241" s="21"/>
      <c r="D241" s="21"/>
      <c r="E241" s="21"/>
      <c r="F241" s="21"/>
      <c r="G241" s="21"/>
      <c r="H241" s="32"/>
      <c r="I241" s="21"/>
      <c r="J241" s="21"/>
      <c r="K241" s="21"/>
      <c r="L241" s="21"/>
      <c r="M241" s="21"/>
      <c r="N241" s="21"/>
      <c r="O241" s="21"/>
    </row>
    <row r="242" spans="1:15" x14ac:dyDescent="0.2">
      <c r="A242" s="21"/>
      <c r="B242" s="21"/>
      <c r="C242" s="21"/>
      <c r="D242" s="21"/>
      <c r="E242" s="21"/>
      <c r="F242" s="21"/>
      <c r="G242" s="21"/>
      <c r="H242" s="32"/>
      <c r="I242" s="21"/>
      <c r="J242" s="21"/>
      <c r="K242" s="21"/>
      <c r="L242" s="21"/>
      <c r="M242" s="21"/>
      <c r="N242" s="21"/>
      <c r="O242" s="21"/>
    </row>
    <row r="243" spans="1:15" x14ac:dyDescent="0.2">
      <c r="A243" s="21"/>
      <c r="B243" s="21"/>
      <c r="C243" s="21"/>
      <c r="D243" s="21"/>
      <c r="E243" s="21"/>
      <c r="F243" s="21"/>
      <c r="G243" s="21"/>
      <c r="H243" s="32"/>
      <c r="I243" s="21"/>
      <c r="J243" s="21"/>
      <c r="K243" s="21"/>
      <c r="L243" s="21"/>
      <c r="M243" s="21"/>
      <c r="N243" s="21"/>
      <c r="O243" s="21"/>
    </row>
    <row r="244" spans="1:15" x14ac:dyDescent="0.2">
      <c r="A244" s="21"/>
      <c r="B244" s="21"/>
      <c r="C244" s="21"/>
      <c r="D244" s="21"/>
      <c r="E244" s="21"/>
      <c r="F244" s="21"/>
      <c r="G244" s="21"/>
      <c r="H244" s="32"/>
      <c r="I244" s="21"/>
      <c r="J244" s="21"/>
      <c r="K244" s="21"/>
      <c r="L244" s="21"/>
      <c r="M244" s="21"/>
      <c r="N244" s="21"/>
      <c r="O244" s="21"/>
    </row>
    <row r="245" spans="1:15" x14ac:dyDescent="0.2">
      <c r="A245" s="21"/>
      <c r="B245" s="21"/>
      <c r="C245" s="21"/>
      <c r="D245" s="21"/>
      <c r="E245" s="21"/>
      <c r="F245" s="21"/>
      <c r="G245" s="21"/>
      <c r="H245" s="32"/>
      <c r="I245" s="21"/>
      <c r="J245" s="21"/>
      <c r="K245" s="21"/>
      <c r="L245" s="21"/>
      <c r="M245" s="21"/>
      <c r="N245" s="21"/>
      <c r="O245" s="21"/>
    </row>
    <row r="246" spans="1:15" x14ac:dyDescent="0.2">
      <c r="A246" s="21"/>
      <c r="B246" s="21"/>
      <c r="C246" s="21"/>
      <c r="D246" s="21"/>
      <c r="E246" s="21"/>
      <c r="F246" s="21"/>
      <c r="G246" s="21"/>
      <c r="H246" s="32"/>
      <c r="I246" s="21"/>
      <c r="J246" s="21"/>
      <c r="K246" s="21"/>
      <c r="L246" s="21"/>
      <c r="M246" s="21"/>
      <c r="N246" s="21"/>
      <c r="O246" s="21"/>
    </row>
    <row r="247" spans="1:15" x14ac:dyDescent="0.2">
      <c r="A247" s="21"/>
      <c r="B247" s="21"/>
      <c r="C247" s="21"/>
      <c r="D247" s="21"/>
      <c r="E247" s="21"/>
      <c r="F247" s="21"/>
      <c r="G247" s="21"/>
      <c r="H247" s="32"/>
      <c r="I247" s="21"/>
      <c r="J247" s="21"/>
      <c r="K247" s="21"/>
      <c r="L247" s="21"/>
      <c r="M247" s="21"/>
      <c r="N247" s="21"/>
      <c r="O247" s="21"/>
    </row>
    <row r="248" spans="1:15" x14ac:dyDescent="0.2">
      <c r="A248" s="21"/>
      <c r="B248" s="21"/>
      <c r="C248" s="21"/>
      <c r="D248" s="21"/>
      <c r="E248" s="21"/>
      <c r="F248" s="21"/>
      <c r="G248" s="21"/>
      <c r="H248" s="32"/>
      <c r="I248" s="21"/>
      <c r="J248" s="21"/>
      <c r="K248" s="21"/>
      <c r="L248" s="21"/>
      <c r="M248" s="21"/>
      <c r="N248" s="21"/>
      <c r="O248" s="21"/>
    </row>
    <row r="249" spans="1:15" x14ac:dyDescent="0.2">
      <c r="A249" s="21"/>
      <c r="B249" s="21"/>
      <c r="C249" s="21"/>
      <c r="D249" s="21"/>
      <c r="E249" s="21"/>
      <c r="F249" s="21"/>
      <c r="G249" s="21"/>
      <c r="H249" s="32"/>
      <c r="I249" s="21"/>
      <c r="J249" s="21"/>
      <c r="K249" s="21"/>
      <c r="L249" s="21"/>
      <c r="M249" s="21"/>
      <c r="N249" s="21"/>
      <c r="O249" s="21"/>
    </row>
    <row r="250" spans="1:15" x14ac:dyDescent="0.2">
      <c r="A250" s="21"/>
      <c r="B250" s="21"/>
      <c r="C250" s="21"/>
      <c r="D250" s="21"/>
      <c r="E250" s="21"/>
      <c r="F250" s="21"/>
      <c r="G250" s="21"/>
      <c r="H250" s="32"/>
      <c r="I250" s="21"/>
      <c r="J250" s="21"/>
      <c r="K250" s="21"/>
      <c r="L250" s="21"/>
      <c r="M250" s="21"/>
      <c r="N250" s="21"/>
      <c r="O250" s="21"/>
    </row>
    <row r="251" spans="1:15" x14ac:dyDescent="0.2">
      <c r="A251" s="21"/>
      <c r="B251" s="21"/>
      <c r="C251" s="21"/>
      <c r="D251" s="21"/>
      <c r="E251" s="21"/>
      <c r="F251" s="21"/>
      <c r="G251" s="21"/>
      <c r="H251" s="32"/>
      <c r="I251" s="21"/>
      <c r="J251" s="21"/>
      <c r="K251" s="21"/>
      <c r="L251" s="21"/>
      <c r="M251" s="21"/>
      <c r="N251" s="21"/>
      <c r="O251" s="21"/>
    </row>
    <row r="252" spans="1:15" x14ac:dyDescent="0.2">
      <c r="A252" s="21"/>
      <c r="B252" s="21"/>
      <c r="C252" s="21"/>
      <c r="D252" s="21"/>
      <c r="E252" s="21"/>
      <c r="F252" s="21"/>
      <c r="G252" s="21"/>
      <c r="H252" s="32"/>
      <c r="I252" s="21"/>
      <c r="J252" s="21"/>
      <c r="K252" s="21"/>
      <c r="L252" s="21"/>
      <c r="M252" s="21"/>
      <c r="N252" s="21"/>
      <c r="O252" s="21"/>
    </row>
    <row r="253" spans="1:15" x14ac:dyDescent="0.2">
      <c r="A253" s="21"/>
      <c r="B253" s="21"/>
      <c r="C253" s="21"/>
      <c r="D253" s="21"/>
      <c r="E253" s="21"/>
      <c r="F253" s="21"/>
      <c r="G253" s="21"/>
      <c r="H253" s="32"/>
      <c r="I253" s="21"/>
      <c r="J253" s="21"/>
      <c r="K253" s="21"/>
      <c r="L253" s="21"/>
      <c r="M253" s="21"/>
      <c r="N253" s="21"/>
      <c r="O253" s="21"/>
    </row>
    <row r="254" spans="1:15" x14ac:dyDescent="0.2">
      <c r="A254" s="21"/>
      <c r="B254" s="21"/>
      <c r="C254" s="21"/>
      <c r="D254" s="21"/>
      <c r="E254" s="21"/>
      <c r="F254" s="21"/>
      <c r="G254" s="21"/>
      <c r="H254" s="32"/>
      <c r="I254" s="21"/>
      <c r="J254" s="21"/>
      <c r="K254" s="21"/>
      <c r="L254" s="21"/>
      <c r="M254" s="21"/>
      <c r="N254" s="21"/>
      <c r="O254" s="21"/>
    </row>
    <row r="255" spans="1:15" x14ac:dyDescent="0.2">
      <c r="A255" s="21"/>
      <c r="B255" s="21"/>
      <c r="C255" s="21"/>
      <c r="D255" s="21"/>
      <c r="E255" s="21"/>
      <c r="F255" s="21"/>
      <c r="G255" s="21"/>
      <c r="H255" s="32"/>
      <c r="I255" s="21"/>
      <c r="J255" s="21"/>
      <c r="K255" s="21"/>
      <c r="L255" s="21"/>
      <c r="M255" s="21"/>
      <c r="N255" s="21"/>
      <c r="O255" s="21"/>
    </row>
    <row r="256" spans="1:15" x14ac:dyDescent="0.2">
      <c r="A256" s="21"/>
      <c r="B256" s="21"/>
      <c r="C256" s="21"/>
      <c r="D256" s="21"/>
      <c r="E256" s="21"/>
      <c r="F256" s="21"/>
      <c r="G256" s="21"/>
      <c r="H256" s="32"/>
      <c r="I256" s="21"/>
      <c r="J256" s="21"/>
      <c r="K256" s="21"/>
      <c r="L256" s="21"/>
      <c r="M256" s="21"/>
      <c r="N256" s="21"/>
      <c r="O256" s="21"/>
    </row>
    <row r="257" spans="1:15" x14ac:dyDescent="0.2">
      <c r="A257" s="21"/>
      <c r="B257" s="21"/>
      <c r="C257" s="21"/>
      <c r="D257" s="21"/>
      <c r="E257" s="21"/>
      <c r="F257" s="21"/>
      <c r="G257" s="21"/>
      <c r="H257" s="32"/>
      <c r="I257" s="21"/>
      <c r="J257" s="21"/>
      <c r="K257" s="21"/>
      <c r="L257" s="21"/>
      <c r="M257" s="21"/>
      <c r="N257" s="21"/>
      <c r="O257" s="21"/>
    </row>
    <row r="258" spans="1:15" x14ac:dyDescent="0.2">
      <c r="A258" s="21"/>
      <c r="B258" s="21"/>
      <c r="C258" s="21"/>
      <c r="D258" s="21"/>
      <c r="E258" s="21"/>
      <c r="F258" s="21"/>
      <c r="G258" s="21"/>
      <c r="H258" s="32"/>
      <c r="I258" s="21"/>
      <c r="J258" s="21"/>
      <c r="K258" s="21"/>
      <c r="L258" s="21"/>
      <c r="M258" s="21"/>
      <c r="N258" s="21"/>
      <c r="O258" s="21"/>
    </row>
    <row r="259" spans="1:15" x14ac:dyDescent="0.2">
      <c r="A259" s="21"/>
      <c r="B259" s="21"/>
      <c r="C259" s="21"/>
      <c r="D259" s="21"/>
      <c r="E259" s="21"/>
      <c r="F259" s="21"/>
      <c r="G259" s="21"/>
      <c r="H259" s="32"/>
      <c r="I259" s="21"/>
      <c r="J259" s="21"/>
      <c r="K259" s="21"/>
      <c r="L259" s="21"/>
      <c r="M259" s="21"/>
      <c r="N259" s="21"/>
      <c r="O259" s="21"/>
    </row>
    <row r="260" spans="1:15" x14ac:dyDescent="0.2">
      <c r="A260" s="21"/>
      <c r="B260" s="21"/>
      <c r="C260" s="21"/>
      <c r="D260" s="21"/>
      <c r="E260" s="21"/>
      <c r="F260" s="21"/>
      <c r="G260" s="21"/>
      <c r="H260" s="32"/>
      <c r="I260" s="21"/>
      <c r="J260" s="21"/>
      <c r="K260" s="21"/>
      <c r="L260" s="21"/>
      <c r="M260" s="21"/>
      <c r="N260" s="21"/>
      <c r="O260" s="21"/>
    </row>
    <row r="261" spans="1:15" x14ac:dyDescent="0.2">
      <c r="A261" s="21"/>
      <c r="B261" s="21"/>
      <c r="C261" s="21"/>
      <c r="D261" s="21"/>
      <c r="E261" s="21"/>
      <c r="F261" s="21"/>
      <c r="G261" s="21"/>
      <c r="H261" s="32"/>
      <c r="I261" s="21"/>
      <c r="J261" s="21"/>
      <c r="K261" s="21"/>
      <c r="L261" s="21"/>
      <c r="M261" s="21"/>
      <c r="N261" s="21"/>
      <c r="O261" s="21"/>
    </row>
    <row r="262" spans="1:15" x14ac:dyDescent="0.2">
      <c r="A262" s="21"/>
      <c r="B262" s="21"/>
      <c r="C262" s="21"/>
      <c r="D262" s="21"/>
      <c r="E262" s="21"/>
      <c r="F262" s="21"/>
      <c r="G262" s="21"/>
      <c r="H262" s="32"/>
      <c r="I262" s="21"/>
      <c r="J262" s="21"/>
      <c r="K262" s="21"/>
      <c r="L262" s="21"/>
      <c r="M262" s="21"/>
      <c r="N262" s="21"/>
      <c r="O262" s="21"/>
    </row>
    <row r="263" spans="1:15" x14ac:dyDescent="0.2">
      <c r="A263" s="21"/>
      <c r="B263" s="21"/>
      <c r="C263" s="21"/>
      <c r="D263" s="21"/>
      <c r="E263" s="21"/>
      <c r="F263" s="21"/>
      <c r="G263" s="21"/>
      <c r="H263" s="32"/>
      <c r="I263" s="21"/>
      <c r="J263" s="21"/>
      <c r="K263" s="21"/>
      <c r="L263" s="21"/>
      <c r="M263" s="21"/>
      <c r="N263" s="21"/>
      <c r="O263" s="21"/>
    </row>
    <row r="264" spans="1:15" x14ac:dyDescent="0.2">
      <c r="A264" s="21"/>
      <c r="B264" s="21"/>
      <c r="C264" s="21"/>
      <c r="D264" s="21"/>
      <c r="E264" s="21"/>
      <c r="F264" s="21"/>
      <c r="G264" s="21"/>
      <c r="H264" s="32"/>
      <c r="I264" s="21"/>
      <c r="J264" s="21"/>
      <c r="K264" s="21"/>
      <c r="L264" s="21"/>
      <c r="M264" s="21"/>
      <c r="N264" s="21"/>
      <c r="O264" s="21"/>
    </row>
    <row r="265" spans="1:15" x14ac:dyDescent="0.2">
      <c r="A265" s="21"/>
      <c r="B265" s="21"/>
      <c r="C265" s="21"/>
      <c r="D265" s="21"/>
      <c r="E265" s="21"/>
      <c r="F265" s="21"/>
      <c r="G265" s="21"/>
      <c r="H265" s="32"/>
      <c r="I265" s="21"/>
      <c r="J265" s="21"/>
      <c r="K265" s="21"/>
      <c r="L265" s="21"/>
      <c r="M265" s="21"/>
      <c r="N265" s="21"/>
      <c r="O265" s="21"/>
    </row>
    <row r="266" spans="1:15" x14ac:dyDescent="0.2">
      <c r="A266" s="21"/>
      <c r="B266" s="21"/>
      <c r="C266" s="21"/>
      <c r="D266" s="21"/>
      <c r="E266" s="21"/>
      <c r="F266" s="21"/>
      <c r="G266" s="21"/>
      <c r="H266" s="32"/>
      <c r="I266" s="21"/>
      <c r="J266" s="21"/>
      <c r="K266" s="21"/>
      <c r="L266" s="21"/>
      <c r="M266" s="21"/>
      <c r="N266" s="21"/>
      <c r="O266" s="21"/>
    </row>
    <row r="267" spans="1:15" x14ac:dyDescent="0.2">
      <c r="A267" s="21"/>
      <c r="B267" s="21"/>
      <c r="C267" s="21"/>
      <c r="D267" s="21"/>
      <c r="E267" s="21"/>
      <c r="F267" s="21"/>
      <c r="G267" s="21"/>
      <c r="H267" s="32"/>
      <c r="I267" s="21"/>
      <c r="J267" s="21"/>
      <c r="K267" s="21"/>
      <c r="L267" s="21"/>
      <c r="M267" s="21"/>
      <c r="N267" s="21"/>
      <c r="O267" s="21"/>
    </row>
    <row r="268" spans="1:15" x14ac:dyDescent="0.2">
      <c r="A268" s="21"/>
      <c r="B268" s="21"/>
      <c r="C268" s="21"/>
      <c r="D268" s="21"/>
      <c r="E268" s="21"/>
      <c r="F268" s="21"/>
      <c r="G268" s="21"/>
      <c r="H268" s="32"/>
      <c r="I268" s="21"/>
      <c r="J268" s="21"/>
      <c r="K268" s="21"/>
      <c r="L268" s="21"/>
      <c r="M268" s="21"/>
      <c r="N268" s="21"/>
      <c r="O268" s="21"/>
    </row>
    <row r="269" spans="1:15" x14ac:dyDescent="0.2">
      <c r="A269" s="21"/>
      <c r="B269" s="21"/>
      <c r="C269" s="21"/>
      <c r="D269" s="21"/>
      <c r="E269" s="21"/>
      <c r="F269" s="21"/>
      <c r="G269" s="21"/>
      <c r="H269" s="32"/>
      <c r="I269" s="21"/>
      <c r="J269" s="21"/>
      <c r="K269" s="21"/>
      <c r="L269" s="21"/>
      <c r="M269" s="21"/>
      <c r="N269" s="21"/>
      <c r="O269" s="21"/>
    </row>
    <row r="270" spans="1:15" x14ac:dyDescent="0.2">
      <c r="A270" s="21"/>
      <c r="B270" s="21"/>
      <c r="C270" s="21"/>
      <c r="D270" s="21"/>
      <c r="E270" s="21"/>
      <c r="F270" s="21"/>
      <c r="G270" s="21"/>
      <c r="H270" s="32"/>
      <c r="I270" s="21"/>
      <c r="J270" s="21"/>
      <c r="K270" s="21"/>
      <c r="L270" s="21"/>
      <c r="M270" s="21"/>
      <c r="N270" s="21"/>
      <c r="O270" s="21"/>
    </row>
    <row r="271" spans="1:15" x14ac:dyDescent="0.2">
      <c r="A271" s="21"/>
      <c r="B271" s="21"/>
      <c r="C271" s="21"/>
      <c r="D271" s="21"/>
      <c r="E271" s="21"/>
      <c r="F271" s="21"/>
      <c r="G271" s="21"/>
      <c r="H271" s="32"/>
      <c r="I271" s="21"/>
      <c r="J271" s="21"/>
      <c r="K271" s="21"/>
      <c r="L271" s="21"/>
      <c r="M271" s="21"/>
      <c r="N271" s="21"/>
      <c r="O271" s="21"/>
    </row>
    <row r="272" spans="1:15" x14ac:dyDescent="0.2">
      <c r="A272" s="21"/>
      <c r="B272" s="21"/>
      <c r="C272" s="21"/>
      <c r="D272" s="21"/>
      <c r="E272" s="21"/>
      <c r="F272" s="21"/>
      <c r="G272" s="21"/>
      <c r="H272" s="32"/>
      <c r="I272" s="21"/>
      <c r="J272" s="21"/>
      <c r="K272" s="21"/>
      <c r="L272" s="21"/>
      <c r="M272" s="21"/>
      <c r="N272" s="21"/>
      <c r="O272" s="21"/>
    </row>
    <row r="273" spans="1:15" x14ac:dyDescent="0.2">
      <c r="A273" s="21"/>
      <c r="B273" s="21"/>
      <c r="C273" s="21"/>
      <c r="D273" s="21"/>
      <c r="E273" s="21"/>
      <c r="F273" s="21"/>
      <c r="G273" s="21"/>
      <c r="H273" s="32"/>
      <c r="I273" s="21"/>
      <c r="J273" s="21"/>
      <c r="K273" s="21"/>
      <c r="L273" s="21"/>
      <c r="M273" s="21"/>
      <c r="N273" s="21"/>
      <c r="O273" s="21"/>
    </row>
    <row r="274" spans="1:15" x14ac:dyDescent="0.2">
      <c r="A274" s="21"/>
      <c r="B274" s="21"/>
      <c r="C274" s="21"/>
      <c r="D274" s="21"/>
      <c r="E274" s="21"/>
      <c r="F274" s="21"/>
      <c r="G274" s="21"/>
      <c r="H274" s="32"/>
      <c r="I274" s="21"/>
      <c r="J274" s="21"/>
      <c r="K274" s="21"/>
      <c r="L274" s="21"/>
      <c r="M274" s="21"/>
      <c r="N274" s="21"/>
      <c r="O274" s="21"/>
    </row>
    <row r="275" spans="1:15" x14ac:dyDescent="0.2">
      <c r="A275" s="21"/>
      <c r="B275" s="21"/>
      <c r="C275" s="21"/>
      <c r="D275" s="21"/>
      <c r="E275" s="21"/>
      <c r="F275" s="21"/>
      <c r="G275" s="21"/>
      <c r="H275" s="32"/>
      <c r="I275" s="21"/>
      <c r="J275" s="21"/>
      <c r="K275" s="21"/>
      <c r="L275" s="21"/>
      <c r="M275" s="21"/>
      <c r="N275" s="21"/>
      <c r="O275" s="21"/>
    </row>
    <row r="276" spans="1:15" x14ac:dyDescent="0.2">
      <c r="A276" s="21"/>
      <c r="B276" s="21"/>
      <c r="C276" s="21"/>
      <c r="D276" s="21"/>
      <c r="E276" s="21"/>
      <c r="F276" s="21"/>
      <c r="G276" s="21"/>
      <c r="H276" s="32"/>
      <c r="I276" s="21"/>
      <c r="J276" s="21"/>
      <c r="K276" s="21"/>
      <c r="L276" s="21"/>
      <c r="M276" s="21"/>
      <c r="N276" s="21"/>
      <c r="O276" s="21"/>
    </row>
    <row r="277" spans="1:15" x14ac:dyDescent="0.2">
      <c r="A277" s="21"/>
      <c r="B277" s="21"/>
      <c r="C277" s="21"/>
      <c r="D277" s="21"/>
      <c r="E277" s="21"/>
      <c r="F277" s="21"/>
      <c r="G277" s="21"/>
      <c r="H277" s="32"/>
      <c r="I277" s="21"/>
      <c r="J277" s="21"/>
      <c r="K277" s="21"/>
      <c r="L277" s="21"/>
      <c r="M277" s="21"/>
      <c r="N277" s="21"/>
      <c r="O277" s="21"/>
    </row>
    <row r="278" spans="1:15" x14ac:dyDescent="0.2">
      <c r="A278" s="21"/>
      <c r="B278" s="21"/>
      <c r="C278" s="21"/>
      <c r="D278" s="21"/>
      <c r="E278" s="21"/>
      <c r="F278" s="21"/>
      <c r="G278" s="21"/>
      <c r="H278" s="32"/>
      <c r="I278" s="21"/>
      <c r="J278" s="21"/>
      <c r="K278" s="21"/>
      <c r="L278" s="21"/>
      <c r="M278" s="21"/>
      <c r="N278" s="21"/>
      <c r="O278" s="21"/>
    </row>
    <row r="279" spans="1:15" x14ac:dyDescent="0.2">
      <c r="A279" s="21"/>
      <c r="B279" s="21"/>
      <c r="C279" s="21"/>
      <c r="D279" s="21"/>
      <c r="E279" s="21"/>
      <c r="F279" s="21"/>
      <c r="G279" s="21"/>
      <c r="H279" s="32"/>
      <c r="I279" s="21"/>
      <c r="J279" s="21"/>
      <c r="K279" s="21"/>
      <c r="L279" s="21"/>
      <c r="M279" s="21"/>
      <c r="N279" s="21"/>
      <c r="O279" s="21"/>
    </row>
    <row r="280" spans="1:15" x14ac:dyDescent="0.2">
      <c r="A280" s="21"/>
      <c r="B280" s="21"/>
      <c r="C280" s="21"/>
      <c r="D280" s="21"/>
      <c r="E280" s="21"/>
      <c r="F280" s="21"/>
      <c r="G280" s="21"/>
      <c r="H280" s="32"/>
      <c r="I280" s="21"/>
      <c r="J280" s="21"/>
      <c r="K280" s="21"/>
      <c r="L280" s="21"/>
      <c r="M280" s="21"/>
      <c r="N280" s="21"/>
      <c r="O280" s="21"/>
    </row>
    <row r="281" spans="1:15" x14ac:dyDescent="0.2">
      <c r="A281" s="21"/>
      <c r="B281" s="21"/>
      <c r="C281" s="21"/>
      <c r="D281" s="21"/>
      <c r="E281" s="21"/>
      <c r="F281" s="21"/>
      <c r="G281" s="21"/>
      <c r="H281" s="32"/>
      <c r="I281" s="21"/>
      <c r="J281" s="21"/>
      <c r="K281" s="21"/>
      <c r="L281" s="21"/>
      <c r="M281" s="21"/>
      <c r="N281" s="21"/>
      <c r="O281" s="21"/>
    </row>
    <row r="282" spans="1:15" x14ac:dyDescent="0.2">
      <c r="A282" s="21"/>
      <c r="B282" s="21"/>
      <c r="C282" s="21"/>
      <c r="D282" s="21"/>
      <c r="E282" s="21"/>
      <c r="F282" s="21"/>
      <c r="G282" s="21"/>
      <c r="H282" s="32"/>
      <c r="I282" s="21"/>
      <c r="J282" s="21"/>
      <c r="K282" s="21"/>
      <c r="L282" s="21"/>
      <c r="M282" s="21"/>
      <c r="N282" s="21"/>
      <c r="O282" s="21"/>
    </row>
    <row r="283" spans="1:15" x14ac:dyDescent="0.2">
      <c r="A283" s="21"/>
      <c r="B283" s="21"/>
      <c r="C283" s="21"/>
      <c r="D283" s="21"/>
      <c r="E283" s="21"/>
      <c r="F283" s="21"/>
      <c r="G283" s="21"/>
      <c r="H283" s="32"/>
      <c r="I283" s="21"/>
      <c r="J283" s="21"/>
      <c r="K283" s="21"/>
      <c r="L283" s="21"/>
      <c r="M283" s="21"/>
      <c r="N283" s="21"/>
      <c r="O283" s="21"/>
    </row>
    <row r="284" spans="1:15" x14ac:dyDescent="0.2">
      <c r="A284" s="21"/>
      <c r="B284" s="21"/>
      <c r="C284" s="21"/>
      <c r="D284" s="21"/>
      <c r="E284" s="21"/>
      <c r="F284" s="21"/>
      <c r="G284" s="21"/>
      <c r="H284" s="32"/>
      <c r="I284" s="21"/>
      <c r="J284" s="21"/>
      <c r="K284" s="21"/>
      <c r="L284" s="21"/>
      <c r="M284" s="21"/>
      <c r="N284" s="21"/>
      <c r="O284" s="21"/>
    </row>
    <row r="285" spans="1:15" x14ac:dyDescent="0.2">
      <c r="A285" s="21"/>
      <c r="B285" s="21"/>
      <c r="C285" s="21"/>
      <c r="D285" s="21"/>
      <c r="E285" s="21"/>
      <c r="F285" s="21"/>
      <c r="G285" s="21"/>
      <c r="H285" s="32"/>
      <c r="I285" s="21"/>
      <c r="J285" s="21"/>
      <c r="K285" s="21"/>
      <c r="L285" s="21"/>
      <c r="M285" s="21"/>
      <c r="N285" s="21"/>
      <c r="O285" s="21"/>
    </row>
    <row r="286" spans="1:15" x14ac:dyDescent="0.2">
      <c r="A286" s="21"/>
      <c r="B286" s="21"/>
      <c r="C286" s="21"/>
      <c r="D286" s="21"/>
      <c r="E286" s="21"/>
      <c r="F286" s="21"/>
      <c r="G286" s="21"/>
      <c r="H286" s="32"/>
      <c r="I286" s="21"/>
      <c r="J286" s="21"/>
      <c r="K286" s="21"/>
      <c r="L286" s="21"/>
      <c r="M286" s="21"/>
      <c r="N286" s="21"/>
      <c r="O286" s="21"/>
    </row>
    <row r="287" spans="1:15" x14ac:dyDescent="0.2">
      <c r="A287" s="21"/>
      <c r="B287" s="21"/>
      <c r="C287" s="21"/>
      <c r="D287" s="21"/>
      <c r="E287" s="21"/>
      <c r="F287" s="21"/>
      <c r="G287" s="21"/>
      <c r="H287" s="32"/>
      <c r="I287" s="21"/>
      <c r="J287" s="21"/>
      <c r="K287" s="21"/>
      <c r="L287" s="21"/>
      <c r="M287" s="21"/>
      <c r="N287" s="21"/>
      <c r="O287" s="21"/>
    </row>
    <row r="288" spans="1:15" x14ac:dyDescent="0.2">
      <c r="A288" s="21"/>
      <c r="B288" s="21"/>
      <c r="C288" s="21"/>
      <c r="D288" s="21"/>
      <c r="E288" s="21"/>
      <c r="F288" s="21"/>
      <c r="G288" s="21"/>
      <c r="H288" s="32"/>
      <c r="I288" s="21"/>
      <c r="J288" s="21"/>
      <c r="K288" s="21"/>
      <c r="L288" s="21"/>
      <c r="M288" s="21"/>
      <c r="N288" s="21"/>
      <c r="O288" s="21"/>
    </row>
    <row r="289" spans="1:15" x14ac:dyDescent="0.2">
      <c r="A289" s="21"/>
      <c r="B289" s="21"/>
      <c r="C289" s="21"/>
      <c r="D289" s="21"/>
      <c r="E289" s="21"/>
      <c r="F289" s="21"/>
      <c r="G289" s="21"/>
      <c r="H289" s="32"/>
      <c r="I289" s="21"/>
      <c r="J289" s="21"/>
      <c r="K289" s="21"/>
      <c r="L289" s="21"/>
      <c r="M289" s="21"/>
      <c r="N289" s="21"/>
      <c r="O289" s="21"/>
    </row>
    <row r="290" spans="1:15" x14ac:dyDescent="0.2">
      <c r="A290" s="21"/>
      <c r="B290" s="21"/>
      <c r="C290" s="21"/>
      <c r="D290" s="21"/>
      <c r="E290" s="21"/>
      <c r="F290" s="21"/>
      <c r="G290" s="21"/>
      <c r="H290" s="32"/>
      <c r="I290" s="21"/>
      <c r="J290" s="21"/>
      <c r="K290" s="21"/>
      <c r="L290" s="21"/>
      <c r="M290" s="21"/>
      <c r="N290" s="21"/>
      <c r="O290" s="21"/>
    </row>
    <row r="291" spans="1:15" x14ac:dyDescent="0.2">
      <c r="A291" s="21"/>
      <c r="B291" s="21"/>
      <c r="C291" s="21"/>
      <c r="D291" s="21"/>
      <c r="E291" s="21"/>
      <c r="F291" s="21"/>
      <c r="G291" s="21"/>
      <c r="H291" s="32"/>
      <c r="I291" s="21"/>
      <c r="J291" s="21"/>
      <c r="K291" s="21"/>
      <c r="L291" s="21"/>
      <c r="M291" s="21"/>
      <c r="N291" s="21"/>
      <c r="O291" s="21"/>
    </row>
    <row r="292" spans="1:15" x14ac:dyDescent="0.2">
      <c r="A292" s="21"/>
      <c r="B292" s="21"/>
      <c r="C292" s="21"/>
      <c r="D292" s="21"/>
      <c r="E292" s="21"/>
      <c r="F292" s="21"/>
      <c r="G292" s="21"/>
      <c r="H292" s="32"/>
      <c r="I292" s="21"/>
      <c r="J292" s="21"/>
      <c r="K292" s="21"/>
      <c r="L292" s="21"/>
      <c r="M292" s="21"/>
      <c r="N292" s="21"/>
      <c r="O292" s="21"/>
    </row>
    <row r="293" spans="1:15" x14ac:dyDescent="0.2">
      <c r="A293" s="21"/>
      <c r="B293" s="21"/>
      <c r="C293" s="21"/>
      <c r="D293" s="21"/>
      <c r="E293" s="21"/>
      <c r="F293" s="21"/>
      <c r="G293" s="21"/>
      <c r="H293" s="32"/>
      <c r="I293" s="21"/>
      <c r="J293" s="21"/>
      <c r="K293" s="21"/>
      <c r="L293" s="21"/>
      <c r="M293" s="21"/>
      <c r="N293" s="21"/>
      <c r="O293" s="21"/>
    </row>
    <row r="294" spans="1:15" x14ac:dyDescent="0.2">
      <c r="A294" s="21"/>
      <c r="B294" s="21"/>
      <c r="C294" s="21"/>
      <c r="D294" s="21"/>
      <c r="E294" s="21"/>
      <c r="F294" s="21"/>
      <c r="G294" s="21"/>
      <c r="H294" s="32"/>
      <c r="I294" s="21"/>
      <c r="J294" s="21"/>
      <c r="K294" s="21"/>
      <c r="L294" s="21"/>
      <c r="M294" s="21"/>
      <c r="N294" s="21"/>
      <c r="O294" s="21"/>
    </row>
    <row r="295" spans="1:15" x14ac:dyDescent="0.2">
      <c r="A295" s="21"/>
      <c r="B295" s="21"/>
      <c r="C295" s="21"/>
      <c r="D295" s="21"/>
      <c r="E295" s="21"/>
      <c r="F295" s="21"/>
      <c r="G295" s="21"/>
      <c r="H295" s="32"/>
      <c r="I295" s="21"/>
      <c r="J295" s="21"/>
      <c r="K295" s="21"/>
      <c r="L295" s="21"/>
      <c r="M295" s="21"/>
      <c r="N295" s="21"/>
      <c r="O295" s="21"/>
    </row>
    <row r="296" spans="1:15" x14ac:dyDescent="0.2">
      <c r="A296" s="21"/>
      <c r="B296" s="21"/>
      <c r="C296" s="21"/>
      <c r="D296" s="21"/>
      <c r="E296" s="21"/>
      <c r="F296" s="21"/>
      <c r="G296" s="21"/>
      <c r="H296" s="32"/>
      <c r="I296" s="21"/>
      <c r="J296" s="21"/>
      <c r="K296" s="21"/>
      <c r="L296" s="21"/>
      <c r="M296" s="21"/>
      <c r="N296" s="21"/>
      <c r="O296" s="21"/>
    </row>
    <row r="297" spans="1:15" x14ac:dyDescent="0.2">
      <c r="A297" s="21"/>
      <c r="B297" s="21"/>
      <c r="C297" s="21"/>
      <c r="D297" s="21"/>
      <c r="E297" s="21"/>
      <c r="F297" s="21"/>
      <c r="G297" s="21"/>
      <c r="H297" s="32"/>
      <c r="I297" s="21"/>
      <c r="J297" s="21"/>
      <c r="K297" s="21"/>
      <c r="L297" s="21"/>
      <c r="M297" s="21"/>
      <c r="N297" s="21"/>
      <c r="O297" s="21"/>
    </row>
    <row r="298" spans="1:15" x14ac:dyDescent="0.2">
      <c r="A298" s="21"/>
      <c r="B298" s="21"/>
      <c r="C298" s="21"/>
      <c r="D298" s="21"/>
      <c r="E298" s="21"/>
      <c r="F298" s="21"/>
      <c r="G298" s="21"/>
      <c r="H298" s="32"/>
      <c r="I298" s="21"/>
      <c r="J298" s="21"/>
      <c r="K298" s="21"/>
      <c r="L298" s="21"/>
      <c r="M298" s="21"/>
      <c r="N298" s="21"/>
      <c r="O298" s="21"/>
    </row>
  </sheetData>
  <sheetProtection password="CA17" sheet="1" formatCells="0" formatColumns="0" formatRows="0" insertHyperlinks="0" sort="0" autoFilter="0" pivotTables="0"/>
  <customSheetViews>
    <customSheetView guid="{1DB1CDF8-B399-46E9-9F00-21524E82CD13}" scale="75" hiddenRows="1" showRuler="0" topLeftCell="A55">
      <selection activeCell="A64" sqref="A64"/>
      <pageMargins left="0.59055118110236227" right="0.39370078740157483" top="0.19685039370078741" bottom="0.19685039370078741" header="0" footer="0"/>
      <pageSetup paperSize="9" orientation="landscape" r:id="rId1"/>
      <headerFooter alignWithMargins="0"/>
    </customSheetView>
    <customSheetView guid="{FD728909-0D0B-441A-8E6A-F7FBB3EE0FF4}" scale="75" hiddenRows="1" topLeftCell="A55">
      <selection activeCell="A64" sqref="A64"/>
      <pageMargins left="0.59055118110236227" right="0.39370078740157483" top="0.19685039370078741" bottom="0.19685039370078741" header="0" footer="0"/>
      <pageSetup paperSize="9" orientation="landscape" r:id="rId2"/>
      <headerFooter alignWithMargins="0"/>
    </customSheetView>
    <customSheetView guid="{3E10442F-E643-4030-87D8-6F3C29ED4323}" scale="70" hiddenRows="1" showRuler="0">
      <selection activeCell="AJ1" sqref="AJ1:AM65536"/>
      <pageMargins left="0.59055118110236227" right="0.39370078740157483" top="0.19685039370078741" bottom="0.19685039370078741" header="0" footer="0"/>
      <pageSetup paperSize="9" orientation="landscape" r:id="rId3"/>
      <headerFooter alignWithMargins="0"/>
    </customSheetView>
    <customSheetView guid="{62D5B631-A5F0-449E-B42C-AE7ECEC2A7D1}" scale="75" hiddenRows="1" topLeftCell="A55">
      <selection activeCell="A64" sqref="A64"/>
      <pageMargins left="0.59055118110236227" right="0.39370078740157483" top="0.19685039370078741" bottom="0.19685039370078741" header="0" footer="0"/>
      <pageSetup paperSize="9" orientation="landscape" r:id="rId4"/>
      <headerFooter alignWithMargins="0"/>
    </customSheetView>
    <customSheetView guid="{F95940C3-2AB4-49FF-ABAA-F9CFD2FCC6F5}" scale="75" hiddenRows="1" topLeftCell="A55">
      <selection activeCell="A64" sqref="A64"/>
      <pageMargins left="0.59055118110236227" right="0.39370078740157483" top="0.19685039370078741" bottom="0.19685039370078741" header="0" footer="0"/>
      <pageSetup paperSize="9" orientation="landscape" r:id="rId5"/>
      <headerFooter alignWithMargins="0"/>
    </customSheetView>
  </customSheetViews>
  <mergeCells count="9">
    <mergeCell ref="D93:E93"/>
    <mergeCell ref="D94:E94"/>
    <mergeCell ref="F59:K59"/>
    <mergeCell ref="F3:K3"/>
    <mergeCell ref="D56:E56"/>
    <mergeCell ref="D57:E57"/>
    <mergeCell ref="A4:D4"/>
    <mergeCell ref="A61:C61"/>
    <mergeCell ref="B56:C57"/>
  </mergeCells>
  <phoneticPr fontId="0" type="noConversion"/>
  <pageMargins left="0.59055118110236227" right="0.39370078740157483" top="0.19685039370078741" bottom="0.19685039370078741" header="0" footer="0"/>
  <pageSetup paperSize="9" orientation="landscape" r:id="rId6"/>
  <headerFooter alignWithMargins="0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5"/>
  <sheetViews>
    <sheetView showGridLines="0" zoomScale="80" zoomScaleNormal="80" workbookViewId="0">
      <selection activeCell="K9" sqref="K9"/>
    </sheetView>
  </sheetViews>
  <sheetFormatPr baseColWidth="10" defaultRowHeight="12.75" x14ac:dyDescent="0.2"/>
  <cols>
    <col min="1" max="1" width="43.28515625" style="206" customWidth="1"/>
    <col min="2" max="2" width="9.140625" style="206" customWidth="1"/>
    <col min="3" max="3" width="8.42578125" style="206" customWidth="1"/>
    <col min="4" max="4" width="18.7109375" style="206" bestFit="1" customWidth="1"/>
    <col min="5" max="5" width="15" style="206" customWidth="1"/>
    <col min="6" max="6" width="16" style="206" customWidth="1"/>
    <col min="7" max="7" width="17.42578125" style="206" customWidth="1"/>
    <col min="8" max="8" width="10.7109375" style="206" customWidth="1"/>
    <col min="9" max="9" width="12.85546875" style="206" customWidth="1"/>
    <col min="10" max="10" width="11.5703125" style="206" customWidth="1"/>
    <col min="11" max="11" width="15.5703125" style="206" customWidth="1"/>
    <col min="12" max="12" width="15.42578125" style="206" customWidth="1"/>
    <col min="13" max="13" width="9.42578125" style="206" customWidth="1"/>
    <col min="14" max="14" width="15.5703125" style="206" customWidth="1"/>
    <col min="15" max="15" width="11.28515625" style="206" customWidth="1"/>
    <col min="16" max="16" width="9.140625" style="206" customWidth="1"/>
    <col min="17" max="17" width="11.5703125" style="206" customWidth="1"/>
    <col min="18" max="18" width="11.7109375" style="206" customWidth="1"/>
    <col min="19" max="19" width="11.140625" style="206" customWidth="1"/>
    <col min="20" max="20" width="13.7109375" style="206" customWidth="1"/>
    <col min="21" max="21" width="14" style="206" customWidth="1"/>
    <col min="22" max="22" width="11.7109375" style="206" customWidth="1"/>
    <col min="23" max="16384" width="11.42578125" style="206"/>
  </cols>
  <sheetData>
    <row r="1" spans="1:22" x14ac:dyDescent="0.2">
      <c r="D1" s="462"/>
      <c r="E1" s="463"/>
      <c r="F1" s="463"/>
      <c r="J1" s="464"/>
      <c r="K1" s="464"/>
    </row>
    <row r="2" spans="1:22" x14ac:dyDescent="0.2">
      <c r="D2" s="465"/>
      <c r="F2" s="465">
        <v>0.3</v>
      </c>
      <c r="H2" s="466"/>
      <c r="I2" s="463"/>
      <c r="J2" s="466"/>
      <c r="K2" s="466"/>
    </row>
    <row r="3" spans="1:22" ht="12.75" customHeight="1" x14ac:dyDescent="0.2">
      <c r="A3" s="616" t="s">
        <v>69</v>
      </c>
      <c r="B3" s="616" t="s">
        <v>167</v>
      </c>
      <c r="C3" s="616" t="s">
        <v>70</v>
      </c>
      <c r="D3" s="616" t="s">
        <v>33</v>
      </c>
      <c r="E3" s="616" t="s">
        <v>104</v>
      </c>
      <c r="F3" s="616" t="s">
        <v>25</v>
      </c>
      <c r="G3" s="616" t="s">
        <v>26</v>
      </c>
      <c r="H3" s="616" t="s">
        <v>27</v>
      </c>
      <c r="I3" s="616" t="s">
        <v>99</v>
      </c>
      <c r="J3" s="616" t="s">
        <v>28</v>
      </c>
      <c r="K3" s="616" t="s">
        <v>168</v>
      </c>
      <c r="L3" s="621" t="s">
        <v>95</v>
      </c>
      <c r="M3" s="649" t="s">
        <v>71</v>
      </c>
      <c r="N3" s="643" t="s">
        <v>76</v>
      </c>
      <c r="O3" s="648" t="s">
        <v>20</v>
      </c>
      <c r="P3" s="648"/>
      <c r="Q3" s="597"/>
      <c r="R3" s="648" t="s">
        <v>21</v>
      </c>
      <c r="S3" s="648"/>
      <c r="T3" s="648"/>
      <c r="U3" s="621" t="s">
        <v>430</v>
      </c>
      <c r="V3" s="643" t="s">
        <v>74</v>
      </c>
    </row>
    <row r="4" spans="1:22" ht="12.75" customHeight="1" x14ac:dyDescent="0.2">
      <c r="A4" s="616"/>
      <c r="B4" s="616"/>
      <c r="C4" s="616"/>
      <c r="D4" s="616"/>
      <c r="E4" s="616"/>
      <c r="F4" s="616"/>
      <c r="G4" s="616"/>
      <c r="H4" s="616"/>
      <c r="I4" s="616"/>
      <c r="J4" s="616"/>
      <c r="K4" s="616"/>
      <c r="L4" s="642"/>
      <c r="M4" s="650"/>
      <c r="N4" s="644"/>
      <c r="O4" s="652" t="s">
        <v>75</v>
      </c>
      <c r="P4" s="646" t="s">
        <v>72</v>
      </c>
      <c r="Q4" s="646" t="s">
        <v>74</v>
      </c>
      <c r="R4" s="646" t="s">
        <v>29</v>
      </c>
      <c r="S4" s="646" t="s">
        <v>73</v>
      </c>
      <c r="T4" s="646" t="s">
        <v>74</v>
      </c>
      <c r="U4" s="642" t="s">
        <v>74</v>
      </c>
      <c r="V4" s="644"/>
    </row>
    <row r="5" spans="1:22" ht="57.75" customHeight="1" x14ac:dyDescent="0.2">
      <c r="A5" s="616"/>
      <c r="B5" s="616"/>
      <c r="C5" s="616"/>
      <c r="D5" s="616"/>
      <c r="E5" s="616"/>
      <c r="F5" s="616"/>
      <c r="G5" s="616"/>
      <c r="H5" s="616"/>
      <c r="I5" s="616"/>
      <c r="J5" s="616"/>
      <c r="K5" s="616"/>
      <c r="L5" s="622"/>
      <c r="M5" s="651"/>
      <c r="N5" s="645"/>
      <c r="O5" s="653"/>
      <c r="P5" s="647" t="s">
        <v>72</v>
      </c>
      <c r="Q5" s="647" t="s">
        <v>19</v>
      </c>
      <c r="R5" s="647"/>
      <c r="S5" s="647"/>
      <c r="T5" s="647"/>
      <c r="U5" s="622" t="s">
        <v>19</v>
      </c>
      <c r="V5" s="645"/>
    </row>
    <row r="6" spans="1:22" x14ac:dyDescent="0.2">
      <c r="A6" s="467"/>
      <c r="B6" s="207"/>
      <c r="C6" s="467"/>
      <c r="D6" s="463"/>
      <c r="E6" s="207"/>
      <c r="F6" s="421"/>
      <c r="G6" s="272"/>
      <c r="H6" s="448"/>
      <c r="I6" s="54"/>
      <c r="J6" s="448"/>
      <c r="K6" s="448"/>
      <c r="L6" s="272"/>
      <c r="M6" s="207"/>
      <c r="N6" s="270"/>
      <c r="O6" s="54"/>
      <c r="P6" s="271"/>
      <c r="Q6" s="272"/>
      <c r="R6" s="273"/>
      <c r="S6" s="422"/>
      <c r="T6" s="272"/>
      <c r="U6" s="272"/>
      <c r="V6" s="270"/>
    </row>
    <row r="7" spans="1:22" x14ac:dyDescent="0.2">
      <c r="A7" s="467" t="s">
        <v>432</v>
      </c>
      <c r="B7" s="207">
        <v>1</v>
      </c>
      <c r="C7" s="467">
        <v>2017</v>
      </c>
      <c r="D7" s="484"/>
      <c r="E7" s="207"/>
      <c r="F7" s="421"/>
      <c r="G7" s="272">
        <f>1400*865</f>
        <v>1211000</v>
      </c>
      <c r="H7" s="448"/>
      <c r="I7" s="54"/>
      <c r="J7" s="448"/>
      <c r="K7" s="448">
        <v>109133.33333333333</v>
      </c>
      <c r="L7" s="272">
        <f>SUM(G7:K7)</f>
        <v>1320133.3333333333</v>
      </c>
      <c r="M7" s="207">
        <v>200</v>
      </c>
      <c r="N7" s="270">
        <f t="shared" ref="N7:N13" si="0">L7/M7</f>
        <v>6600.6666666666661</v>
      </c>
      <c r="O7" s="54">
        <v>1100</v>
      </c>
      <c r="P7" s="271">
        <f>1/10</f>
        <v>0.1</v>
      </c>
      <c r="Q7" s="272">
        <f>O7*P7</f>
        <v>110</v>
      </c>
      <c r="R7" s="273">
        <f>400000*4</f>
        <v>1600000</v>
      </c>
      <c r="S7" s="422">
        <v>30000</v>
      </c>
      <c r="T7" s="272">
        <f t="shared" ref="T7:T13" si="1">R7/S7</f>
        <v>53.333333333333336</v>
      </c>
      <c r="U7" s="272">
        <v>0</v>
      </c>
      <c r="V7" s="270">
        <f t="shared" ref="V7:V13" si="2">Q7+T7+U7</f>
        <v>163.33333333333334</v>
      </c>
    </row>
    <row r="8" spans="1:22" x14ac:dyDescent="0.2">
      <c r="A8" s="467" t="s">
        <v>435</v>
      </c>
      <c r="B8" s="469">
        <v>1</v>
      </c>
      <c r="C8" s="467">
        <v>2017</v>
      </c>
      <c r="D8" s="484"/>
      <c r="E8" s="207"/>
      <c r="F8" s="421"/>
      <c r="G8" s="272">
        <f t="shared" ref="G8:G13" si="3">+G7</f>
        <v>1211000</v>
      </c>
      <c r="H8" s="448"/>
      <c r="I8" s="54"/>
      <c r="J8" s="448"/>
      <c r="K8" s="448">
        <v>109133.33333333333</v>
      </c>
      <c r="L8" s="272">
        <f>SUM(G8:K8)</f>
        <v>1320133.3333333333</v>
      </c>
      <c r="M8" s="207">
        <f>+M7</f>
        <v>200</v>
      </c>
      <c r="N8" s="270">
        <f t="shared" si="0"/>
        <v>6600.6666666666661</v>
      </c>
      <c r="O8" s="54">
        <f>+O7</f>
        <v>1100</v>
      </c>
      <c r="P8" s="271">
        <f t="shared" ref="P8:P13" si="4">1/10</f>
        <v>0.1</v>
      </c>
      <c r="Q8" s="272">
        <f t="shared" ref="Q8:Q13" si="5">O8*P8</f>
        <v>110</v>
      </c>
      <c r="R8" s="273">
        <f t="shared" ref="R8:R13" si="6">+R7</f>
        <v>1600000</v>
      </c>
      <c r="S8" s="422">
        <v>30000</v>
      </c>
      <c r="T8" s="272">
        <f t="shared" si="1"/>
        <v>53.333333333333336</v>
      </c>
      <c r="U8" s="272">
        <v>0</v>
      </c>
      <c r="V8" s="270">
        <f t="shared" si="2"/>
        <v>163.33333333333334</v>
      </c>
    </row>
    <row r="9" spans="1:22" x14ac:dyDescent="0.2">
      <c r="A9" s="467" t="s">
        <v>435</v>
      </c>
      <c r="B9" s="469">
        <v>1</v>
      </c>
      <c r="C9" s="467">
        <v>2019</v>
      </c>
      <c r="D9" s="484"/>
      <c r="E9" s="207"/>
      <c r="F9" s="421"/>
      <c r="G9" s="272">
        <f t="shared" si="3"/>
        <v>1211000</v>
      </c>
      <c r="H9" s="448"/>
      <c r="I9" s="54"/>
      <c r="J9" s="448"/>
      <c r="K9" s="448">
        <v>109133.33333333333</v>
      </c>
      <c r="L9" s="272">
        <f t="shared" ref="L9:L12" si="7">SUM(G9:K9)</f>
        <v>1320133.3333333333</v>
      </c>
      <c r="M9" s="207">
        <f t="shared" ref="M9:M13" si="8">+M8</f>
        <v>200</v>
      </c>
      <c r="N9" s="270">
        <f t="shared" si="0"/>
        <v>6600.6666666666661</v>
      </c>
      <c r="O9" s="54">
        <f>+O8</f>
        <v>1100</v>
      </c>
      <c r="P9" s="271">
        <f t="shared" si="4"/>
        <v>0.1</v>
      </c>
      <c r="Q9" s="272">
        <f t="shared" si="5"/>
        <v>110</v>
      </c>
      <c r="R9" s="273">
        <f t="shared" si="6"/>
        <v>1600000</v>
      </c>
      <c r="S9" s="422">
        <v>30000</v>
      </c>
      <c r="T9" s="272">
        <f t="shared" si="1"/>
        <v>53.333333333333336</v>
      </c>
      <c r="U9" s="272">
        <v>0</v>
      </c>
      <c r="V9" s="270">
        <f t="shared" si="2"/>
        <v>163.33333333333334</v>
      </c>
    </row>
    <row r="10" spans="1:22" x14ac:dyDescent="0.2">
      <c r="A10" s="467" t="s">
        <v>435</v>
      </c>
      <c r="B10" s="469">
        <v>1</v>
      </c>
      <c r="C10" s="467">
        <v>2022</v>
      </c>
      <c r="D10" s="468"/>
      <c r="E10" s="207"/>
      <c r="F10" s="421"/>
      <c r="G10" s="272">
        <f t="shared" si="3"/>
        <v>1211000</v>
      </c>
      <c r="H10" s="448"/>
      <c r="I10" s="54"/>
      <c r="J10" s="448"/>
      <c r="K10" s="448">
        <v>109133.33333333333</v>
      </c>
      <c r="L10" s="272">
        <f t="shared" si="7"/>
        <v>1320133.3333333333</v>
      </c>
      <c r="M10" s="207">
        <f t="shared" si="8"/>
        <v>200</v>
      </c>
      <c r="N10" s="270">
        <f t="shared" si="0"/>
        <v>6600.6666666666661</v>
      </c>
      <c r="O10" s="54">
        <f t="shared" ref="O10:O13" si="9">+O9</f>
        <v>1100</v>
      </c>
      <c r="P10" s="271">
        <f t="shared" si="4"/>
        <v>0.1</v>
      </c>
      <c r="Q10" s="272">
        <f t="shared" si="5"/>
        <v>110</v>
      </c>
      <c r="R10" s="273">
        <f t="shared" si="6"/>
        <v>1600000</v>
      </c>
      <c r="S10" s="422">
        <v>30000</v>
      </c>
      <c r="T10" s="272">
        <f t="shared" si="1"/>
        <v>53.333333333333336</v>
      </c>
      <c r="U10" s="272">
        <v>0</v>
      </c>
      <c r="V10" s="270">
        <f t="shared" si="2"/>
        <v>163.33333333333334</v>
      </c>
    </row>
    <row r="11" spans="1:22" x14ac:dyDescent="0.2">
      <c r="A11" s="467" t="s">
        <v>435</v>
      </c>
      <c r="B11" s="469">
        <v>1</v>
      </c>
      <c r="C11" s="467">
        <v>2022</v>
      </c>
      <c r="D11" s="468"/>
      <c r="E11" s="207"/>
      <c r="F11" s="421"/>
      <c r="G11" s="272">
        <f t="shared" si="3"/>
        <v>1211000</v>
      </c>
      <c r="H11" s="448"/>
      <c r="I11" s="54"/>
      <c r="J11" s="448"/>
      <c r="K11" s="448">
        <v>109133.33333333333</v>
      </c>
      <c r="L11" s="272">
        <f t="shared" si="7"/>
        <v>1320133.3333333333</v>
      </c>
      <c r="M11" s="207">
        <f t="shared" si="8"/>
        <v>200</v>
      </c>
      <c r="N11" s="270">
        <f>L11/M11</f>
        <v>6600.6666666666661</v>
      </c>
      <c r="O11" s="54">
        <f t="shared" si="9"/>
        <v>1100</v>
      </c>
      <c r="P11" s="271">
        <f t="shared" si="4"/>
        <v>0.1</v>
      </c>
      <c r="Q11" s="272">
        <f t="shared" si="5"/>
        <v>110</v>
      </c>
      <c r="R11" s="273">
        <f t="shared" si="6"/>
        <v>1600000</v>
      </c>
      <c r="S11" s="422">
        <v>30000</v>
      </c>
      <c r="T11" s="272">
        <f t="shared" si="1"/>
        <v>53.333333333333336</v>
      </c>
      <c r="U11" s="272">
        <v>0</v>
      </c>
      <c r="V11" s="270">
        <f t="shared" si="2"/>
        <v>163.33333333333334</v>
      </c>
    </row>
    <row r="12" spans="1:22" x14ac:dyDescent="0.2">
      <c r="A12" s="467" t="s">
        <v>435</v>
      </c>
      <c r="B12" s="469">
        <v>1</v>
      </c>
      <c r="C12" s="467">
        <v>2023</v>
      </c>
      <c r="D12" s="468"/>
      <c r="E12" s="207"/>
      <c r="F12" s="421"/>
      <c r="G12" s="272">
        <f t="shared" si="3"/>
        <v>1211000</v>
      </c>
      <c r="H12" s="448"/>
      <c r="I12" s="54"/>
      <c r="J12" s="448"/>
      <c r="K12" s="448">
        <v>109133.33333333333</v>
      </c>
      <c r="L12" s="272">
        <f t="shared" si="7"/>
        <v>1320133.3333333333</v>
      </c>
      <c r="M12" s="207">
        <f t="shared" si="8"/>
        <v>200</v>
      </c>
      <c r="N12" s="270">
        <f t="shared" si="0"/>
        <v>6600.6666666666661</v>
      </c>
      <c r="O12" s="54">
        <f t="shared" si="9"/>
        <v>1100</v>
      </c>
      <c r="P12" s="271">
        <f t="shared" si="4"/>
        <v>0.1</v>
      </c>
      <c r="Q12" s="272">
        <f t="shared" si="5"/>
        <v>110</v>
      </c>
      <c r="R12" s="273">
        <f t="shared" si="6"/>
        <v>1600000</v>
      </c>
      <c r="S12" s="422">
        <v>30000</v>
      </c>
      <c r="T12" s="272">
        <f t="shared" si="1"/>
        <v>53.333333333333336</v>
      </c>
      <c r="U12" s="272">
        <v>0</v>
      </c>
      <c r="V12" s="270">
        <f t="shared" si="2"/>
        <v>163.33333333333334</v>
      </c>
    </row>
    <row r="13" spans="1:22" x14ac:dyDescent="0.2">
      <c r="A13" s="467" t="s">
        <v>446</v>
      </c>
      <c r="B13" s="469">
        <v>1</v>
      </c>
      <c r="C13" s="467">
        <v>2023</v>
      </c>
      <c r="D13" s="468"/>
      <c r="E13" s="207"/>
      <c r="F13" s="421"/>
      <c r="G13" s="272">
        <f t="shared" si="3"/>
        <v>1211000</v>
      </c>
      <c r="H13" s="448"/>
      <c r="I13" s="54"/>
      <c r="J13" s="448"/>
      <c r="K13" s="448">
        <v>109133.33333333333</v>
      </c>
      <c r="L13" s="272">
        <f t="shared" ref="L13" si="10">SUM(G13:K13)</f>
        <v>1320133.3333333333</v>
      </c>
      <c r="M13" s="207">
        <f t="shared" si="8"/>
        <v>200</v>
      </c>
      <c r="N13" s="270">
        <f t="shared" si="0"/>
        <v>6600.6666666666661</v>
      </c>
      <c r="O13" s="54">
        <f t="shared" si="9"/>
        <v>1100</v>
      </c>
      <c r="P13" s="271">
        <f t="shared" si="4"/>
        <v>0.1</v>
      </c>
      <c r="Q13" s="272">
        <f t="shared" si="5"/>
        <v>110</v>
      </c>
      <c r="R13" s="273">
        <f t="shared" si="6"/>
        <v>1600000</v>
      </c>
      <c r="S13" s="422">
        <v>30000</v>
      </c>
      <c r="T13" s="272">
        <f t="shared" si="1"/>
        <v>53.333333333333336</v>
      </c>
      <c r="U13" s="272">
        <v>0</v>
      </c>
      <c r="V13" s="270">
        <f t="shared" si="2"/>
        <v>163.33333333333334</v>
      </c>
    </row>
    <row r="14" spans="1:22" x14ac:dyDescent="0.2">
      <c r="A14" s="470"/>
      <c r="B14" s="470"/>
      <c r="C14" s="471"/>
      <c r="D14" s="471"/>
      <c r="E14" s="471"/>
      <c r="F14" s="471"/>
      <c r="G14" s="277"/>
      <c r="H14" s="278"/>
      <c r="I14" s="278"/>
      <c r="J14" s="278"/>
      <c r="K14" s="278"/>
      <c r="L14" s="277"/>
      <c r="M14" s="472"/>
      <c r="N14" s="473">
        <f>+SUM(N6:N13)</f>
        <v>46204.666666666657</v>
      </c>
      <c r="O14" s="472"/>
      <c r="P14" s="472"/>
      <c r="Q14" s="474"/>
      <c r="R14" s="471"/>
      <c r="S14" s="471"/>
      <c r="T14" s="279"/>
      <c r="U14" s="279"/>
      <c r="V14" s="473">
        <f>+SUM(V6:V13)</f>
        <v>1143.3333333333335</v>
      </c>
    </row>
    <row r="15" spans="1:22" x14ac:dyDescent="0.2">
      <c r="C15" s="207"/>
      <c r="D15" s="207"/>
      <c r="E15" s="207"/>
      <c r="F15" s="207"/>
      <c r="G15" s="207"/>
      <c r="H15" s="207"/>
      <c r="I15" s="207"/>
      <c r="J15" s="207"/>
      <c r="K15" s="207"/>
    </row>
    <row r="19" spans="1:12" x14ac:dyDescent="0.2">
      <c r="K19" s="227"/>
    </row>
    <row r="20" spans="1:12" x14ac:dyDescent="0.2">
      <c r="D20" s="485"/>
    </row>
    <row r="21" spans="1:12" x14ac:dyDescent="0.2">
      <c r="A21" s="468"/>
      <c r="G21" s="206" t="s">
        <v>732</v>
      </c>
      <c r="K21" s="206" t="s">
        <v>733</v>
      </c>
    </row>
    <row r="22" spans="1:12" x14ac:dyDescent="0.2">
      <c r="A22" s="468"/>
      <c r="G22" s="206">
        <v>1</v>
      </c>
      <c r="K22" s="466">
        <v>0.22</v>
      </c>
    </row>
    <row r="23" spans="1:12" x14ac:dyDescent="0.2">
      <c r="A23" s="468"/>
      <c r="L23" s="459"/>
    </row>
    <row r="24" spans="1:12" x14ac:dyDescent="0.2">
      <c r="A24" s="468"/>
      <c r="L24" s="459"/>
    </row>
    <row r="25" spans="1:12" x14ac:dyDescent="0.2">
      <c r="L25" s="466"/>
    </row>
  </sheetData>
  <sheetProtection password="CA17" sheet="1" formatCells="0" formatColumns="0" formatRows="0" insertRows="0" insertHyperlinks="0" deleteRows="0" sort="0" autoFilter="0" pivotTables="0"/>
  <customSheetViews>
    <customSheetView guid="{1DB1CDF8-B399-46E9-9F00-21524E82CD13}" scale="75" showRuler="0" topLeftCell="A10">
      <selection activeCell="D30" sqref="D30"/>
      <pageMargins left="0.78740157480314965" right="0.78740157480314965" top="0.98425196850393704" bottom="0.98425196850393704" header="0" footer="0"/>
      <pageSetup paperSize="9" orientation="landscape" r:id="rId1"/>
      <headerFooter alignWithMargins="0"/>
    </customSheetView>
    <customSheetView guid="{FD728909-0D0B-441A-8E6A-F7FBB3EE0FF4}" scale="75" topLeftCell="A10">
      <selection activeCell="D30" sqref="D30"/>
      <pageMargins left="0.78740157480314965" right="0.78740157480314965" top="0.98425196850393704" bottom="0.98425196850393704" header="0" footer="0"/>
      <pageSetup paperSize="9" orientation="landscape" r:id="rId2"/>
      <headerFooter alignWithMargins="0"/>
    </customSheetView>
    <customSheetView guid="{3E10442F-E643-4030-87D8-6F3C29ED4323}" scale="90" showRuler="0">
      <selection activeCell="AJ1" sqref="AJ1:AM65536"/>
      <pageMargins left="0.78740157480314965" right="0.78740157480314965" top="0.98425196850393704" bottom="0.98425196850393704" header="0" footer="0"/>
      <pageSetup paperSize="9" orientation="landscape" r:id="rId3"/>
      <headerFooter alignWithMargins="0"/>
    </customSheetView>
    <customSheetView guid="{62D5B631-A5F0-449E-B42C-AE7ECEC2A7D1}" scale="75" topLeftCell="A10">
      <selection activeCell="D30" sqref="D30"/>
      <pageMargins left="0.78740157480314965" right="0.78740157480314965" top="0.98425196850393704" bottom="0.98425196850393704" header="0" footer="0"/>
      <pageSetup paperSize="9" orientation="landscape" r:id="rId4"/>
      <headerFooter alignWithMargins="0"/>
    </customSheetView>
    <customSheetView guid="{F95940C3-2AB4-49FF-ABAA-F9CFD2FCC6F5}" scale="75" topLeftCell="A10">
      <selection activeCell="D30" sqref="D30"/>
      <pageMargins left="0.78740157480314965" right="0.78740157480314965" top="0.98425196850393704" bottom="0.98425196850393704" header="0" footer="0"/>
      <pageSetup paperSize="9" orientation="landscape" r:id="rId5"/>
      <headerFooter alignWithMargins="0"/>
    </customSheetView>
  </customSheetViews>
  <mergeCells count="24">
    <mergeCell ref="V3:V5"/>
    <mergeCell ref="H3:H5"/>
    <mergeCell ref="K3:K5"/>
    <mergeCell ref="Q4:Q5"/>
    <mergeCell ref="O3:Q3"/>
    <mergeCell ref="R3:T3"/>
    <mergeCell ref="S4:S5"/>
    <mergeCell ref="I3:I5"/>
    <mergeCell ref="R4:R5"/>
    <mergeCell ref="U3:U5"/>
    <mergeCell ref="J3:J5"/>
    <mergeCell ref="T4:T5"/>
    <mergeCell ref="M3:M5"/>
    <mergeCell ref="O4:O5"/>
    <mergeCell ref="P4:P5"/>
    <mergeCell ref="N3:N5"/>
    <mergeCell ref="L3:L5"/>
    <mergeCell ref="F3:F5"/>
    <mergeCell ref="G3:G5"/>
    <mergeCell ref="A3:A5"/>
    <mergeCell ref="C3:C5"/>
    <mergeCell ref="E3:E5"/>
    <mergeCell ref="D3:D5"/>
    <mergeCell ref="B3:B5"/>
  </mergeCells>
  <phoneticPr fontId="0" type="noConversion"/>
  <pageMargins left="0.78740157480314965" right="0.78740157480314965" top="0.98425196850393704" bottom="0.98425196850393704" header="0" footer="0"/>
  <pageSetup paperSize="9" orientation="landscape" r:id="rId6"/>
  <headerFooter alignWithMargins="0"/>
  <drawing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5"/>
  <sheetViews>
    <sheetView zoomScale="75" zoomScaleNormal="75" workbookViewId="0">
      <selection activeCell="O26" sqref="O26"/>
    </sheetView>
  </sheetViews>
  <sheetFormatPr baseColWidth="10" defaultRowHeight="12.75" x14ac:dyDescent="0.2"/>
  <cols>
    <col min="1" max="1" width="68.7109375" style="32" customWidth="1"/>
    <col min="2" max="2" width="13.85546875" style="21" customWidth="1"/>
    <col min="3" max="3" width="9.28515625" style="21" customWidth="1"/>
    <col min="4" max="4" width="11.85546875" style="21" customWidth="1"/>
    <col min="5" max="5" width="10.5703125" style="21" customWidth="1"/>
    <col min="6" max="6" width="10.7109375" style="21" customWidth="1"/>
    <col min="7" max="7" width="15.5703125" style="21" customWidth="1"/>
    <col min="8" max="8" width="11.7109375" style="21" customWidth="1"/>
    <col min="9" max="9" width="12" style="21" customWidth="1"/>
    <col min="10" max="10" width="11.42578125" style="21"/>
    <col min="11" max="11" width="12.5703125" style="21" customWidth="1"/>
    <col min="12" max="16384" width="11.42578125" style="21"/>
  </cols>
  <sheetData>
    <row r="1" spans="1:15" ht="31.5" customHeight="1" x14ac:dyDescent="0.2">
      <c r="A1" s="21"/>
    </row>
    <row r="2" spans="1:15" ht="12" customHeight="1" x14ac:dyDescent="0.2">
      <c r="A2" s="21"/>
    </row>
    <row r="3" spans="1:15" ht="12.75" customHeight="1" x14ac:dyDescent="0.2">
      <c r="A3" s="616" t="s">
        <v>4</v>
      </c>
      <c r="B3" s="616" t="s">
        <v>167</v>
      </c>
      <c r="C3" s="616" t="s">
        <v>22</v>
      </c>
      <c r="D3" s="616" t="s">
        <v>33</v>
      </c>
      <c r="E3" s="616" t="s">
        <v>24</v>
      </c>
      <c r="F3" s="616" t="s">
        <v>25</v>
      </c>
      <c r="G3" s="616" t="s">
        <v>26</v>
      </c>
      <c r="H3" s="616" t="s">
        <v>147</v>
      </c>
      <c r="I3" s="616" t="s">
        <v>120</v>
      </c>
      <c r="J3" s="616" t="s">
        <v>100</v>
      </c>
      <c r="K3" s="616" t="s">
        <v>121</v>
      </c>
      <c r="L3" s="616" t="s">
        <v>60</v>
      </c>
    </row>
    <row r="4" spans="1:15" ht="12.75" customHeight="1" x14ac:dyDescent="0.2">
      <c r="A4" s="616"/>
      <c r="B4" s="616"/>
      <c r="C4" s="616"/>
      <c r="D4" s="616"/>
      <c r="E4" s="616"/>
      <c r="F4" s="616"/>
      <c r="G4" s="616"/>
      <c r="H4" s="616"/>
      <c r="I4" s="616"/>
      <c r="J4" s="616"/>
      <c r="K4" s="616"/>
      <c r="L4" s="616"/>
    </row>
    <row r="5" spans="1:15" ht="57.75" customHeight="1" x14ac:dyDescent="0.2">
      <c r="A5" s="616"/>
      <c r="B5" s="616"/>
      <c r="C5" s="616"/>
      <c r="D5" s="616"/>
      <c r="E5" s="616"/>
      <c r="F5" s="616"/>
      <c r="G5" s="616"/>
      <c r="H5" s="616"/>
      <c r="I5" s="616"/>
      <c r="J5" s="616"/>
      <c r="K5" s="616"/>
      <c r="L5" s="616"/>
    </row>
    <row r="6" spans="1:15" x14ac:dyDescent="0.2">
      <c r="A6" s="206" t="s">
        <v>521</v>
      </c>
      <c r="B6" s="32">
        <v>6</v>
      </c>
      <c r="C6" s="32"/>
      <c r="D6" s="117">
        <f>B35</f>
        <v>1403041.6720657216</v>
      </c>
      <c r="E6" s="33">
        <v>60</v>
      </c>
      <c r="F6" s="29">
        <f>D6*0</f>
        <v>0</v>
      </c>
      <c r="G6" s="87">
        <f>((D6-F6)/E6)*B6</f>
        <v>140304.16720657217</v>
      </c>
      <c r="H6" s="118"/>
      <c r="I6" s="458">
        <f>(SUM(G6:H6))/L6</f>
        <v>701.52083603286087</v>
      </c>
      <c r="J6" s="83">
        <f>IF(COUNTIF($A$13:$A$16,$A6)=0,0,VLOOKUP($A6,$A$13:$J$16,10,FALSE))</f>
        <v>0</v>
      </c>
      <c r="K6" s="83">
        <f>+I6</f>
        <v>701.52083603286087</v>
      </c>
      <c r="L6" s="35">
        <v>200</v>
      </c>
    </row>
    <row r="7" spans="1:15" x14ac:dyDescent="0.2">
      <c r="A7" s="67"/>
      <c r="B7" s="37"/>
      <c r="C7" s="38"/>
      <c r="D7" s="38"/>
      <c r="E7" s="38"/>
      <c r="F7" s="38"/>
      <c r="G7" s="475"/>
      <c r="H7" s="475"/>
      <c r="I7" s="475"/>
      <c r="J7" s="475"/>
      <c r="K7" s="476"/>
      <c r="L7" s="477"/>
    </row>
    <row r="8" spans="1:15" x14ac:dyDescent="0.2">
      <c r="C8" s="32"/>
      <c r="D8" s="32"/>
      <c r="E8" s="32"/>
      <c r="F8" s="32"/>
      <c r="G8" s="32"/>
      <c r="H8" s="32"/>
      <c r="I8" s="32"/>
    </row>
    <row r="9" spans="1:15" x14ac:dyDescent="0.2">
      <c r="B9" s="36"/>
      <c r="C9" s="32"/>
      <c r="D9" s="32"/>
      <c r="E9" s="32"/>
      <c r="F9" s="32"/>
      <c r="H9" s="32"/>
      <c r="I9" s="32"/>
    </row>
    <row r="10" spans="1:15" hidden="1" x14ac:dyDescent="0.2">
      <c r="A10" s="657" t="s">
        <v>106</v>
      </c>
      <c r="B10" s="657"/>
      <c r="C10" s="657"/>
      <c r="D10" s="657"/>
      <c r="E10" s="657"/>
      <c r="F10" s="657"/>
      <c r="G10" s="657"/>
    </row>
    <row r="11" spans="1:15" hidden="1" x14ac:dyDescent="0.2">
      <c r="A11" s="656" t="s">
        <v>107</v>
      </c>
      <c r="B11" s="656"/>
      <c r="C11" s="655" t="s">
        <v>108</v>
      </c>
      <c r="D11" s="655"/>
      <c r="E11" s="655" t="s">
        <v>109</v>
      </c>
      <c r="F11" s="655" t="s">
        <v>59</v>
      </c>
      <c r="G11" s="655" t="s">
        <v>19</v>
      </c>
      <c r="H11" s="654" t="s">
        <v>110</v>
      </c>
      <c r="I11" s="654"/>
      <c r="J11" s="655" t="s">
        <v>111</v>
      </c>
    </row>
    <row r="12" spans="1:15" hidden="1" x14ac:dyDescent="0.2">
      <c r="A12" s="656"/>
      <c r="B12" s="656"/>
      <c r="C12" s="655"/>
      <c r="D12" s="655"/>
      <c r="E12" s="655"/>
      <c r="F12" s="655"/>
      <c r="G12" s="655"/>
      <c r="H12" s="40" t="s">
        <v>101</v>
      </c>
      <c r="I12" s="40" t="s">
        <v>35</v>
      </c>
      <c r="J12" s="655"/>
    </row>
    <row r="13" spans="1:15" hidden="1" x14ac:dyDescent="0.2">
      <c r="A13" s="105" t="s">
        <v>245</v>
      </c>
      <c r="B13" s="101"/>
      <c r="C13" s="102"/>
      <c r="D13" s="102"/>
      <c r="E13" s="102"/>
      <c r="F13" s="102"/>
      <c r="G13" s="102"/>
      <c r="H13" s="102"/>
      <c r="I13" s="102"/>
      <c r="J13" s="103">
        <f>SUM(J14:J16)</f>
        <v>0</v>
      </c>
    </row>
    <row r="14" spans="1:15" hidden="1" x14ac:dyDescent="0.2">
      <c r="A14" s="104"/>
      <c r="B14" s="36"/>
      <c r="C14" s="36"/>
      <c r="D14" s="36"/>
      <c r="E14" s="32"/>
      <c r="F14" s="11"/>
      <c r="G14" s="32"/>
      <c r="H14" s="32"/>
      <c r="I14" s="32" t="s">
        <v>112</v>
      </c>
      <c r="J14" s="112">
        <v>0</v>
      </c>
      <c r="O14" s="119" t="s">
        <v>112</v>
      </c>
    </row>
    <row r="15" spans="1:15" hidden="1" x14ac:dyDescent="0.2">
      <c r="A15" s="104"/>
      <c r="B15" s="36"/>
      <c r="C15" s="36"/>
      <c r="D15" s="36"/>
      <c r="E15" s="32"/>
      <c r="F15" s="11"/>
      <c r="G15" s="32"/>
      <c r="H15" s="32"/>
      <c r="I15" s="32" t="s">
        <v>145</v>
      </c>
      <c r="J15" s="112">
        <v>0</v>
      </c>
    </row>
    <row r="16" spans="1:15" hidden="1" x14ac:dyDescent="0.2">
      <c r="A16" s="106"/>
      <c r="B16" s="107"/>
      <c r="C16" s="107"/>
      <c r="D16" s="107"/>
      <c r="E16" s="38"/>
      <c r="F16" s="120"/>
      <c r="G16" s="38"/>
      <c r="H16" s="38"/>
      <c r="I16" s="38"/>
      <c r="J16" s="113"/>
    </row>
    <row r="18" spans="1:8" x14ac:dyDescent="0.2">
      <c r="A18" s="32" t="s">
        <v>522</v>
      </c>
    </row>
    <row r="19" spans="1:8" x14ac:dyDescent="0.2">
      <c r="A19" s="495" t="s">
        <v>490</v>
      </c>
      <c r="B19" s="496" t="s">
        <v>494</v>
      </c>
    </row>
    <row r="20" spans="1:8" x14ac:dyDescent="0.2">
      <c r="A20" s="491" t="s">
        <v>307</v>
      </c>
      <c r="B20" s="494">
        <v>44470.417498121133</v>
      </c>
      <c r="E20" s="492">
        <v>20000</v>
      </c>
    </row>
    <row r="21" spans="1:8" x14ac:dyDescent="0.2">
      <c r="A21" s="491" t="s">
        <v>454</v>
      </c>
      <c r="B21" s="494">
        <v>26682.25049887268</v>
      </c>
      <c r="E21" s="492">
        <v>12000</v>
      </c>
      <c r="G21" s="21" t="s">
        <v>734</v>
      </c>
      <c r="H21" s="21">
        <v>8579</v>
      </c>
    </row>
    <row r="22" spans="1:8" x14ac:dyDescent="0.2">
      <c r="A22" s="491" t="s">
        <v>455</v>
      </c>
      <c r="B22" s="494">
        <v>35576.333998496906</v>
      </c>
      <c r="E22" s="492">
        <v>16000</v>
      </c>
      <c r="G22" s="21">
        <f>+H21/H22</f>
        <v>2.2236910316226024</v>
      </c>
      <c r="H22" s="21">
        <v>3858</v>
      </c>
    </row>
    <row r="23" spans="1:8" x14ac:dyDescent="0.2">
      <c r="A23" s="491" t="s">
        <v>456</v>
      </c>
      <c r="B23" s="494">
        <v>33352.813123590851</v>
      </c>
      <c r="E23" s="492">
        <v>15000</v>
      </c>
    </row>
    <row r="24" spans="1:8" x14ac:dyDescent="0.2">
      <c r="A24" s="491" t="s">
        <v>457</v>
      </c>
      <c r="B24" s="494">
        <v>55588.021872651414</v>
      </c>
      <c r="E24" s="492">
        <v>25000</v>
      </c>
    </row>
    <row r="25" spans="1:8" x14ac:dyDescent="0.2">
      <c r="A25" s="491" t="s">
        <v>458</v>
      </c>
      <c r="B25" s="494">
        <v>46693.938373027187</v>
      </c>
      <c r="E25" s="492">
        <v>21000</v>
      </c>
    </row>
    <row r="26" spans="1:8" x14ac:dyDescent="0.2">
      <c r="A26" s="491" t="s">
        <v>459</v>
      </c>
      <c r="B26" s="494">
        <v>77823.230621711977</v>
      </c>
      <c r="E26" s="492">
        <v>35000</v>
      </c>
    </row>
    <row r="27" spans="1:8" x14ac:dyDescent="0.2">
      <c r="A27" s="491" t="s">
        <v>460</v>
      </c>
      <c r="B27" s="494">
        <v>11117.604374530283</v>
      </c>
      <c r="E27" s="492">
        <v>5000</v>
      </c>
    </row>
    <row r="28" spans="1:8" x14ac:dyDescent="0.2">
      <c r="A28" s="491" t="s">
        <v>461</v>
      </c>
      <c r="B28" s="494">
        <v>15564.646124342396</v>
      </c>
      <c r="E28" s="492">
        <v>7000</v>
      </c>
    </row>
    <row r="29" spans="1:8" x14ac:dyDescent="0.2">
      <c r="A29" s="491" t="s">
        <v>462</v>
      </c>
      <c r="B29" s="494">
        <v>22235.208749060566</v>
      </c>
      <c r="E29" s="492">
        <v>10000</v>
      </c>
    </row>
    <row r="30" spans="1:8" x14ac:dyDescent="0.2">
      <c r="A30" s="491" t="s">
        <v>463</v>
      </c>
      <c r="B30" s="494">
        <v>77823.230621711977</v>
      </c>
      <c r="E30" s="492">
        <v>35000</v>
      </c>
    </row>
    <row r="31" spans="1:8" x14ac:dyDescent="0.2">
      <c r="A31" s="491" t="s">
        <v>464</v>
      </c>
      <c r="B31" s="494">
        <v>827149.76546505303</v>
      </c>
      <c r="E31" s="492">
        <v>372000</v>
      </c>
    </row>
    <row r="32" spans="1:8" x14ac:dyDescent="0.2">
      <c r="A32" s="491" t="s">
        <v>465</v>
      </c>
      <c r="B32" s="494">
        <v>33352.813123590851</v>
      </c>
      <c r="E32" s="492">
        <v>15000</v>
      </c>
    </row>
    <row r="33" spans="1:5" x14ac:dyDescent="0.2">
      <c r="A33" s="491" t="s">
        <v>466</v>
      </c>
      <c r="B33" s="494">
        <v>11117.604374530283</v>
      </c>
      <c r="E33" s="492">
        <v>5000</v>
      </c>
    </row>
    <row r="34" spans="1:5" x14ac:dyDescent="0.2">
      <c r="A34" s="491" t="s">
        <v>467</v>
      </c>
      <c r="B34" s="494">
        <v>84493.793246430156</v>
      </c>
      <c r="E34" s="492">
        <v>38000</v>
      </c>
    </row>
    <row r="35" spans="1:5" x14ac:dyDescent="0.2">
      <c r="A35" s="493" t="s">
        <v>5</v>
      </c>
      <c r="B35" s="494">
        <f>+SUM(B20:B34)</f>
        <v>1403041.6720657216</v>
      </c>
    </row>
  </sheetData>
  <sheetProtection password="CA17" sheet="1" formatCells="0" formatColumns="0" formatRows="0" insertRows="0" insertHyperlinks="0" deleteRows="0" sort="0" autoFilter="0" pivotTables="0"/>
  <customSheetViews>
    <customSheetView guid="{1DB1CDF8-B399-46E9-9F00-21524E82CD13}" scale="75" showRuler="0">
      <selection activeCell="A8" sqref="A8"/>
      <pageMargins left="0.75" right="0.75" top="1" bottom="1" header="0" footer="0"/>
      <pageSetup orientation="landscape" r:id="rId1"/>
      <headerFooter alignWithMargins="0"/>
    </customSheetView>
    <customSheetView guid="{FD728909-0D0B-441A-8E6A-F7FBB3EE0FF4}" scale="75">
      <selection activeCell="A8" sqref="A8"/>
      <pageMargins left="0.75" right="0.75" top="1" bottom="1" header="0" footer="0"/>
      <pageSetup orientation="landscape" r:id="rId2"/>
      <headerFooter alignWithMargins="0"/>
    </customSheetView>
    <customSheetView guid="{3E10442F-E643-4030-87D8-6F3C29ED4323}" scale="90" showRuler="0" topLeftCell="A17">
      <selection activeCell="AJ1" sqref="AJ1:AM65536"/>
      <pageMargins left="0.75" right="0.75" top="1" bottom="1" header="0" footer="0"/>
      <pageSetup orientation="landscape" r:id="rId3"/>
      <headerFooter alignWithMargins="0"/>
    </customSheetView>
    <customSheetView guid="{62D5B631-A5F0-449E-B42C-AE7ECEC2A7D1}" scale="75">
      <selection activeCell="A8" sqref="A8"/>
      <pageMargins left="0.75" right="0.75" top="1" bottom="1" header="0" footer="0"/>
      <pageSetup orientation="landscape" r:id="rId4"/>
      <headerFooter alignWithMargins="0"/>
    </customSheetView>
    <customSheetView guid="{F95940C3-2AB4-49FF-ABAA-F9CFD2FCC6F5}" scale="75">
      <selection activeCell="A8" sqref="A8"/>
      <pageMargins left="0.75" right="0.75" top="1" bottom="1" header="0" footer="0"/>
      <pageSetup orientation="landscape" r:id="rId5"/>
      <headerFooter alignWithMargins="0"/>
    </customSheetView>
  </customSheetViews>
  <mergeCells count="20">
    <mergeCell ref="A11:B12"/>
    <mergeCell ref="E11:E12"/>
    <mergeCell ref="A3:A5"/>
    <mergeCell ref="C3:C5"/>
    <mergeCell ref="A10:G10"/>
    <mergeCell ref="D3:D5"/>
    <mergeCell ref="B3:B5"/>
    <mergeCell ref="C11:D12"/>
    <mergeCell ref="F3:F5"/>
    <mergeCell ref="G3:G5"/>
    <mergeCell ref="L3:L5"/>
    <mergeCell ref="H11:I11"/>
    <mergeCell ref="K3:K5"/>
    <mergeCell ref="E3:E5"/>
    <mergeCell ref="J3:J5"/>
    <mergeCell ref="I3:I5"/>
    <mergeCell ref="H3:H5"/>
    <mergeCell ref="G11:G12"/>
    <mergeCell ref="J11:J12"/>
    <mergeCell ref="F11:F12"/>
  </mergeCells>
  <phoneticPr fontId="0" type="noConversion"/>
  <dataValidations disablePrompts="1" count="2">
    <dataValidation type="list" allowBlank="1" showInputMessage="1" showErrorMessage="1" sqref="I14:I16" xr:uid="{00000000-0002-0000-0600-000000000000}"/>
    <dataValidation type="list" allowBlank="1" showInputMessage="1" showErrorMessage="1" sqref="A13" xr:uid="{00000000-0002-0000-0600-000001000000}">
      <formula1>Máquinas</formula1>
    </dataValidation>
  </dataValidations>
  <pageMargins left="0.75" right="0.75" top="1" bottom="1" header="0" footer="0"/>
  <pageSetup orientation="landscape" r:id="rId6"/>
  <headerFooter alignWithMargins="0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6"/>
  <sheetViews>
    <sheetView zoomScale="75" zoomScaleNormal="75" workbookViewId="0">
      <selection activeCell="C4" sqref="C4"/>
    </sheetView>
  </sheetViews>
  <sheetFormatPr baseColWidth="10" defaultRowHeight="12.75" x14ac:dyDescent="0.2"/>
  <cols>
    <col min="1" max="1" width="76.85546875" style="21" bestFit="1" customWidth="1"/>
    <col min="2" max="2" width="19" style="32" customWidth="1"/>
    <col min="3" max="3" width="16.42578125" style="32" customWidth="1"/>
    <col min="4" max="4" width="17.85546875" style="32" customWidth="1"/>
    <col min="5" max="5" width="12.85546875" style="32" customWidth="1"/>
    <col min="6" max="6" width="13.85546875" style="32" customWidth="1"/>
    <col min="7" max="16384" width="11.42578125" style="21"/>
  </cols>
  <sheetData>
    <row r="1" spans="1:10" ht="30.75" customHeight="1" x14ac:dyDescent="0.2">
      <c r="A1" s="32"/>
    </row>
    <row r="2" spans="1:10" ht="10.5" customHeight="1" x14ac:dyDescent="0.2">
      <c r="A2" s="68"/>
    </row>
    <row r="3" spans="1:10" x14ac:dyDescent="0.2">
      <c r="A3" s="148" t="s">
        <v>4</v>
      </c>
      <c r="B3" s="144" t="s">
        <v>35</v>
      </c>
      <c r="C3" s="144" t="s">
        <v>58</v>
      </c>
      <c r="D3" s="144" t="s">
        <v>105</v>
      </c>
      <c r="E3" s="144" t="s">
        <v>61</v>
      </c>
      <c r="F3" s="144" t="s">
        <v>62</v>
      </c>
    </row>
    <row r="4" spans="1:10" x14ac:dyDescent="0.2">
      <c r="A4" s="51" t="s">
        <v>449</v>
      </c>
      <c r="B4" s="451" t="s">
        <v>477</v>
      </c>
      <c r="C4" s="457">
        <f>10*66*860</f>
        <v>567600</v>
      </c>
      <c r="D4" s="118"/>
      <c r="E4" s="116" t="s">
        <v>448</v>
      </c>
      <c r="F4" s="146" t="s">
        <v>451</v>
      </c>
      <c r="J4" s="59"/>
    </row>
    <row r="5" spans="1:10" x14ac:dyDescent="0.2">
      <c r="A5" s="51" t="s">
        <v>450</v>
      </c>
      <c r="B5" s="11" t="s">
        <v>477</v>
      </c>
      <c r="C5" s="95">
        <f>250*860*10</f>
        <v>2150000</v>
      </c>
      <c r="D5" s="11"/>
      <c r="E5" s="32" t="s">
        <v>448</v>
      </c>
      <c r="F5" s="43" t="s">
        <v>451</v>
      </c>
      <c r="J5" s="59"/>
    </row>
    <row r="6" spans="1:10" x14ac:dyDescent="0.2">
      <c r="A6" s="51" t="s">
        <v>480</v>
      </c>
      <c r="B6" s="32" t="s">
        <v>477</v>
      </c>
      <c r="C6" s="95">
        <f>D16*6</f>
        <v>192074.40000000002</v>
      </c>
      <c r="D6" s="11"/>
      <c r="E6" s="32" t="s">
        <v>448</v>
      </c>
      <c r="F6" s="43" t="s">
        <v>451</v>
      </c>
      <c r="J6" s="59"/>
    </row>
    <row r="7" spans="1:10" x14ac:dyDescent="0.2">
      <c r="A7" s="48"/>
      <c r="B7" s="38"/>
      <c r="C7" s="38"/>
      <c r="D7" s="38"/>
      <c r="E7" s="38"/>
      <c r="F7" s="55"/>
    </row>
    <row r="8" spans="1:10" x14ac:dyDescent="0.2">
      <c r="A8" s="130"/>
    </row>
    <row r="9" spans="1:10" x14ac:dyDescent="0.2">
      <c r="A9" s="147"/>
    </row>
    <row r="11" spans="1:10" x14ac:dyDescent="0.2">
      <c r="A11" s="489" t="s">
        <v>473</v>
      </c>
      <c r="B11" s="489" t="s">
        <v>6</v>
      </c>
      <c r="C11" s="489" t="s">
        <v>474</v>
      </c>
      <c r="D11" s="489" t="s">
        <v>475</v>
      </c>
    </row>
    <row r="12" spans="1:10" x14ac:dyDescent="0.2">
      <c r="A12" s="480" t="s">
        <v>469</v>
      </c>
      <c r="B12" s="480">
        <f>6840*2.22</f>
        <v>15184.800000000001</v>
      </c>
      <c r="C12" s="480">
        <v>2</v>
      </c>
      <c r="D12" s="481">
        <f>+B12/C12</f>
        <v>7592.4000000000005</v>
      </c>
    </row>
    <row r="13" spans="1:10" x14ac:dyDescent="0.2">
      <c r="A13" s="480" t="s">
        <v>470</v>
      </c>
      <c r="B13" s="480">
        <f>7000*2.22</f>
        <v>15540.000000000002</v>
      </c>
      <c r="C13" s="480">
        <v>2</v>
      </c>
      <c r="D13" s="481">
        <f>+B13/C13</f>
        <v>7770.0000000000009</v>
      </c>
    </row>
    <row r="14" spans="1:10" x14ac:dyDescent="0.2">
      <c r="A14" s="480" t="s">
        <v>471</v>
      </c>
      <c r="B14" s="480">
        <f>5000*2.22</f>
        <v>11100.000000000002</v>
      </c>
      <c r="C14" s="480">
        <v>2</v>
      </c>
      <c r="D14" s="481">
        <f>+B14/C14</f>
        <v>5550.0000000000009</v>
      </c>
    </row>
    <row r="15" spans="1:10" x14ac:dyDescent="0.2">
      <c r="A15" s="480" t="s">
        <v>472</v>
      </c>
      <c r="B15" s="480">
        <f>10000*2.22</f>
        <v>22200.000000000004</v>
      </c>
      <c r="C15" s="480">
        <v>2</v>
      </c>
      <c r="D15" s="481">
        <f>+B15/C15</f>
        <v>11100.000000000002</v>
      </c>
    </row>
    <row r="16" spans="1:10" x14ac:dyDescent="0.2">
      <c r="A16" s="490" t="s">
        <v>476</v>
      </c>
      <c r="B16" s="482"/>
      <c r="C16" s="483"/>
      <c r="D16" s="481">
        <f>+SUM(D12:D15)</f>
        <v>32012.400000000001</v>
      </c>
    </row>
  </sheetData>
  <sheetProtection password="CA17" sheet="1" formatCells="0" formatColumns="0" formatRows="0" insertRows="0" insertHyperlinks="0" deleteRows="0" sort="0" autoFilter="0" pivotTables="0"/>
  <customSheetViews>
    <customSheetView guid="{1DB1CDF8-B399-46E9-9F00-21524E82CD13}" scale="75" showRuler="0">
      <selection activeCell="A15" sqref="A15"/>
      <pageMargins left="0.75" right="0.75" top="1" bottom="1" header="0" footer="0"/>
      <pageSetup paperSize="9" orientation="portrait" r:id="rId1"/>
      <headerFooter alignWithMargins="0"/>
    </customSheetView>
    <customSheetView guid="{FD728909-0D0B-441A-8E6A-F7FBB3EE0FF4}" scale="75">
      <selection activeCell="A15" sqref="A15"/>
      <pageMargins left="0.75" right="0.75" top="1" bottom="1" header="0" footer="0"/>
      <pageSetup paperSize="9" orientation="portrait" r:id="rId2"/>
      <headerFooter alignWithMargins="0"/>
    </customSheetView>
    <customSheetView guid="{3E10442F-E643-4030-87D8-6F3C29ED4323}" showRuler="0">
      <selection activeCell="AJ1" sqref="AJ1:AM65536"/>
      <pageMargins left="0.75" right="0.75" top="1" bottom="1" header="0" footer="0"/>
      <pageSetup paperSize="9" orientation="portrait" r:id="rId3"/>
      <headerFooter alignWithMargins="0"/>
    </customSheetView>
    <customSheetView guid="{62D5B631-A5F0-449E-B42C-AE7ECEC2A7D1}" scale="75">
      <selection activeCell="A15" sqref="A15"/>
      <pageMargins left="0.75" right="0.75" top="1" bottom="1" header="0" footer="0"/>
      <pageSetup paperSize="9" orientation="portrait" r:id="rId4"/>
      <headerFooter alignWithMargins="0"/>
    </customSheetView>
    <customSheetView guid="{F95940C3-2AB4-49FF-ABAA-F9CFD2FCC6F5}" scale="75">
      <selection activeCell="A15" sqref="A15"/>
      <pageMargins left="0.75" right="0.75" top="1" bottom="1" header="0" footer="0"/>
      <pageSetup paperSize="9" orientation="portrait" r:id="rId5"/>
      <headerFooter alignWithMargins="0"/>
    </customSheetView>
  </customSheetViews>
  <phoneticPr fontId="0" type="noConversion"/>
  <pageMargins left="0.75" right="0.75" top="1" bottom="1" header="0" footer="0"/>
  <pageSetup paperSize="9" orientation="portrait" r:id="rId6"/>
  <headerFooter alignWithMargins="0"/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"/>
  <sheetViews>
    <sheetView zoomScale="75" zoomScaleNormal="75" workbookViewId="0">
      <selection activeCell="C5" sqref="C5"/>
    </sheetView>
  </sheetViews>
  <sheetFormatPr baseColWidth="10" defaultRowHeight="12.75" x14ac:dyDescent="0.2"/>
  <cols>
    <col min="1" max="1" width="76.85546875" style="21" bestFit="1" customWidth="1"/>
    <col min="2" max="2" width="15.85546875" style="32" customWidth="1"/>
    <col min="3" max="3" width="22" style="32" customWidth="1"/>
    <col min="4" max="4" width="12.85546875" style="32" customWidth="1"/>
    <col min="5" max="5" width="13.85546875" style="32" customWidth="1"/>
    <col min="6" max="16384" width="11.42578125" style="21"/>
  </cols>
  <sheetData>
    <row r="1" spans="1:5" ht="30.75" customHeight="1" x14ac:dyDescent="0.2">
      <c r="A1" s="32"/>
    </row>
    <row r="2" spans="1:5" ht="10.5" customHeight="1" x14ac:dyDescent="0.2">
      <c r="A2" s="68"/>
      <c r="B2" s="69"/>
    </row>
    <row r="3" spans="1:5" x14ac:dyDescent="0.2">
      <c r="A3" s="148" t="s">
        <v>4</v>
      </c>
      <c r="B3" s="66" t="s">
        <v>35</v>
      </c>
      <c r="C3" s="66" t="s">
        <v>58</v>
      </c>
      <c r="D3" s="66" t="s">
        <v>61</v>
      </c>
      <c r="E3" s="66" t="s">
        <v>62</v>
      </c>
    </row>
    <row r="4" spans="1:5" x14ac:dyDescent="0.2">
      <c r="A4" s="224" t="s">
        <v>516</v>
      </c>
      <c r="B4" s="207"/>
      <c r="C4" s="54">
        <f>394620*Maq!G22</f>
        <v>877512.95489891141</v>
      </c>
      <c r="D4" s="54"/>
      <c r="E4" s="432"/>
    </row>
    <row r="5" spans="1:5" x14ac:dyDescent="0.2">
      <c r="A5" s="48"/>
      <c r="B5" s="38"/>
      <c r="C5" s="488">
        <f>+C4</f>
        <v>877512.95489891141</v>
      </c>
      <c r="D5" s="38"/>
      <c r="E5" s="55"/>
    </row>
    <row r="6" spans="1:5" x14ac:dyDescent="0.2">
      <c r="A6" s="130"/>
      <c r="B6" s="69"/>
    </row>
    <row r="7" spans="1:5" x14ac:dyDescent="0.2">
      <c r="A7" s="147"/>
      <c r="B7" s="164"/>
    </row>
    <row r="9" spans="1:5" x14ac:dyDescent="0.2">
      <c r="A9" s="147"/>
      <c r="B9" s="164"/>
    </row>
  </sheetData>
  <sheetProtection password="CA17" sheet="1" formatCells="0" formatColumns="0" formatRows="0" insertRows="0" insertHyperlinks="0" deleteRows="0" sort="0" autoFilter="0" pivotTables="0"/>
  <customSheetViews>
    <customSheetView guid="{1DB1CDF8-B399-46E9-9F00-21524E82CD13}" scale="75" showRuler="0">
      <selection activeCell="D11" sqref="D11"/>
      <pageMargins left="0.75" right="0.75" top="1" bottom="1" header="0" footer="0"/>
      <pageSetup paperSize="9" orientation="portrait" r:id="rId1"/>
      <headerFooter alignWithMargins="0"/>
    </customSheetView>
    <customSheetView guid="{FD728909-0D0B-441A-8E6A-F7FBB3EE0FF4}" scale="75">
      <selection activeCell="D11" sqref="D11"/>
      <pageMargins left="0.75" right="0.75" top="1" bottom="1" header="0" footer="0"/>
      <pageSetup paperSize="9" orientation="portrait" r:id="rId2"/>
      <headerFooter alignWithMargins="0"/>
    </customSheetView>
    <customSheetView guid="{3E10442F-E643-4030-87D8-6F3C29ED4323}" scale="90" showRuler="0">
      <selection sqref="A1:IV8"/>
      <pageMargins left="0.75" right="0.75" top="1" bottom="1" header="0" footer="0"/>
      <pageSetup paperSize="9" orientation="portrait" r:id="rId3"/>
      <headerFooter alignWithMargins="0"/>
    </customSheetView>
    <customSheetView guid="{62D5B631-A5F0-449E-B42C-AE7ECEC2A7D1}" scale="75">
      <selection activeCell="D11" sqref="D11"/>
      <pageMargins left="0.75" right="0.75" top="1" bottom="1" header="0" footer="0"/>
      <pageSetup paperSize="9" orientation="portrait" r:id="rId4"/>
      <headerFooter alignWithMargins="0"/>
    </customSheetView>
    <customSheetView guid="{F95940C3-2AB4-49FF-ABAA-F9CFD2FCC6F5}" scale="75">
      <selection activeCell="D11" sqref="D11"/>
      <pageMargins left="0.75" right="0.75" top="1" bottom="1" header="0" footer="0"/>
      <pageSetup paperSize="9" orientation="portrait" r:id="rId5"/>
      <headerFooter alignWithMargins="0"/>
    </customSheetView>
  </customSheetViews>
  <phoneticPr fontId="0" type="noConversion"/>
  <pageMargins left="0.75" right="0.75" top="1" bottom="1" header="0" footer="0"/>
  <pageSetup paperSize="9" orientation="portrait" r:id="rId6"/>
  <headerFooter alignWithMargins="0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313F9-0DC2-453D-8675-2AFAECB2A5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FB9473-2702-4CFF-B642-C0DB9E0EDBB3}">
  <ds:schemaRefs>
    <ds:schemaRef ds:uri="http://schemas.microsoft.com/office/2006/metadata/properties"/>
    <ds:schemaRef ds:uri="http://schemas.microsoft.com/office/infopath/2007/PartnerControls"/>
    <ds:schemaRef ds:uri="730269a7-69c5-483f-a552-e74dab880ae2"/>
    <ds:schemaRef ds:uri="40de77e2-37bb-4c7a-ab4d-547915d99553"/>
  </ds:schemaRefs>
</ds:datastoreItem>
</file>

<file path=customXml/itemProps3.xml><?xml version="1.0" encoding="utf-8"?>
<ds:datastoreItem xmlns:ds="http://schemas.openxmlformats.org/officeDocument/2006/customXml" ds:itemID="{6CF30EB8-AD29-4F78-9666-9F73753898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Datos PECOM</vt:lpstr>
      <vt:lpstr>RESUMEN </vt:lpstr>
      <vt:lpstr>MO</vt:lpstr>
      <vt:lpstr>CS</vt:lpstr>
      <vt:lpstr>GdP</vt:lpstr>
      <vt:lpstr>Veh</vt:lpstr>
      <vt:lpstr>Maq</vt:lpstr>
      <vt:lpstr>Mat</vt:lpstr>
      <vt:lpstr>Otros</vt:lpstr>
      <vt:lpstr>GE</vt:lpstr>
      <vt:lpstr>INSTRUCTIVO DE CARGA</vt:lpstr>
      <vt:lpstr>MO Florencia</vt:lpstr>
    </vt:vector>
  </TitlesOfParts>
  <Company>PAN AMERICAN ENERGY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Juan Gabriel Bergerat</cp:lastModifiedBy>
  <cp:lastPrinted>2012-07-05T15:33:41Z</cp:lastPrinted>
  <dcterms:created xsi:type="dcterms:W3CDTF">2008-05-16T12:45:56Z</dcterms:created>
  <dcterms:modified xsi:type="dcterms:W3CDTF">2024-05-13T19:52:59Z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0x010100CFAFEA61DE254B44B363149992BD50B3</vt:lpwstr>
  </property>
</Properties>
</file>