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iccio.ARGENTINA\Desktop\"/>
    </mc:Choice>
  </mc:AlternateContent>
  <bookViews>
    <workbookView xWindow="0" yWindow="0" windowWidth="20490" windowHeight="7530" activeTab="10"/>
  </bookViews>
  <sheets>
    <sheet name="Fórmula de Ajuste" sheetId="1" r:id="rId1"/>
    <sheet name="Hoja1" sheetId="17" state="hidden" r:id="rId2"/>
    <sheet name="Ajuste Tarifario" sheetId="14" state="hidden" r:id="rId3"/>
    <sheet name="Resumen - Suc Sur" sheetId="16" state="hidden" r:id="rId4"/>
    <sheet name="Notas" sheetId="6" state="hidden" r:id="rId5"/>
    <sheet name="1. MO de Maite " sheetId="3" state="hidden" r:id="rId6"/>
    <sheet name="MO" sheetId="5" state="hidden" r:id="rId7"/>
    <sheet name="Combustible" sheetId="4" state="hidden" r:id="rId8"/>
    <sheet name="IPIM" sheetId="2" state="hidden" r:id="rId9"/>
    <sheet name="Evolución de Tarifa" sheetId="7" state="hidden" r:id="rId10"/>
    <sheet name="Tarifas Base" sheetId="8" r:id="rId11"/>
    <sheet name="Certificaciones" sheetId="9" state="hidden" r:id="rId12"/>
    <sheet name="Cálculo de Retroactivos" sheetId="10" state="hidden" r:id="rId13"/>
    <sheet name="Resumen Retroactivos" sheetId="13" state="hidden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6" l="1"/>
  <c r="H93" i="16"/>
  <c r="D65" i="16"/>
  <c r="E65" i="16"/>
  <c r="F65" i="16"/>
  <c r="G65" i="16"/>
  <c r="H65" i="16"/>
  <c r="I65" i="16"/>
  <c r="C65" i="16"/>
  <c r="I59" i="16"/>
  <c r="I76" i="16" s="1"/>
  <c r="H59" i="16"/>
  <c r="I58" i="16"/>
  <c r="H58" i="16"/>
  <c r="H75" i="16" s="1"/>
  <c r="I57" i="16"/>
  <c r="I74" i="16" s="1"/>
  <c r="H57" i="16"/>
  <c r="I56" i="16"/>
  <c r="H56" i="16"/>
  <c r="H73" i="16" s="1"/>
  <c r="D58" i="16"/>
  <c r="D75" i="16" s="1"/>
  <c r="E58" i="16"/>
  <c r="E75" i="16" s="1"/>
  <c r="F58" i="16"/>
  <c r="F75" i="16" s="1"/>
  <c r="G58" i="16"/>
  <c r="G75" i="16" s="1"/>
  <c r="C58" i="16"/>
  <c r="C75" i="16" s="1"/>
  <c r="D59" i="16"/>
  <c r="E59" i="16"/>
  <c r="F59" i="16"/>
  <c r="G59" i="16"/>
  <c r="C59" i="16"/>
  <c r="C76" i="16" s="1"/>
  <c r="D57" i="16"/>
  <c r="D74" i="16" s="1"/>
  <c r="E57" i="16"/>
  <c r="E95" i="16" s="1"/>
  <c r="E37" i="16" s="1"/>
  <c r="F57" i="16"/>
  <c r="F74" i="16" s="1"/>
  <c r="G57" i="16"/>
  <c r="G74" i="16" s="1"/>
  <c r="C57" i="16"/>
  <c r="C74" i="16" s="1"/>
  <c r="D56" i="16"/>
  <c r="D73" i="16" s="1"/>
  <c r="E56" i="16"/>
  <c r="E73" i="16" s="1"/>
  <c r="F56" i="16"/>
  <c r="F73" i="16" s="1"/>
  <c r="G56" i="16"/>
  <c r="G73" i="16" s="1"/>
  <c r="C56" i="16"/>
  <c r="C35" i="16"/>
  <c r="F95" i="16" l="1"/>
  <c r="F37" i="16" s="1"/>
  <c r="I97" i="16"/>
  <c r="I95" i="16"/>
  <c r="C95" i="16"/>
  <c r="C37" i="16" s="1"/>
  <c r="D96" i="16"/>
  <c r="D38" i="16" s="1"/>
  <c r="F69" i="16"/>
  <c r="F45" i="16" s="1"/>
  <c r="F76" i="16"/>
  <c r="F82" i="16" s="1"/>
  <c r="H96" i="16"/>
  <c r="I68" i="16"/>
  <c r="I44" i="16" s="1"/>
  <c r="I75" i="16"/>
  <c r="G94" i="16"/>
  <c r="G36" i="16" s="1"/>
  <c r="D69" i="16"/>
  <c r="D45" i="16" s="1"/>
  <c r="D76" i="16"/>
  <c r="D82" i="16" s="1"/>
  <c r="H67" i="16"/>
  <c r="H43" i="16" s="1"/>
  <c r="H74" i="16"/>
  <c r="H69" i="16"/>
  <c r="H45" i="16" s="1"/>
  <c r="H76" i="16"/>
  <c r="C97" i="16"/>
  <c r="C39" i="16" s="1"/>
  <c r="H97" i="16"/>
  <c r="D97" i="16"/>
  <c r="D39" i="16" s="1"/>
  <c r="F96" i="16"/>
  <c r="F38" i="16" s="1"/>
  <c r="H95" i="16"/>
  <c r="D95" i="16"/>
  <c r="D37" i="16" s="1"/>
  <c r="F94" i="16"/>
  <c r="F36" i="16" s="1"/>
  <c r="C66" i="16"/>
  <c r="C73" i="16"/>
  <c r="C82" i="16" s="1"/>
  <c r="E67" i="16"/>
  <c r="E43" i="16" s="1"/>
  <c r="E74" i="16"/>
  <c r="F97" i="16"/>
  <c r="F39" i="16" s="1"/>
  <c r="H94" i="16"/>
  <c r="D94" i="16"/>
  <c r="D36" i="16" s="1"/>
  <c r="E69" i="16"/>
  <c r="E45" i="16" s="1"/>
  <c r="E76" i="16"/>
  <c r="I66" i="16"/>
  <c r="I73" i="16"/>
  <c r="I82" i="16" s="1"/>
  <c r="C94" i="16"/>
  <c r="C36" i="16" s="1"/>
  <c r="E97" i="16"/>
  <c r="E39" i="16" s="1"/>
  <c r="G96" i="16"/>
  <c r="G38" i="16" s="1"/>
  <c r="G69" i="16"/>
  <c r="G45" i="16" s="1"/>
  <c r="G76" i="16"/>
  <c r="G82" i="16" s="1"/>
  <c r="C96" i="16"/>
  <c r="C38" i="16" s="1"/>
  <c r="G97" i="16"/>
  <c r="G39" i="16" s="1"/>
  <c r="I96" i="16"/>
  <c r="E96" i="16"/>
  <c r="E38" i="16" s="1"/>
  <c r="G95" i="16"/>
  <c r="G37" i="16" s="1"/>
  <c r="I94" i="16"/>
  <c r="E94" i="16"/>
  <c r="E36" i="16" s="1"/>
  <c r="E68" i="16"/>
  <c r="E44" i="16" s="1"/>
  <c r="E66" i="16"/>
  <c r="F67" i="16"/>
  <c r="F43" i="16" s="1"/>
  <c r="C68" i="16"/>
  <c r="C44" i="16" s="1"/>
  <c r="I67" i="16"/>
  <c r="I43" i="16" s="1"/>
  <c r="I69" i="16"/>
  <c r="I45" i="16" s="1"/>
  <c r="C67" i="16"/>
  <c r="C43" i="16" s="1"/>
  <c r="D68" i="16"/>
  <c r="D44" i="16" s="1"/>
  <c r="G68" i="16"/>
  <c r="G44" i="16" s="1"/>
  <c r="G66" i="16"/>
  <c r="D67" i="16"/>
  <c r="D43" i="16" s="1"/>
  <c r="F66" i="16"/>
  <c r="G67" i="16"/>
  <c r="G43" i="16" s="1"/>
  <c r="C69" i="16"/>
  <c r="C45" i="16" s="1"/>
  <c r="H68" i="16"/>
  <c r="H44" i="16" s="1"/>
  <c r="D66" i="16"/>
  <c r="F68" i="16"/>
  <c r="F44" i="16" s="1"/>
  <c r="H66" i="16"/>
  <c r="C26" i="16"/>
  <c r="J26" i="16" s="1"/>
  <c r="C47" i="2"/>
  <c r="D18" i="16"/>
  <c r="E18" i="16"/>
  <c r="F18" i="16"/>
  <c r="G18" i="16"/>
  <c r="H18" i="16"/>
  <c r="I18" i="16"/>
  <c r="D19" i="16"/>
  <c r="E19" i="16"/>
  <c r="F19" i="16"/>
  <c r="G19" i="16"/>
  <c r="H19" i="16"/>
  <c r="I19" i="16"/>
  <c r="D20" i="16"/>
  <c r="E20" i="16"/>
  <c r="F20" i="16"/>
  <c r="G20" i="16"/>
  <c r="H20" i="16"/>
  <c r="I20" i="16"/>
  <c r="D21" i="16"/>
  <c r="E21" i="16"/>
  <c r="F21" i="16"/>
  <c r="G21" i="16"/>
  <c r="H21" i="16"/>
  <c r="I21" i="16"/>
  <c r="D22" i="16"/>
  <c r="E22" i="16"/>
  <c r="F22" i="16"/>
  <c r="G22" i="16"/>
  <c r="H22" i="16"/>
  <c r="I22" i="16"/>
  <c r="C20" i="16"/>
  <c r="C19" i="16"/>
  <c r="C22" i="16"/>
  <c r="C18" i="16"/>
  <c r="C21" i="16"/>
  <c r="H7" i="16"/>
  <c r="I7" i="16"/>
  <c r="V63" i="14"/>
  <c r="O63" i="14"/>
  <c r="P63" i="14"/>
  <c r="Q63" i="14"/>
  <c r="R63" i="14"/>
  <c r="S63" i="14"/>
  <c r="T63" i="14"/>
  <c r="N63" i="14"/>
  <c r="I26" i="1"/>
  <c r="I25" i="1"/>
  <c r="H82" i="16" l="1"/>
  <c r="E82" i="16"/>
  <c r="D42" i="16"/>
  <c r="D81" i="16"/>
  <c r="F42" i="16"/>
  <c r="F81" i="16"/>
  <c r="I42" i="16"/>
  <c r="I81" i="16"/>
  <c r="H42" i="16"/>
  <c r="H81" i="16"/>
  <c r="G42" i="16"/>
  <c r="G81" i="16"/>
  <c r="E42" i="16"/>
  <c r="E81" i="16"/>
  <c r="C42" i="16"/>
  <c r="C81" i="16"/>
  <c r="J38" i="16"/>
  <c r="J43" i="16"/>
  <c r="J36" i="16"/>
  <c r="J37" i="16"/>
  <c r="J44" i="16"/>
  <c r="M44" i="16" s="1"/>
  <c r="J39" i="16"/>
  <c r="J45" i="16"/>
  <c r="H27" i="16"/>
  <c r="H41" i="16"/>
  <c r="C47" i="16"/>
  <c r="H28" i="16"/>
  <c r="H47" i="16"/>
  <c r="I28" i="16"/>
  <c r="I47" i="16"/>
  <c r="C41" i="16"/>
  <c r="I27" i="16"/>
  <c r="I41" i="16"/>
  <c r="C28" i="16"/>
  <c r="C27" i="16"/>
  <c r="J20" i="16"/>
  <c r="J22" i="16"/>
  <c r="J19" i="16"/>
  <c r="J21" i="16"/>
  <c r="J18" i="16"/>
  <c r="M10" i="16"/>
  <c r="M11" i="16"/>
  <c r="M12" i="16"/>
  <c r="M9" i="16"/>
  <c r="J9" i="16"/>
  <c r="L9" i="16" s="1"/>
  <c r="J10" i="16"/>
  <c r="J11" i="16"/>
  <c r="J12" i="16"/>
  <c r="J6" i="16"/>
  <c r="N59" i="14"/>
  <c r="R56" i="14"/>
  <c r="R59" i="14" s="1"/>
  <c r="N56" i="14"/>
  <c r="N60" i="14" s="1"/>
  <c r="T55" i="14"/>
  <c r="S55" i="14"/>
  <c r="N55" i="14"/>
  <c r="R55" i="14"/>
  <c r="Q55" i="14"/>
  <c r="Q56" i="14" s="1"/>
  <c r="P55" i="14"/>
  <c r="O55" i="14"/>
  <c r="T52" i="14"/>
  <c r="T56" i="14" s="1"/>
  <c r="S52" i="14"/>
  <c r="S56" i="14" s="1"/>
  <c r="R52" i="14"/>
  <c r="Q52" i="14"/>
  <c r="T53" i="14"/>
  <c r="S53" i="14"/>
  <c r="R53" i="14"/>
  <c r="Q53" i="14"/>
  <c r="T54" i="14"/>
  <c r="S54" i="14"/>
  <c r="R54" i="14"/>
  <c r="Q54" i="14"/>
  <c r="P54" i="14"/>
  <c r="P56" i="14" s="1"/>
  <c r="O54" i="14"/>
  <c r="O56" i="14" s="1"/>
  <c r="N54" i="14"/>
  <c r="J82" i="16" l="1"/>
  <c r="K82" i="16" s="1"/>
  <c r="J42" i="16"/>
  <c r="M42" i="16" s="1"/>
  <c r="J81" i="16"/>
  <c r="K81" i="16" s="1"/>
  <c r="M43" i="16"/>
  <c r="M45" i="16"/>
  <c r="J27" i="16"/>
  <c r="J28" i="16"/>
  <c r="K12" i="16"/>
  <c r="K9" i="16"/>
  <c r="K11" i="16"/>
  <c r="K10" i="16"/>
  <c r="L12" i="16"/>
  <c r="L11" i="16"/>
  <c r="L10" i="16"/>
  <c r="O59" i="14"/>
  <c r="V59" i="14" s="1"/>
  <c r="W59" i="14" s="1"/>
  <c r="O61" i="14"/>
  <c r="V56" i="14"/>
  <c r="O60" i="14"/>
  <c r="O62" i="14"/>
  <c r="S59" i="14"/>
  <c r="S61" i="14"/>
  <c r="S60" i="14"/>
  <c r="S62" i="14"/>
  <c r="Q60" i="14"/>
  <c r="Q62" i="14"/>
  <c r="Q59" i="14"/>
  <c r="Q61" i="14"/>
  <c r="P60" i="14"/>
  <c r="P62" i="14"/>
  <c r="P59" i="14"/>
  <c r="P61" i="14"/>
  <c r="T60" i="14"/>
  <c r="T59" i="14"/>
  <c r="T61" i="14"/>
  <c r="T62" i="14"/>
  <c r="V60" i="14"/>
  <c r="N62" i="14"/>
  <c r="V62" i="14" s="1"/>
  <c r="R62" i="14"/>
  <c r="R60" i="14"/>
  <c r="N61" i="14"/>
  <c r="R61" i="14"/>
  <c r="T13" i="14"/>
  <c r="S13" i="14"/>
  <c r="D43" i="14"/>
  <c r="D44" i="14" s="1"/>
  <c r="H43" i="14"/>
  <c r="H44" i="14" s="1"/>
  <c r="G43" i="14"/>
  <c r="G44" i="14" s="1"/>
  <c r="C40" i="1"/>
  <c r="C34" i="1"/>
  <c r="D34" i="1" s="1"/>
  <c r="P14" i="14"/>
  <c r="Q14" i="14" s="1"/>
  <c r="R14" i="14" s="1"/>
  <c r="S14" i="14" s="1"/>
  <c r="T14" i="14" s="1"/>
  <c r="U14" i="14" s="1"/>
  <c r="I35" i="2"/>
  <c r="J35" i="2"/>
  <c r="K35" i="2"/>
  <c r="I36" i="2"/>
  <c r="J36" i="2"/>
  <c r="K36" i="2"/>
  <c r="J34" i="2"/>
  <c r="K34" i="2"/>
  <c r="I34" i="2"/>
  <c r="M47" i="16" l="1"/>
  <c r="V61" i="14"/>
  <c r="D40" i="1"/>
  <c r="D42" i="1" s="1"/>
  <c r="D36" i="1"/>
  <c r="D35" i="1"/>
  <c r="F46" i="2"/>
  <c r="C46" i="2"/>
  <c r="D41" i="1" l="1"/>
  <c r="B31" i="1"/>
  <c r="B8" i="1"/>
  <c r="C10" i="13"/>
  <c r="I76" i="10"/>
  <c r="I70" i="10"/>
  <c r="C9" i="13" s="1"/>
  <c r="P65" i="10"/>
  <c r="Q65" i="10" s="1"/>
  <c r="R65" i="10" s="1"/>
  <c r="S65" i="10" s="1"/>
  <c r="U65" i="10"/>
  <c r="V65" i="10" s="1"/>
  <c r="W65" i="10" s="1"/>
  <c r="X65" i="10" s="1"/>
  <c r="P66" i="10"/>
  <c r="Q66" i="10" s="1"/>
  <c r="R66" i="10" s="1"/>
  <c r="S66" i="10" s="1"/>
  <c r="U66" i="10"/>
  <c r="V66" i="10" s="1"/>
  <c r="W66" i="10" s="1"/>
  <c r="X66" i="10" s="1"/>
  <c r="P67" i="10"/>
  <c r="Q67" i="10" s="1"/>
  <c r="R67" i="10" s="1"/>
  <c r="S67" i="10" s="1"/>
  <c r="U67" i="10"/>
  <c r="V67" i="10" s="1"/>
  <c r="W67" i="10" s="1"/>
  <c r="X67" i="10" s="1"/>
  <c r="P68" i="10"/>
  <c r="Q68" i="10"/>
  <c r="R68" i="10" s="1"/>
  <c r="S68" i="10" s="1"/>
  <c r="U68" i="10"/>
  <c r="V68" i="10" s="1"/>
  <c r="W68" i="10" s="1"/>
  <c r="X68" i="10" s="1"/>
  <c r="P69" i="10"/>
  <c r="Q69" i="10" s="1"/>
  <c r="R69" i="10" s="1"/>
  <c r="S69" i="10" s="1"/>
  <c r="U69" i="10"/>
  <c r="V69" i="10" s="1"/>
  <c r="W69" i="10" s="1"/>
  <c r="X69" i="10" s="1"/>
  <c r="P72" i="10"/>
  <c r="Q72" i="10" s="1"/>
  <c r="R72" i="10" s="1"/>
  <c r="S72" i="10" s="1"/>
  <c r="U72" i="10"/>
  <c r="V72" i="10" s="1"/>
  <c r="W72" i="10" s="1"/>
  <c r="X72" i="10" s="1"/>
  <c r="P73" i="10"/>
  <c r="Q73" i="10" s="1"/>
  <c r="R73" i="10" s="1"/>
  <c r="S73" i="10" s="1"/>
  <c r="U73" i="10"/>
  <c r="V73" i="10" s="1"/>
  <c r="W73" i="10" s="1"/>
  <c r="X73" i="10" s="1"/>
  <c r="P74" i="10"/>
  <c r="Q74" i="10" s="1"/>
  <c r="R74" i="10" s="1"/>
  <c r="S74" i="10" s="1"/>
  <c r="U74" i="10"/>
  <c r="V74" i="10" s="1"/>
  <c r="W74" i="10" s="1"/>
  <c r="X74" i="10" s="1"/>
  <c r="P75" i="10"/>
  <c r="Q75" i="10" s="1"/>
  <c r="R75" i="10" s="1"/>
  <c r="S75" i="10" s="1"/>
  <c r="U75" i="10"/>
  <c r="V75" i="10" s="1"/>
  <c r="W75" i="10" s="1"/>
  <c r="X75" i="10" s="1"/>
  <c r="U64" i="10"/>
  <c r="V64" i="10" s="1"/>
  <c r="W64" i="10" s="1"/>
  <c r="X64" i="10" s="1"/>
  <c r="P64" i="10"/>
  <c r="Q64" i="10" s="1"/>
  <c r="R64" i="10" s="1"/>
  <c r="S64" i="10" s="1"/>
  <c r="K73" i="10"/>
  <c r="L73" i="10" s="1"/>
  <c r="M73" i="10" s="1"/>
  <c r="N73" i="10" s="1"/>
  <c r="K74" i="10"/>
  <c r="L74" i="10" s="1"/>
  <c r="M74" i="10" s="1"/>
  <c r="N74" i="10" s="1"/>
  <c r="K75" i="10"/>
  <c r="L75" i="10" s="1"/>
  <c r="M75" i="10" s="1"/>
  <c r="N75" i="10" s="1"/>
  <c r="K72" i="10"/>
  <c r="L72" i="10" s="1"/>
  <c r="M72" i="10" s="1"/>
  <c r="N72" i="10" s="1"/>
  <c r="K65" i="10"/>
  <c r="L65" i="10" s="1"/>
  <c r="M65" i="10" s="1"/>
  <c r="N65" i="10" s="1"/>
  <c r="K66" i="10"/>
  <c r="L66" i="10" s="1"/>
  <c r="M66" i="10" s="1"/>
  <c r="N66" i="10" s="1"/>
  <c r="K67" i="10"/>
  <c r="L67" i="10" s="1"/>
  <c r="M67" i="10" s="1"/>
  <c r="N67" i="10" s="1"/>
  <c r="K68" i="10"/>
  <c r="L68" i="10" s="1"/>
  <c r="M68" i="10" s="1"/>
  <c r="N68" i="10" s="1"/>
  <c r="K69" i="10"/>
  <c r="L69" i="10" s="1"/>
  <c r="M69" i="10" s="1"/>
  <c r="N69" i="10" s="1"/>
  <c r="K64" i="10"/>
  <c r="L64" i="10" s="1"/>
  <c r="M64" i="10" s="1"/>
  <c r="N64" i="10" s="1"/>
  <c r="I65" i="9"/>
  <c r="I66" i="9"/>
  <c r="I67" i="9"/>
  <c r="I64" i="9"/>
  <c r="I61" i="9"/>
  <c r="I58" i="9"/>
  <c r="X70" i="10" l="1"/>
  <c r="H9" i="13" s="1"/>
  <c r="S76" i="10"/>
  <c r="F10" i="13" s="1"/>
  <c r="G10" i="13" s="1"/>
  <c r="N76" i="10"/>
  <c r="D10" i="13" s="1"/>
  <c r="E10" i="13" s="1"/>
  <c r="N70" i="10"/>
  <c r="D9" i="13" s="1"/>
  <c r="E9" i="13" s="1"/>
  <c r="X76" i="10"/>
  <c r="H10" i="13" s="1"/>
  <c r="I10" i="13" s="1"/>
  <c r="S70" i="10"/>
  <c r="F9" i="13" s="1"/>
  <c r="G9" i="13" s="1"/>
  <c r="I9" i="13"/>
  <c r="B37" i="1"/>
  <c r="C8" i="1"/>
  <c r="C47" i="9"/>
  <c r="C45" i="9"/>
  <c r="I31" i="10" l="1"/>
  <c r="C6" i="13" s="1"/>
  <c r="P34" i="10"/>
  <c r="Q34" i="10" s="1"/>
  <c r="R34" i="10" s="1"/>
  <c r="U34" i="10"/>
  <c r="V34" i="10" s="1"/>
  <c r="W34" i="10" s="1"/>
  <c r="P35" i="10"/>
  <c r="Q35" i="10" s="1"/>
  <c r="R35" i="10" s="1"/>
  <c r="U35" i="10"/>
  <c r="V35" i="10" s="1"/>
  <c r="W35" i="10" s="1"/>
  <c r="P36" i="10"/>
  <c r="Q36" i="10" s="1"/>
  <c r="R36" i="10" s="1"/>
  <c r="U36" i="10"/>
  <c r="V36" i="10" s="1"/>
  <c r="W36" i="10" s="1"/>
  <c r="P37" i="10"/>
  <c r="Q37" i="10" s="1"/>
  <c r="R37" i="10" s="1"/>
  <c r="U37" i="10"/>
  <c r="V37" i="10" s="1"/>
  <c r="W37" i="10" s="1"/>
  <c r="P38" i="10"/>
  <c r="Q38" i="10"/>
  <c r="R38" i="10" s="1"/>
  <c r="U38" i="10"/>
  <c r="V38" i="10" s="1"/>
  <c r="W38" i="10" s="1"/>
  <c r="P39" i="10"/>
  <c r="Q39" i="10" s="1"/>
  <c r="R39" i="10" s="1"/>
  <c r="U39" i="10"/>
  <c r="V39" i="10" s="1"/>
  <c r="W39" i="10" s="1"/>
  <c r="P40" i="10"/>
  <c r="Q40" i="10" s="1"/>
  <c r="R40" i="10" s="1"/>
  <c r="U40" i="10"/>
  <c r="V40" i="10" s="1"/>
  <c r="W40" i="10" s="1"/>
  <c r="P41" i="10"/>
  <c r="Q41" i="10" s="1"/>
  <c r="R41" i="10" s="1"/>
  <c r="U41" i="10"/>
  <c r="V41" i="10" s="1"/>
  <c r="W41" i="10" s="1"/>
  <c r="P42" i="10"/>
  <c r="Q42" i="10"/>
  <c r="R42" i="10" s="1"/>
  <c r="U42" i="10"/>
  <c r="V42" i="10" s="1"/>
  <c r="W42" i="10" s="1"/>
  <c r="P43" i="10"/>
  <c r="Q43" i="10" s="1"/>
  <c r="R43" i="10" s="1"/>
  <c r="U43" i="10"/>
  <c r="V43" i="10"/>
  <c r="W43" i="10" s="1"/>
  <c r="P44" i="10"/>
  <c r="Q44" i="10" s="1"/>
  <c r="R44" i="10" s="1"/>
  <c r="U44" i="10"/>
  <c r="V44" i="10" s="1"/>
  <c r="W44" i="10" s="1"/>
  <c r="P45" i="10"/>
  <c r="Q45" i="10" s="1"/>
  <c r="R45" i="10" s="1"/>
  <c r="U45" i="10"/>
  <c r="V45" i="10" s="1"/>
  <c r="W45" i="10" s="1"/>
  <c r="P46" i="10"/>
  <c r="Q46" i="10" s="1"/>
  <c r="R46" i="10" s="1"/>
  <c r="U46" i="10"/>
  <c r="V46" i="10" s="1"/>
  <c r="W46" i="10" s="1"/>
  <c r="P47" i="10"/>
  <c r="Q47" i="10" s="1"/>
  <c r="R47" i="10" s="1"/>
  <c r="U47" i="10"/>
  <c r="V47" i="10" s="1"/>
  <c r="W47" i="10" s="1"/>
  <c r="P50" i="10"/>
  <c r="Q50" i="10" s="1"/>
  <c r="R50" i="10" s="1"/>
  <c r="U50" i="10"/>
  <c r="V50" i="10" s="1"/>
  <c r="W50" i="10" s="1"/>
  <c r="P51" i="10"/>
  <c r="Q51" i="10" s="1"/>
  <c r="R51" i="10" s="1"/>
  <c r="U51" i="10"/>
  <c r="V51" i="10" s="1"/>
  <c r="W51" i="10" s="1"/>
  <c r="P52" i="10"/>
  <c r="Q52" i="10" s="1"/>
  <c r="R52" i="10" s="1"/>
  <c r="U52" i="10"/>
  <c r="V52" i="10" s="1"/>
  <c r="W52" i="10" s="1"/>
  <c r="P53" i="10"/>
  <c r="Q53" i="10" s="1"/>
  <c r="R53" i="10" s="1"/>
  <c r="U53" i="10"/>
  <c r="V53" i="10" s="1"/>
  <c r="W53" i="10" s="1"/>
  <c r="P54" i="10"/>
  <c r="Q54" i="10" s="1"/>
  <c r="R54" i="10" s="1"/>
  <c r="U54" i="10"/>
  <c r="V54" i="10" s="1"/>
  <c r="W54" i="10" s="1"/>
  <c r="P55" i="10"/>
  <c r="Q55" i="10" s="1"/>
  <c r="R55" i="10" s="1"/>
  <c r="U55" i="10"/>
  <c r="V55" i="10" s="1"/>
  <c r="W55" i="10" s="1"/>
  <c r="P56" i="10"/>
  <c r="Q56" i="10" s="1"/>
  <c r="R56" i="10" s="1"/>
  <c r="U56" i="10"/>
  <c r="V56" i="10" s="1"/>
  <c r="W56" i="10" s="1"/>
  <c r="P57" i="10"/>
  <c r="Q57" i="10" s="1"/>
  <c r="R57" i="10" s="1"/>
  <c r="U57" i="10"/>
  <c r="V57" i="10" s="1"/>
  <c r="W57" i="10" s="1"/>
  <c r="P58" i="10"/>
  <c r="Q58" i="10" s="1"/>
  <c r="R58" i="10" s="1"/>
  <c r="U58" i="10"/>
  <c r="V58" i="10" s="1"/>
  <c r="W58" i="10" s="1"/>
  <c r="P59" i="10"/>
  <c r="Q59" i="10" s="1"/>
  <c r="R59" i="10" s="1"/>
  <c r="U59" i="10"/>
  <c r="V59" i="10" s="1"/>
  <c r="W59" i="10" s="1"/>
  <c r="P60" i="10"/>
  <c r="Q60" i="10" s="1"/>
  <c r="R60" i="10" s="1"/>
  <c r="U60" i="10"/>
  <c r="V60" i="10" s="1"/>
  <c r="W60" i="10" s="1"/>
  <c r="U33" i="10"/>
  <c r="V33" i="10" s="1"/>
  <c r="W33" i="10" s="1"/>
  <c r="P33" i="10"/>
  <c r="Q33" i="10" s="1"/>
  <c r="R33" i="10" s="1"/>
  <c r="K34" i="10"/>
  <c r="L34" i="10" s="1"/>
  <c r="M34" i="10" s="1"/>
  <c r="K35" i="10"/>
  <c r="L35" i="10" s="1"/>
  <c r="M35" i="10" s="1"/>
  <c r="K36" i="10"/>
  <c r="L36" i="10" s="1"/>
  <c r="M36" i="10" s="1"/>
  <c r="K37" i="10"/>
  <c r="L37" i="10" s="1"/>
  <c r="M37" i="10" s="1"/>
  <c r="K38" i="10"/>
  <c r="L38" i="10" s="1"/>
  <c r="M38" i="10" s="1"/>
  <c r="K39" i="10"/>
  <c r="L39" i="10" s="1"/>
  <c r="M39" i="10" s="1"/>
  <c r="K40" i="10"/>
  <c r="L40" i="10" s="1"/>
  <c r="M40" i="10" s="1"/>
  <c r="K41" i="10"/>
  <c r="L41" i="10" s="1"/>
  <c r="M41" i="10" s="1"/>
  <c r="K42" i="10"/>
  <c r="L42" i="10" s="1"/>
  <c r="M42" i="10" s="1"/>
  <c r="K43" i="10"/>
  <c r="L43" i="10" s="1"/>
  <c r="M43" i="10" s="1"/>
  <c r="K44" i="10"/>
  <c r="L44" i="10" s="1"/>
  <c r="M44" i="10" s="1"/>
  <c r="K45" i="10"/>
  <c r="L45" i="10" s="1"/>
  <c r="M45" i="10" s="1"/>
  <c r="K46" i="10"/>
  <c r="L46" i="10" s="1"/>
  <c r="M46" i="10" s="1"/>
  <c r="K47" i="10"/>
  <c r="L47" i="10" s="1"/>
  <c r="M47" i="10" s="1"/>
  <c r="K50" i="10"/>
  <c r="L50" i="10" s="1"/>
  <c r="M50" i="10" s="1"/>
  <c r="K51" i="10"/>
  <c r="L51" i="10" s="1"/>
  <c r="M51" i="10" s="1"/>
  <c r="K52" i="10"/>
  <c r="L52" i="10" s="1"/>
  <c r="M52" i="10" s="1"/>
  <c r="K53" i="10"/>
  <c r="L53" i="10" s="1"/>
  <c r="M53" i="10" s="1"/>
  <c r="K54" i="10"/>
  <c r="L54" i="10" s="1"/>
  <c r="M54" i="10" s="1"/>
  <c r="K55" i="10"/>
  <c r="L55" i="10" s="1"/>
  <c r="M55" i="10" s="1"/>
  <c r="K56" i="10"/>
  <c r="L56" i="10" s="1"/>
  <c r="M56" i="10" s="1"/>
  <c r="K57" i="10"/>
  <c r="L57" i="10" s="1"/>
  <c r="M57" i="10" s="1"/>
  <c r="K58" i="10"/>
  <c r="L58" i="10" s="1"/>
  <c r="M58" i="10" s="1"/>
  <c r="K59" i="10"/>
  <c r="L59" i="10" s="1"/>
  <c r="M59" i="10" s="1"/>
  <c r="K60" i="10"/>
  <c r="L60" i="10" s="1"/>
  <c r="M60" i="10" s="1"/>
  <c r="K33" i="10"/>
  <c r="L33" i="10" s="1"/>
  <c r="M33" i="10" s="1"/>
  <c r="I60" i="10"/>
  <c r="I59" i="10"/>
  <c r="I58" i="10"/>
  <c r="I57" i="10"/>
  <c r="I56" i="10"/>
  <c r="I55" i="10"/>
  <c r="I54" i="10"/>
  <c r="I53" i="10"/>
  <c r="I52" i="10"/>
  <c r="I51" i="10"/>
  <c r="I50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56" i="9"/>
  <c r="I57" i="9"/>
  <c r="I59" i="9"/>
  <c r="I60" i="9"/>
  <c r="I44" i="9"/>
  <c r="I45" i="9"/>
  <c r="I46" i="9"/>
  <c r="I47" i="9"/>
  <c r="I48" i="9"/>
  <c r="I49" i="9"/>
  <c r="I50" i="9"/>
  <c r="I51" i="9"/>
  <c r="I52" i="9"/>
  <c r="I53" i="9"/>
  <c r="I43" i="9"/>
  <c r="S55" i="10" l="1"/>
  <c r="S34" i="10"/>
  <c r="N38" i="10"/>
  <c r="X58" i="10"/>
  <c r="S44" i="10"/>
  <c r="X36" i="10"/>
  <c r="X56" i="10"/>
  <c r="N43" i="10"/>
  <c r="S52" i="10"/>
  <c r="N60" i="10"/>
  <c r="N56" i="10"/>
  <c r="X35" i="10"/>
  <c r="X60" i="10"/>
  <c r="X59" i="10"/>
  <c r="X46" i="10"/>
  <c r="N39" i="10"/>
  <c r="X47" i="10"/>
  <c r="S47" i="10"/>
  <c r="X43" i="10"/>
  <c r="X39" i="10"/>
  <c r="I48" i="10"/>
  <c r="C7" i="13" s="1"/>
  <c r="N37" i="10"/>
  <c r="S50" i="10"/>
  <c r="S35" i="10"/>
  <c r="N58" i="10"/>
  <c r="N44" i="10"/>
  <c r="N40" i="10"/>
  <c r="N36" i="10"/>
  <c r="X54" i="10"/>
  <c r="X51" i="10"/>
  <c r="X44" i="10"/>
  <c r="S43" i="10"/>
  <c r="X40" i="10"/>
  <c r="S39" i="10"/>
  <c r="N52" i="10"/>
  <c r="X52" i="10"/>
  <c r="I61" i="10"/>
  <c r="C8" i="13" s="1"/>
  <c r="N57" i="10"/>
  <c r="N53" i="10"/>
  <c r="X57" i="10"/>
  <c r="S53" i="10"/>
  <c r="S57" i="10"/>
  <c r="X50" i="10"/>
  <c r="N50" i="10"/>
  <c r="N59" i="10"/>
  <c r="N55" i="10"/>
  <c r="N51" i="10"/>
  <c r="S58" i="10"/>
  <c r="N54" i="10"/>
  <c r="N41" i="10"/>
  <c r="S42" i="10"/>
  <c r="S38" i="10"/>
  <c r="X34" i="10"/>
  <c r="N33" i="10"/>
  <c r="N47" i="10"/>
  <c r="N35" i="10"/>
  <c r="N42" i="10"/>
  <c r="N34" i="10"/>
  <c r="S36" i="10"/>
  <c r="N45" i="10"/>
  <c r="S59" i="10"/>
  <c r="X55" i="10"/>
  <c r="S51" i="10"/>
  <c r="X45" i="10"/>
  <c r="X41" i="10"/>
  <c r="S33" i="10"/>
  <c r="S46" i="10"/>
  <c r="S45" i="10"/>
  <c r="X42" i="10"/>
  <c r="X37" i="10"/>
  <c r="X33" i="10"/>
  <c r="S56" i="10"/>
  <c r="X53" i="10"/>
  <c r="N46" i="10"/>
  <c r="S41" i="10"/>
  <c r="X38" i="10"/>
  <c r="S37" i="10"/>
  <c r="S60" i="10"/>
  <c r="S54" i="10"/>
  <c r="S40" i="10"/>
  <c r="X48" i="10" l="1"/>
  <c r="H7" i="13" s="1"/>
  <c r="I7" i="13" s="1"/>
  <c r="S61" i="10"/>
  <c r="F8" i="13" s="1"/>
  <c r="G8" i="13" s="1"/>
  <c r="N61" i="10"/>
  <c r="D8" i="13" s="1"/>
  <c r="E8" i="13" s="1"/>
  <c r="X61" i="10"/>
  <c r="H8" i="13" s="1"/>
  <c r="I8" i="13" s="1"/>
  <c r="S48" i="10"/>
  <c r="F7" i="13" s="1"/>
  <c r="G7" i="13" s="1"/>
  <c r="N48" i="10"/>
  <c r="O48" i="10" l="1"/>
  <c r="D7" i="13"/>
  <c r="E7" i="13" s="1"/>
  <c r="O61" i="10"/>
  <c r="I27" i="9" l="1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26" i="9"/>
  <c r="J14" i="2" l="1"/>
  <c r="K14" i="2"/>
  <c r="L14" i="2" s="1"/>
  <c r="E16" i="7" l="1"/>
  <c r="E17" i="7"/>
  <c r="E15" i="7"/>
  <c r="E14" i="7"/>
  <c r="E13" i="7"/>
  <c r="E12" i="7"/>
  <c r="D14" i="7"/>
  <c r="D15" i="7"/>
  <c r="D16" i="7"/>
  <c r="D17" i="7"/>
  <c r="D12" i="7"/>
  <c r="D13" i="7"/>
  <c r="U14" i="10"/>
  <c r="V14" i="10" s="1"/>
  <c r="W14" i="10" s="1"/>
  <c r="X14" i="10" s="1"/>
  <c r="U15" i="10"/>
  <c r="V15" i="10" s="1"/>
  <c r="W15" i="10" s="1"/>
  <c r="X15" i="10" s="1"/>
  <c r="U16" i="10"/>
  <c r="V16" i="10" s="1"/>
  <c r="W16" i="10" s="1"/>
  <c r="X16" i="10" s="1"/>
  <c r="U17" i="10"/>
  <c r="V17" i="10" s="1"/>
  <c r="W17" i="10" s="1"/>
  <c r="X17" i="10" s="1"/>
  <c r="U18" i="10"/>
  <c r="V18" i="10" s="1"/>
  <c r="W18" i="10" s="1"/>
  <c r="X18" i="10" s="1"/>
  <c r="U19" i="10"/>
  <c r="V19" i="10" s="1"/>
  <c r="W19" i="10" s="1"/>
  <c r="X19" i="10" s="1"/>
  <c r="U20" i="10"/>
  <c r="V20" i="10" s="1"/>
  <c r="W20" i="10" s="1"/>
  <c r="X20" i="10" s="1"/>
  <c r="U21" i="10"/>
  <c r="V21" i="10" s="1"/>
  <c r="W21" i="10" s="1"/>
  <c r="X21" i="10" s="1"/>
  <c r="U22" i="10"/>
  <c r="V22" i="10" s="1"/>
  <c r="W22" i="10" s="1"/>
  <c r="X22" i="10" s="1"/>
  <c r="U23" i="10"/>
  <c r="V23" i="10" s="1"/>
  <c r="W23" i="10" s="1"/>
  <c r="X23" i="10" s="1"/>
  <c r="U24" i="10"/>
  <c r="V24" i="10" s="1"/>
  <c r="W24" i="10" s="1"/>
  <c r="X24" i="10" s="1"/>
  <c r="U25" i="10"/>
  <c r="V25" i="10" s="1"/>
  <c r="W25" i="10" s="1"/>
  <c r="X25" i="10" s="1"/>
  <c r="U26" i="10"/>
  <c r="V26" i="10" s="1"/>
  <c r="W26" i="10" s="1"/>
  <c r="X26" i="10" s="1"/>
  <c r="U27" i="10"/>
  <c r="V27" i="10" s="1"/>
  <c r="W27" i="10" s="1"/>
  <c r="X27" i="10" s="1"/>
  <c r="U28" i="10"/>
  <c r="V28" i="10" s="1"/>
  <c r="W28" i="10" s="1"/>
  <c r="X28" i="10" s="1"/>
  <c r="U29" i="10"/>
  <c r="V29" i="10" s="1"/>
  <c r="W29" i="10" s="1"/>
  <c r="X29" i="10" s="1"/>
  <c r="U30" i="10"/>
  <c r="V30" i="10" s="1"/>
  <c r="W30" i="10" s="1"/>
  <c r="X30" i="10" s="1"/>
  <c r="U13" i="10"/>
  <c r="V13" i="10" s="1"/>
  <c r="W13" i="10" s="1"/>
  <c r="X13" i="10" s="1"/>
  <c r="F16" i="7"/>
  <c r="F17" i="7" s="1"/>
  <c r="X31" i="10" l="1"/>
  <c r="H6" i="13" s="1"/>
  <c r="I6" i="13" s="1"/>
  <c r="F13" i="7"/>
  <c r="F14" i="7" s="1"/>
  <c r="F12" i="7"/>
  <c r="P14" i="10"/>
  <c r="Q14" i="10" s="1"/>
  <c r="R14" i="10" s="1"/>
  <c r="S14" i="10" s="1"/>
  <c r="P15" i="10"/>
  <c r="Q15" i="10" s="1"/>
  <c r="R15" i="10" s="1"/>
  <c r="S15" i="10" s="1"/>
  <c r="P16" i="10"/>
  <c r="Q16" i="10" s="1"/>
  <c r="R16" i="10" s="1"/>
  <c r="S16" i="10" s="1"/>
  <c r="P17" i="10"/>
  <c r="Q17" i="10" s="1"/>
  <c r="R17" i="10" s="1"/>
  <c r="S17" i="10" s="1"/>
  <c r="P18" i="10"/>
  <c r="Q18" i="10" s="1"/>
  <c r="R18" i="10" s="1"/>
  <c r="S18" i="10" s="1"/>
  <c r="P19" i="10"/>
  <c r="Q19" i="10" s="1"/>
  <c r="R19" i="10" s="1"/>
  <c r="S19" i="10" s="1"/>
  <c r="P20" i="10"/>
  <c r="Q20" i="10" s="1"/>
  <c r="R20" i="10" s="1"/>
  <c r="S20" i="10" s="1"/>
  <c r="P21" i="10"/>
  <c r="Q21" i="10" s="1"/>
  <c r="R21" i="10" s="1"/>
  <c r="S21" i="10" s="1"/>
  <c r="P22" i="10"/>
  <c r="Q22" i="10" s="1"/>
  <c r="R22" i="10" s="1"/>
  <c r="S22" i="10" s="1"/>
  <c r="P23" i="10"/>
  <c r="Q23" i="10" s="1"/>
  <c r="R23" i="10" s="1"/>
  <c r="S23" i="10" s="1"/>
  <c r="P24" i="10"/>
  <c r="Q24" i="10" s="1"/>
  <c r="R24" i="10" s="1"/>
  <c r="S24" i="10" s="1"/>
  <c r="P25" i="10"/>
  <c r="Q25" i="10" s="1"/>
  <c r="R25" i="10" s="1"/>
  <c r="S25" i="10" s="1"/>
  <c r="P26" i="10"/>
  <c r="Q26" i="10" s="1"/>
  <c r="R26" i="10" s="1"/>
  <c r="S26" i="10" s="1"/>
  <c r="P27" i="10"/>
  <c r="Q27" i="10" s="1"/>
  <c r="R27" i="10" s="1"/>
  <c r="S27" i="10" s="1"/>
  <c r="P28" i="10"/>
  <c r="Q28" i="10" s="1"/>
  <c r="R28" i="10" s="1"/>
  <c r="S28" i="10" s="1"/>
  <c r="P29" i="10"/>
  <c r="Q29" i="10" s="1"/>
  <c r="R29" i="10" s="1"/>
  <c r="S29" i="10" s="1"/>
  <c r="P30" i="10"/>
  <c r="Q30" i="10" s="1"/>
  <c r="R30" i="10" s="1"/>
  <c r="S30" i="10" s="1"/>
  <c r="P13" i="10"/>
  <c r="Q13" i="10" s="1"/>
  <c r="R13" i="10" s="1"/>
  <c r="S13" i="10" s="1"/>
  <c r="K30" i="10"/>
  <c r="L30" i="10" s="1"/>
  <c r="M30" i="10" s="1"/>
  <c r="N30" i="10" s="1"/>
  <c r="K29" i="10"/>
  <c r="L29" i="10" s="1"/>
  <c r="M29" i="10" s="1"/>
  <c r="N29" i="10" s="1"/>
  <c r="K28" i="10"/>
  <c r="L28" i="10" s="1"/>
  <c r="M28" i="10" s="1"/>
  <c r="N28" i="10" s="1"/>
  <c r="K27" i="10"/>
  <c r="L27" i="10" s="1"/>
  <c r="M27" i="10" s="1"/>
  <c r="N27" i="10" s="1"/>
  <c r="K26" i="10"/>
  <c r="L26" i="10" s="1"/>
  <c r="M26" i="10" s="1"/>
  <c r="N26" i="10" s="1"/>
  <c r="K25" i="10"/>
  <c r="L25" i="10" s="1"/>
  <c r="M25" i="10" s="1"/>
  <c r="N25" i="10" s="1"/>
  <c r="K24" i="10"/>
  <c r="L24" i="10" s="1"/>
  <c r="M24" i="10" s="1"/>
  <c r="N24" i="10" s="1"/>
  <c r="K23" i="10"/>
  <c r="L23" i="10" s="1"/>
  <c r="M23" i="10" s="1"/>
  <c r="N23" i="10" s="1"/>
  <c r="K22" i="10"/>
  <c r="L22" i="10" s="1"/>
  <c r="M22" i="10" s="1"/>
  <c r="N22" i="10" s="1"/>
  <c r="K21" i="10"/>
  <c r="L21" i="10" s="1"/>
  <c r="M21" i="10" s="1"/>
  <c r="N21" i="10" s="1"/>
  <c r="K20" i="10"/>
  <c r="L20" i="10" s="1"/>
  <c r="M20" i="10" s="1"/>
  <c r="N20" i="10" s="1"/>
  <c r="K19" i="10"/>
  <c r="L19" i="10" s="1"/>
  <c r="M19" i="10" s="1"/>
  <c r="N19" i="10" s="1"/>
  <c r="K18" i="10"/>
  <c r="L18" i="10" s="1"/>
  <c r="M18" i="10" s="1"/>
  <c r="N18" i="10" s="1"/>
  <c r="K17" i="10"/>
  <c r="L17" i="10" s="1"/>
  <c r="M17" i="10" s="1"/>
  <c r="N17" i="10" s="1"/>
  <c r="K16" i="10"/>
  <c r="L16" i="10" s="1"/>
  <c r="M16" i="10" s="1"/>
  <c r="N16" i="10" s="1"/>
  <c r="K15" i="10"/>
  <c r="L15" i="10" s="1"/>
  <c r="M15" i="10" s="1"/>
  <c r="N15" i="10" s="1"/>
  <c r="K14" i="10"/>
  <c r="L14" i="10" s="1"/>
  <c r="M14" i="10" s="1"/>
  <c r="N14" i="10" s="1"/>
  <c r="K13" i="10"/>
  <c r="L13" i="10" s="1"/>
  <c r="M13" i="10" s="1"/>
  <c r="N13" i="10" s="1"/>
  <c r="S31" i="10" l="1"/>
  <c r="F6" i="13" s="1"/>
  <c r="G6" i="13" s="1"/>
  <c r="N31" i="10"/>
  <c r="D6" i="13" s="1"/>
  <c r="E6" i="13" s="1"/>
  <c r="F14" i="1"/>
  <c r="G14" i="1"/>
  <c r="G15" i="1" l="1"/>
  <c r="F15" i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" i="2"/>
  <c r="F3" i="2"/>
  <c r="Q5" i="5"/>
  <c r="R5" i="5" s="1"/>
  <c r="G13" i="1" s="1"/>
  <c r="Q4" i="5"/>
  <c r="R4" i="5" s="1"/>
  <c r="H15" i="1" l="1"/>
  <c r="F13" i="1"/>
  <c r="H13" i="1" s="1"/>
  <c r="I13" i="1" s="1"/>
  <c r="I15" i="1" l="1"/>
  <c r="H14" i="1"/>
  <c r="I14" i="1" s="1"/>
  <c r="I12" i="1"/>
  <c r="C45" i="2"/>
  <c r="C44" i="2"/>
  <c r="C43" i="2"/>
  <c r="C42" i="2"/>
  <c r="I16" i="1" l="1"/>
  <c r="I18" i="1" s="1"/>
  <c r="I19" i="1" s="1"/>
  <c r="C26" i="3"/>
  <c r="C27" i="3" s="1"/>
  <c r="B26" i="3"/>
  <c r="B27" i="3" s="1"/>
  <c r="M18" i="3"/>
  <c r="M17" i="3"/>
  <c r="C17" i="3"/>
  <c r="B17" i="3" s="1"/>
  <c r="M16" i="3"/>
  <c r="C16" i="3"/>
  <c r="G17" i="3" s="1"/>
  <c r="B16" i="3"/>
  <c r="C15" i="3"/>
  <c r="C23" i="3" s="1"/>
  <c r="B15" i="3"/>
  <c r="C14" i="3"/>
  <c r="B14" i="3"/>
  <c r="C11" i="3"/>
  <c r="C12" i="3" s="1"/>
  <c r="C13" i="3" s="1"/>
  <c r="E14" i="3" s="1"/>
  <c r="C10" i="3"/>
  <c r="E10" i="3" s="1"/>
  <c r="D7" i="3"/>
  <c r="C7" i="3"/>
  <c r="C8" i="3" s="1"/>
  <c r="C9" i="3" s="1"/>
  <c r="C4" i="3"/>
  <c r="C5" i="3" s="1"/>
  <c r="C6" i="3" s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K7" i="2"/>
  <c r="J7" i="2"/>
  <c r="C7" i="2"/>
  <c r="C6" i="2"/>
  <c r="C5" i="2"/>
  <c r="C4" i="2"/>
  <c r="C3" i="2"/>
  <c r="C2" i="2"/>
  <c r="L6" i="2"/>
  <c r="J16" i="1" l="1"/>
  <c r="B23" i="3"/>
  <c r="C24" i="3"/>
  <c r="C18" i="3"/>
  <c r="E4" i="3"/>
  <c r="E11" i="3"/>
  <c r="E7" i="3"/>
  <c r="B11" i="3"/>
  <c r="B12" i="3" s="1"/>
  <c r="B13" i="3" s="1"/>
  <c r="H15" i="3"/>
  <c r="C19" i="3" l="1"/>
  <c r="B18" i="3"/>
  <c r="C25" i="3"/>
  <c r="B25" i="3" s="1"/>
  <c r="B24" i="3"/>
  <c r="B19" i="3" l="1"/>
  <c r="C20" i="3"/>
  <c r="C21" i="3" l="1"/>
  <c r="B20" i="3"/>
  <c r="B21" i="3" l="1"/>
  <c r="C22" i="3"/>
  <c r="B22" i="3" s="1"/>
</calcChain>
</file>

<file path=xl/comments1.xml><?xml version="1.0" encoding="utf-8"?>
<comments xmlns="http://schemas.openxmlformats.org/spreadsheetml/2006/main">
  <authors>
    <author>Picciotti, Juan (CRV)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Si buscás el 01-10-18, te va a traer el índice asociado al salario que vas a erogar en noviembre, para pagar octubre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Si buscás 01-10-18, te va a traer el precio que declara el Ministerio de Energía que tenía el combustible en octubre de 2018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Si buscás 01-10-18, te va a traer el Índice que calculamos para octubre 2018, que contempla el precio general mayorista que había al 30 de septiembre, respecto de uno base (may-16)</t>
        </r>
      </text>
    </comment>
  </commentList>
</comments>
</file>

<file path=xl/comments2.xml><?xml version="1.0" encoding="utf-8"?>
<comments xmlns="http://schemas.openxmlformats.org/spreadsheetml/2006/main">
  <authors>
    <author>Picciotti, Juan (CRV)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Iba a ser 9% (respecto de 201904) y a ser aplicado en 201911, pero se le sumó 4,2% adicional y se lo adelantó un mes.</t>
        </r>
      </text>
    </comment>
  </commentList>
</comments>
</file>

<file path=xl/comments3.xml><?xml version="1.0" encoding="utf-8"?>
<comments xmlns="http://schemas.openxmlformats.org/spreadsheetml/2006/main">
  <authors>
    <author>Cordero, Evangelina (Catriel)</author>
    <author>Aruga Wolenberg, Matias (NQN-PIN)</author>
    <author>Picciotti, Juan (CRV)</author>
  </authors>
  <commentList>
    <comment ref="G9" authorId="0" shapeId="0">
      <text>
        <r>
          <rPr>
            <b/>
            <sz val="9"/>
            <color rgb="FF000000"/>
            <rFont val="Tahoma"/>
            <family val="2"/>
          </rPr>
          <t>Cordero, Evangelina (Catriel):</t>
        </r>
        <r>
          <rPr>
            <sz val="9"/>
            <color rgb="FF000000"/>
            <rFont val="Tahoma"/>
            <family val="2"/>
          </rPr>
          <t xml:space="preserve">
SP257</t>
        </r>
      </text>
    </comment>
    <comment ref="F16" authorId="1" shapeId="0">
      <text>
        <r>
          <rPr>
            <b/>
            <sz val="9"/>
            <color rgb="FF000000"/>
            <rFont val="Tahoma"/>
            <family val="2"/>
          </rPr>
          <t>Aruga Wolenberg, Matias (NQN-PIN):</t>
        </r>
        <r>
          <rPr>
            <sz val="9"/>
            <color rgb="FF000000"/>
            <rFont val="Tahoma"/>
            <family val="2"/>
          </rPr>
          <t xml:space="preserve">
SP-251 a PuB-166</t>
        </r>
      </text>
    </comment>
    <comment ref="H45" authorId="2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tarifa usada para la certificación</t>
        </r>
      </text>
    </comment>
  </commentList>
</comments>
</file>

<file path=xl/comments4.xml><?xml version="1.0" encoding="utf-8"?>
<comments xmlns="http://schemas.openxmlformats.org/spreadsheetml/2006/main">
  <authors>
    <author>Cordero, Evangelina (Catriel)</author>
    <author>Aruga Wolenberg, Matias (NQN-PIN)</author>
  </authors>
  <commentList>
    <comment ref="G17" authorId="0" shapeId="0">
      <text>
        <r>
          <rPr>
            <b/>
            <sz val="9"/>
            <color rgb="FF000000"/>
            <rFont val="Tahoma"/>
            <family val="2"/>
          </rPr>
          <t>Cordero, Evangelina (Catriel):</t>
        </r>
        <r>
          <rPr>
            <sz val="9"/>
            <color rgb="FF000000"/>
            <rFont val="Tahoma"/>
            <family val="2"/>
          </rPr>
          <t xml:space="preserve">
SP257</t>
        </r>
      </text>
    </comment>
    <comment ref="F24" authorId="1" shapeId="0">
      <text>
        <r>
          <rPr>
            <b/>
            <sz val="9"/>
            <color rgb="FF000000"/>
            <rFont val="Tahoma"/>
            <family val="2"/>
          </rPr>
          <t>Aruga Wolenberg, Matias (NQN-PIN):</t>
        </r>
        <r>
          <rPr>
            <sz val="9"/>
            <color rgb="FF000000"/>
            <rFont val="Tahoma"/>
            <family val="2"/>
          </rPr>
          <t xml:space="preserve">
SP-251 a PuB-166</t>
        </r>
      </text>
    </comment>
  </commentList>
</comments>
</file>

<file path=xl/sharedStrings.xml><?xml version="1.0" encoding="utf-8"?>
<sst xmlns="http://schemas.openxmlformats.org/spreadsheetml/2006/main" count="502" uniqueCount="194">
  <si>
    <t>Paritaria Petroleros</t>
  </si>
  <si>
    <t>GasOil Grado 2 - Secretaría de Energía</t>
  </si>
  <si>
    <t>IPIM - Indec</t>
  </si>
  <si>
    <t>Localidad</t>
  </si>
  <si>
    <t>Derivado</t>
  </si>
  <si>
    <t>Boca de expendio</t>
  </si>
  <si>
    <t>Dirección</t>
  </si>
  <si>
    <t>Bandera</t>
  </si>
  <si>
    <t>Precio sin impuesto</t>
  </si>
  <si>
    <t>COMODORO RIVADAVIA</t>
  </si>
  <si>
    <t>Gas Oil Grado 2</t>
  </si>
  <si>
    <t>OTAMENDI Y CIA SRL</t>
  </si>
  <si>
    <t>Av. del Libertador Ruta Nº 3</t>
  </si>
  <si>
    <t>YPF</t>
  </si>
  <si>
    <t>Delta</t>
  </si>
  <si>
    <t>Delta ponderado</t>
  </si>
  <si>
    <t>durante el mes anterior hubo un aumento del [%]:</t>
  </si>
  <si>
    <t>Pag. Vieja</t>
  </si>
  <si>
    <t>https://sitioanterior.indec.gob.ar/informesdeprensa_anteriores.asp?id_tema_1=3&amp;id_tema_2=5&amp;id_tema_3=32</t>
  </si>
  <si>
    <t>Pag. Nueva</t>
  </si>
  <si>
    <t>https://www.indec.gob.ar/indec/web/Institucional-Indec-InformesTecnicos-32</t>
  </si>
  <si>
    <t>periodo base</t>
  </si>
  <si>
    <t>periodo actual</t>
  </si>
  <si>
    <t>aumento porcentual entre periodos</t>
  </si>
  <si>
    <t>Herramienta de cálculo:</t>
  </si>
  <si>
    <t>* LOS AUMENTOS DE MANO DE OBRA SE APLICAN AL MISMO MES DE APLICACIÓN EN EL SALARIO *</t>
  </si>
  <si>
    <t>MES</t>
  </si>
  <si>
    <t>INDICADOR</t>
  </si>
  <si>
    <t>AUMENTO CCT</t>
  </si>
  <si>
    <t>art.1 acuerdo 03/05</t>
  </si>
  <si>
    <t>mteyss 2019</t>
  </si>
  <si>
    <t>S/mar-19</t>
  </si>
  <si>
    <t>no acum</t>
  </si>
  <si>
    <t>revisión</t>
  </si>
  <si>
    <t>vig</t>
  </si>
  <si>
    <t>Factores de Ponderación</t>
  </si>
  <si>
    <t>Fijo</t>
  </si>
  <si>
    <t>MO</t>
  </si>
  <si>
    <t>Comb y Lub</t>
  </si>
  <si>
    <t>Insumos</t>
  </si>
  <si>
    <t>Fuente</t>
  </si>
  <si>
    <t>-</t>
  </si>
  <si>
    <t>Total</t>
  </si>
  <si>
    <t>Periodo n</t>
  </si>
  <si>
    <t>Base inicial</t>
  </si>
  <si>
    <t>Publicado a mediados de</t>
  </si>
  <si>
    <t>Fórmula de Ajuste del Contrato de Servicio de Aplicación y Distribución de PQ para YPF Argentina 2019 - 4900040923</t>
  </si>
  <si>
    <t>Los datos debieran ser a mes cerrado.</t>
  </si>
  <si>
    <t>1. Las paritarias son bastante previsibles, con lo cual no hay drama (excepto ajustes retroactivos).</t>
  </si>
  <si>
    <t>2. Se reporta un dato mensual. A modo de ejemplo, el 27 de diciembre, todavía figuraba por último valor disponible el de noviembre</t>
  </si>
  <si>
    <t>3. Se reporta un dato mensual. A mediados de mes, se emite el dato del mes anterior. (ej.: el 16 de diciembre aparece el dato de noviembre).</t>
  </si>
  <si>
    <t>Tomo este dato como que el último día del mes declarado, el combustible valía lo que el dato dice.</t>
  </si>
  <si>
    <t>Tomo este dato como que el último día del mes declarado, el IPIM estaba en el nivel que el dato dice.</t>
  </si>
  <si>
    <t>cierre de período paritario</t>
  </si>
  <si>
    <t>Período</t>
  </si>
  <si>
    <t>Índice</t>
  </si>
  <si>
    <t>Ajustes 2019</t>
  </si>
  <si>
    <t>Ajustes 2018</t>
  </si>
  <si>
    <t>NOTA: Los aumentos de MO se aplican al mismo mes que impactan en el salario</t>
  </si>
  <si>
    <t>Fecha</t>
  </si>
  <si>
    <t>Precio sin impuesto (AR$)</t>
  </si>
  <si>
    <t>Indicador base</t>
  </si>
  <si>
    <t>Indicador de Periodo n</t>
  </si>
  <si>
    <t>Comparame estos dos períodos:</t>
  </si>
  <si>
    <t>Período Base Solicitado</t>
  </si>
  <si>
    <t>Período n Solicitado</t>
  </si>
  <si>
    <t>Índice base may-16</t>
  </si>
  <si>
    <t>&lt;--- ingrese períodos aquí</t>
  </si>
  <si>
    <t>estimados</t>
  </si>
  <si>
    <t>Evolución del Índice Tarifario</t>
  </si>
  <si>
    <t>NQN OESTE</t>
  </si>
  <si>
    <t>De 1 a 50 puntos de dosificación.</t>
  </si>
  <si>
    <t>De 51 a 100 puntos de dosificación</t>
  </si>
  <si>
    <t>De 101 a 200 puntos de dosificación.</t>
  </si>
  <si>
    <t>De 201 a 300 puntos de dosificación.</t>
  </si>
  <si>
    <t>De 301 a 400 puntos de dosificación.</t>
  </si>
  <si>
    <t>Más de 400 puntos de dosificación.</t>
  </si>
  <si>
    <t>Batcheo Baja Presión (hasta 1500 psi)</t>
  </si>
  <si>
    <t>Batcheo Alta Presión (de 1500 a 5000 psi)</t>
  </si>
  <si>
    <t>Montaje de skid dosificador con feeting de inox.</t>
  </si>
  <si>
    <t>Traslado de skid dosificador con feeting de inox.</t>
  </si>
  <si>
    <t>NQN ESTE</t>
  </si>
  <si>
    <t>NOC</t>
  </si>
  <si>
    <t>MZA NORTE</t>
  </si>
  <si>
    <t>CUENCA RIO COLORADO</t>
  </si>
  <si>
    <t>CHU, CS, PT</t>
  </si>
  <si>
    <t>LHS, LP</t>
  </si>
  <si>
    <t>TDF</t>
  </si>
  <si>
    <t>Tarifas del 10-oct-2018</t>
  </si>
  <si>
    <t>Certificaciones</t>
  </si>
  <si>
    <t>Catriel</t>
  </si>
  <si>
    <t>Paso La Barda</t>
  </si>
  <si>
    <t>Tarifa Cobrada</t>
  </si>
  <si>
    <t>Total Cobrado</t>
  </si>
  <si>
    <t>Cantidad</t>
  </si>
  <si>
    <t>Ítem</t>
  </si>
  <si>
    <t>Zona</t>
  </si>
  <si>
    <t>Inicio Período</t>
  </si>
  <si>
    <t>Fin Período</t>
  </si>
  <si>
    <t>Cálculo de Retroactivos</t>
  </si>
  <si>
    <t>Opción 1</t>
  </si>
  <si>
    <t>Datos</t>
  </si>
  <si>
    <t>La tarifa debería haber sido [ARS]</t>
  </si>
  <si>
    <t>Total a Cobrado debería haber sido [ARS]</t>
  </si>
  <si>
    <t>Índice de Tarifa [adim.]</t>
  </si>
  <si>
    <t>Diferencia (Retroactivo) [ARS]</t>
  </si>
  <si>
    <t>Opción 2</t>
  </si>
  <si>
    <t>Tarifa Cobrada (es la de oct-18) [ARS]</t>
  </si>
  <si>
    <t>Total Cobrado [ARS]</t>
  </si>
  <si>
    <t>Opción 3</t>
  </si>
  <si>
    <t>nueva base de cálculo</t>
  </si>
  <si>
    <t>Auxiliar de Cálculo para Opción 3 de la Hoja Retroactivos</t>
  </si>
  <si>
    <r>
      <rPr>
        <b/>
        <sz val="11"/>
        <color theme="1"/>
        <rFont val="Calibri"/>
        <family val="2"/>
        <scheme val="minor"/>
      </rPr>
      <t>Opción 1</t>
    </r>
    <r>
      <rPr>
        <sz val="11"/>
        <color theme="1"/>
        <rFont val="Calibri"/>
        <family val="2"/>
        <scheme val="minor"/>
      </rPr>
      <t>: se ajustan las tarifas de agosto, septiembre y octubre a lo que deberían haber sido. Para noviembre y diciembre, las tarifas se freezan en el valor de octubre.</t>
    </r>
  </si>
  <si>
    <r>
      <rPr>
        <b/>
        <sz val="11"/>
        <color theme="1"/>
        <rFont val="Calibri"/>
        <family val="2"/>
        <scheme val="minor"/>
      </rPr>
      <t>Opción 2</t>
    </r>
    <r>
      <rPr>
        <sz val="11"/>
        <color theme="1"/>
        <rFont val="Calibri"/>
        <family val="2"/>
        <scheme val="minor"/>
      </rPr>
      <t>: se ajustan las tarifas de agosto y octubre a lo que deberían haber sido. La de septiembre se deja igual a la de agosto. Para noviembre y diciembre, las tarifas se freezan en el valor de octubre.</t>
    </r>
  </si>
  <si>
    <r>
      <rPr>
        <b/>
        <sz val="11"/>
        <color theme="1"/>
        <rFont val="Calibri"/>
        <family val="2"/>
        <scheme val="minor"/>
      </rPr>
      <t>Opción 3</t>
    </r>
    <r>
      <rPr>
        <sz val="11"/>
        <color theme="1"/>
        <rFont val="Calibri"/>
        <family val="2"/>
        <scheme val="minor"/>
      </rPr>
      <t>: se ajustan las tarifas a julio 19 y se freezan (solo IPIM y Combustibles) por 6 meses. Los ajustes salariales que hubiera en los 6 meses, sí son considerados.</t>
    </r>
  </si>
  <si>
    <t>Auxiliar de Cálculo para Opción 1 de la Hoja Retroactivos</t>
  </si>
  <si>
    <t>Auxiliar de Cálculo para Opción 2 de la Hoja Retroactivos</t>
  </si>
  <si>
    <t>Las Heras Los Perales</t>
  </si>
  <si>
    <t>Pico Truncado</t>
  </si>
  <si>
    <t>Manatiales Behr</t>
  </si>
  <si>
    <t>Trébol-Escalante-Zona Central</t>
  </si>
  <si>
    <t>Resumen Retroactivos</t>
  </si>
  <si>
    <t>Catriel + La Barda</t>
  </si>
  <si>
    <t>Para Opción 1</t>
  </si>
  <si>
    <t>Para Opción 2</t>
  </si>
  <si>
    <t>Para Opción 3</t>
  </si>
  <si>
    <t>Retroactivo [ARS]</t>
  </si>
  <si>
    <t>LH LP</t>
  </si>
  <si>
    <t>PT</t>
  </si>
  <si>
    <t>ET-ZC-Esc</t>
  </si>
  <si>
    <t>MB</t>
  </si>
  <si>
    <t>POR CONTRATO: Revisión semestral con gatillo del 3%, pero en caso de registrarse un aumento por paritaria, el mismo se reconocerá en ese momento (sólo la MO, todo lo otro se revisa semestralmente).</t>
  </si>
  <si>
    <t>01.10.18 a 31.10.18</t>
  </si>
  <si>
    <t>01.11.18 a 30.11.18</t>
  </si>
  <si>
    <t>01.12.18 a 31.12.18</t>
  </si>
  <si>
    <t>01.01.19 a 31.01.19</t>
  </si>
  <si>
    <t>01.02.19 a 28.02.29</t>
  </si>
  <si>
    <t>01.03.19 a 31.03.19</t>
  </si>
  <si>
    <t>01.04.19 a 30.04.19</t>
  </si>
  <si>
    <t>01.05.19 a 31.05.19</t>
  </si>
  <si>
    <t>01.06.19 a 30.06.19</t>
  </si>
  <si>
    <t>01.07.19 a 31.07.19</t>
  </si>
  <si>
    <t>01.08.19 a 31.08.19</t>
  </si>
  <si>
    <t>01.09.19 a 30.09.19</t>
  </si>
  <si>
    <t>01.10.19 a 31.10.19</t>
  </si>
  <si>
    <t>01.11.18 a 30.11.19</t>
  </si>
  <si>
    <t>01.12.18 a 31.12.19</t>
  </si>
  <si>
    <t>01.01.20 a 31.01.20</t>
  </si>
  <si>
    <t>01.02.20 a 29.02.20</t>
  </si>
  <si>
    <t>01.03.20 a 31.03.20</t>
  </si>
  <si>
    <t>Periodo</t>
  </si>
  <si>
    <t>Validez</t>
  </si>
  <si>
    <t>10/2018</t>
  </si>
  <si>
    <t>COMB</t>
  </si>
  <si>
    <t>IPIM</t>
  </si>
  <si>
    <t>Ajustes paritario Criterios C</t>
  </si>
  <si>
    <t>Criterios de Ajuste Tarifario</t>
  </si>
  <si>
    <r>
      <t xml:space="preserve">Set de Criterios B: </t>
    </r>
    <r>
      <rPr>
        <sz val="11"/>
        <rFont val="Calibri"/>
        <family val="2"/>
        <scheme val="minor"/>
      </rPr>
      <t xml:space="preserve">son los criterios que establece YPF en el mail de Greta Martínez. Ajustan las tarifas en abr-19 a lo que ellos consideran que debería haber sido. Luego ajustan las tarifas en oct-19 pero con un descuento "por las PASO". Se dejan constantes en los meses intermedios y se ignoran completamente ajustes por paritarias intermedios. </t>
    </r>
  </si>
  <si>
    <t>Resultados</t>
  </si>
  <si>
    <t>Criterios A (Inicial BND)</t>
  </si>
  <si>
    <t>Criterios B (Propuesto por YPF)</t>
  </si>
  <si>
    <t>Criterios C (Actual BND)</t>
  </si>
  <si>
    <t>Criterios D (ideal)</t>
  </si>
  <si>
    <t>Total Pagado por YPF [ARS]</t>
  </si>
  <si>
    <t>Total que YPF debería haber Pagado [ARS]</t>
  </si>
  <si>
    <r>
      <t>Set de Criterios A:</t>
    </r>
    <r>
      <rPr>
        <sz val="11"/>
        <rFont val="Calibri"/>
        <family val="2"/>
        <scheme val="minor"/>
      </rPr>
      <t xml:space="preserve"> es el que tomamos inicialmente. Se ajustaron las tarifas a su valor esperado en ago-19, oct-19 y ene-20. Se dejan constantes en los meses intermedios. Al valor que dé el retroactivo hay que restarle el 10% por seguridad.</t>
    </r>
  </si>
  <si>
    <r>
      <t xml:space="preserve">Set de Criterios D: es un </t>
    </r>
    <r>
      <rPr>
        <sz val="11"/>
        <rFont val="Calibri"/>
        <family val="2"/>
        <scheme val="minor"/>
      </rPr>
      <t>ajuste ideal, que sigue las variaciones mes a mes</t>
    </r>
  </si>
  <si>
    <t>está afectado por un 0,9 (había que restarle 10% al total)</t>
  </si>
  <si>
    <t>Diferencia</t>
  </si>
  <si>
    <t>Retroactivo [USD]</t>
  </si>
  <si>
    <t>total por 7 meses</t>
  </si>
  <si>
    <r>
      <t>Set de Criterios C:</t>
    </r>
    <r>
      <rPr>
        <sz val="11"/>
        <rFont val="Calibri"/>
        <family val="2"/>
        <scheme val="minor"/>
      </rPr>
      <t xml:space="preserve"> es el que podríamos retrucar a YPF. Se ajustan las tarifas a su valor esperado en abr-19 y oct-19 sin contemplaciones especiales por el efecto post-PASO. Además, como establece el contrato, se ajustan las tarifas en jun-19 y ene-20, aunque sólo teniendo en cuenta variación de MO. </t>
    </r>
  </si>
  <si>
    <t>Criterios E (BND ajustado a jul19)</t>
  </si>
  <si>
    <t>Declarado hasta el momento</t>
  </si>
  <si>
    <t>Criterios E (BND mar-20)</t>
  </si>
  <si>
    <t>LHLP</t>
  </si>
  <si>
    <t>ZC-ET-Esc</t>
  </si>
  <si>
    <t>Cálculo de cuánto podemos declarar de venta en ene y feb 20, tomando como piso lo propuesto por YPF y considerando lo que ya pusimos como venta de 2019</t>
  </si>
  <si>
    <t>* LHLP</t>
  </si>
  <si>
    <t>* PT</t>
  </si>
  <si>
    <t>* MB</t>
  </si>
  <si>
    <t>* ZC-ET-Esc</t>
  </si>
  <si>
    <t>Declarado hasta el momento - TOTAL</t>
  </si>
  <si>
    <t>Criterios B (Propuesto por YPF) - TOTAL</t>
  </si>
  <si>
    <t>Según CO</t>
  </si>
  <si>
    <t>Multiplicadores de Tarifa</t>
  </si>
  <si>
    <t>a</t>
  </si>
  <si>
    <t>b</t>
  </si>
  <si>
    <t>Según propuesta de YPF</t>
  </si>
  <si>
    <t>Según Carta Oferta</t>
  </si>
  <si>
    <t>Cálculo de Retroactivos [ARS]</t>
  </si>
  <si>
    <t>Total [USD]</t>
  </si>
  <si>
    <t>ANÁLISIS 10/03/2020</t>
  </si>
  <si>
    <t>Cálculos auxiliares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</si>
</sst>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\ #,##0.00;[Red]&quot;$&quot;\ \-#,##0.00"/>
    <numFmt numFmtId="43" formatCode="_ * #,##0.00_ ;_ * \-#,##0.00_ ;_ * &quot;-&quot;??_ ;_ @_ "/>
    <numFmt numFmtId="164" formatCode="0.0"/>
    <numFmt numFmtId="165" formatCode="0_ ;\-0\ "/>
    <numFmt numFmtId="166" formatCode="0.00_ ;\-0.00\ "/>
    <numFmt numFmtId="167" formatCode="0.00000"/>
    <numFmt numFmtId="168" formatCode="0.0000"/>
    <numFmt numFmtId="169" formatCode="0.000%"/>
    <numFmt numFmtId="170" formatCode="#,##0.000"/>
    <numFmt numFmtId="171" formatCode="0.0_ ;\-0.0\ "/>
    <numFmt numFmtId="172" formatCode="0.000"/>
    <numFmt numFmtId="173" formatCode="0.0%"/>
    <numFmt numFmtId="175" formatCode="#,##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Tahoma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FF0000"/>
      <name val="Calibri"/>
      <family val="2"/>
    </font>
    <font>
      <sz val="16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861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 applyFill="0" applyBorder="0"/>
    <xf numFmtId="0" fontId="17" fillId="0" borderId="0"/>
  </cellStyleXfs>
  <cellXfs count="233">
    <xf numFmtId="0" fontId="0" fillId="0" borderId="0" xfId="0"/>
    <xf numFmtId="17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7" fontId="0" fillId="0" borderId="0" xfId="0" applyNumberFormat="1" applyAlignment="1">
      <alignment horizontal="center"/>
    </xf>
    <xf numFmtId="0" fontId="7" fillId="0" borderId="0" xfId="3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0" fillId="4" borderId="7" xfId="0" applyNumberFormat="1" applyFill="1" applyBorder="1" applyAlignment="1">
      <alignment horizontal="center"/>
    </xf>
    <xf numFmtId="14" fontId="0" fillId="4" borderId="8" xfId="0" applyNumberFormat="1" applyFill="1" applyBorder="1" applyAlignment="1">
      <alignment horizontal="center"/>
    </xf>
    <xf numFmtId="0" fontId="4" fillId="0" borderId="0" xfId="0" applyFont="1"/>
    <xf numFmtId="164" fontId="0" fillId="0" borderId="0" xfId="0" applyNumberFormat="1" applyAlignment="1">
      <alignment horizontal="center"/>
    </xf>
    <xf numFmtId="165" fontId="1" fillId="0" borderId="10" xfId="1" applyNumberFormat="1" applyFont="1" applyBorder="1"/>
    <xf numFmtId="166" fontId="1" fillId="0" borderId="11" xfId="1" applyNumberFormat="1" applyFont="1" applyBorder="1"/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165" fontId="1" fillId="0" borderId="3" xfId="1" applyNumberFormat="1" applyFont="1" applyBorder="1"/>
    <xf numFmtId="166" fontId="1" fillId="0" borderId="0" xfId="1" applyNumberFormat="1" applyFont="1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167" fontId="0" fillId="0" borderId="0" xfId="0" applyNumberFormat="1"/>
    <xf numFmtId="0" fontId="2" fillId="0" borderId="0" xfId="0" applyFont="1"/>
    <xf numFmtId="10" fontId="2" fillId="0" borderId="0" xfId="2" applyNumberFormat="1" applyFont="1"/>
    <xf numFmtId="0" fontId="0" fillId="5" borderId="0" xfId="0" applyFill="1" applyBorder="1" applyAlignment="1">
      <alignment horizontal="center"/>
    </xf>
    <xf numFmtId="165" fontId="1" fillId="0" borderId="14" xfId="1" applyNumberFormat="1" applyFont="1" applyBorder="1"/>
    <xf numFmtId="166" fontId="1" fillId="0" borderId="15" xfId="1" applyNumberFormat="1" applyFont="1" applyBorder="1"/>
    <xf numFmtId="2" fontId="0" fillId="0" borderId="15" xfId="0" applyNumberForma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" fillId="0" borderId="15" xfId="0" applyFont="1" applyBorder="1"/>
    <xf numFmtId="0" fontId="0" fillId="0" borderId="2" xfId="0" applyBorder="1"/>
    <xf numFmtId="10" fontId="1" fillId="0" borderId="0" xfId="2" applyNumberFormat="1" applyFont="1"/>
    <xf numFmtId="168" fontId="0" fillId="0" borderId="0" xfId="0" applyNumberFormat="1"/>
    <xf numFmtId="0" fontId="0" fillId="0" borderId="16" xfId="0" applyBorder="1"/>
    <xf numFmtId="165" fontId="1" fillId="0" borderId="0" xfId="1" applyNumberFormat="1" applyFont="1"/>
    <xf numFmtId="166" fontId="1" fillId="0" borderId="0" xfId="1" applyNumberFormat="1" applyFont="1" applyFill="1"/>
    <xf numFmtId="2" fontId="0" fillId="0" borderId="0" xfId="0" applyNumberFormat="1" applyFill="1" applyAlignment="1">
      <alignment horizontal="center"/>
    </xf>
    <xf numFmtId="0" fontId="0" fillId="5" borderId="10" xfId="0" applyFill="1" applyBorder="1"/>
    <xf numFmtId="9" fontId="1" fillId="5" borderId="11" xfId="2" applyFont="1" applyFill="1" applyBorder="1"/>
    <xf numFmtId="9" fontId="1" fillId="0" borderId="11" xfId="2" applyFont="1" applyBorder="1"/>
    <xf numFmtId="17" fontId="0" fillId="0" borderId="11" xfId="0" applyNumberFormat="1" applyBorder="1"/>
    <xf numFmtId="0" fontId="0" fillId="0" borderId="3" xfId="0" applyBorder="1"/>
    <xf numFmtId="9" fontId="1" fillId="0" borderId="0" xfId="2" applyFont="1" applyBorder="1"/>
    <xf numFmtId="17" fontId="0" fillId="0" borderId="0" xfId="0" applyNumberFormat="1" applyBorder="1"/>
    <xf numFmtId="0" fontId="0" fillId="0" borderId="17" xfId="0" applyBorder="1"/>
    <xf numFmtId="0" fontId="0" fillId="4" borderId="0" xfId="0" applyFill="1" applyAlignment="1">
      <alignment horizontal="center"/>
    </xf>
    <xf numFmtId="0" fontId="0" fillId="0" borderId="14" xfId="0" applyBorder="1"/>
    <xf numFmtId="9" fontId="1" fillId="0" borderId="15" xfId="2" applyFont="1" applyBorder="1"/>
    <xf numFmtId="17" fontId="0" fillId="0" borderId="15" xfId="0" applyNumberFormat="1" applyBorder="1"/>
    <xf numFmtId="0" fontId="0" fillId="0" borderId="1" xfId="0" applyBorder="1"/>
    <xf numFmtId="0" fontId="0" fillId="0" borderId="10" xfId="0" applyBorder="1"/>
    <xf numFmtId="17" fontId="0" fillId="0" borderId="12" xfId="0" applyNumberFormat="1" applyBorder="1"/>
    <xf numFmtId="14" fontId="0" fillId="0" borderId="15" xfId="0" applyNumberFormat="1" applyBorder="1"/>
    <xf numFmtId="14" fontId="0" fillId="0" borderId="2" xfId="0" applyNumberFormat="1" applyBorder="1"/>
    <xf numFmtId="0" fontId="0" fillId="6" borderId="0" xfId="0" applyFill="1"/>
    <xf numFmtId="0" fontId="0" fillId="0" borderId="18" xfId="0" applyFont="1" applyBorder="1" applyAlignment="1">
      <alignment horizontal="center"/>
    </xf>
    <xf numFmtId="9" fontId="0" fillId="0" borderId="18" xfId="2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10" fontId="0" fillId="0" borderId="18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0" fontId="0" fillId="0" borderId="18" xfId="0" applyNumberFormat="1" applyFill="1" applyBorder="1" applyAlignment="1">
      <alignment horizontal="center"/>
    </xf>
    <xf numFmtId="10" fontId="8" fillId="0" borderId="18" xfId="0" applyNumberFormat="1" applyFont="1" applyBorder="1" applyAlignment="1">
      <alignment horizontal="center"/>
    </xf>
    <xf numFmtId="170" fontId="6" fillId="3" borderId="0" xfId="0" applyNumberFormat="1" applyFont="1" applyFill="1" applyAlignment="1">
      <alignment horizontal="center" vertical="center" wrapText="1"/>
    </xf>
    <xf numFmtId="165" fontId="1" fillId="0" borderId="0" xfId="1" applyNumberFormat="1" applyFont="1" applyBorder="1"/>
    <xf numFmtId="171" fontId="1" fillId="0" borderId="0" xfId="1" applyNumberFormat="1" applyFont="1" applyBorder="1"/>
    <xf numFmtId="171" fontId="0" fillId="0" borderId="0" xfId="0" applyNumberFormat="1"/>
    <xf numFmtId="171" fontId="1" fillId="0" borderId="0" xfId="1" applyNumberFormat="1" applyFont="1"/>
    <xf numFmtId="166" fontId="1" fillId="0" borderId="0" xfId="1" applyNumberFormat="1" applyFont="1" applyAlignment="1">
      <alignment horizontal="center"/>
    </xf>
    <xf numFmtId="165" fontId="1" fillId="0" borderId="19" xfId="1" applyNumberFormat="1" applyFont="1" applyBorder="1"/>
    <xf numFmtId="2" fontId="0" fillId="0" borderId="19" xfId="0" applyNumberFormat="1" applyBorder="1" applyAlignment="1">
      <alignment horizontal="center"/>
    </xf>
    <xf numFmtId="171" fontId="1" fillId="0" borderId="19" xfId="1" applyNumberFormat="1" applyFont="1" applyBorder="1"/>
    <xf numFmtId="0" fontId="0" fillId="0" borderId="19" xfId="0" applyBorder="1"/>
    <xf numFmtId="17" fontId="0" fillId="0" borderId="18" xfId="0" applyNumberFormat="1" applyBorder="1" applyAlignment="1">
      <alignment horizontal="center"/>
    </xf>
    <xf numFmtId="0" fontId="0" fillId="8" borderId="18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9" borderId="18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172" fontId="0" fillId="0" borderId="18" xfId="0" applyNumberFormat="1" applyBorder="1" applyAlignment="1">
      <alignment horizontal="center"/>
    </xf>
    <xf numFmtId="14" fontId="12" fillId="0" borderId="18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0" fontId="2" fillId="0" borderId="18" xfId="0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3" fillId="0" borderId="0" xfId="0" applyFont="1" applyBorder="1"/>
    <xf numFmtId="0" fontId="14" fillId="0" borderId="0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8" fontId="15" fillId="0" borderId="18" xfId="0" applyNumberFormat="1" applyFont="1" applyBorder="1" applyAlignment="1">
      <alignment horizontal="right" vertical="center"/>
    </xf>
    <xf numFmtId="8" fontId="15" fillId="0" borderId="18" xfId="0" applyNumberFormat="1" applyFont="1" applyBorder="1" applyAlignment="1">
      <alignment vertical="center"/>
    </xf>
    <xf numFmtId="0" fontId="0" fillId="0" borderId="0" xfId="0" applyFont="1"/>
    <xf numFmtId="0" fontId="3" fillId="0" borderId="0" xfId="0" applyFont="1"/>
    <xf numFmtId="4" fontId="20" fillId="0" borderId="18" xfId="5" applyNumberFormat="1" applyFont="1" applyFill="1" applyBorder="1" applyAlignment="1">
      <alignment horizontal="center" vertical="center"/>
    </xf>
    <xf numFmtId="4" fontId="20" fillId="0" borderId="18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8" xfId="0" applyFont="1" applyFill="1" applyBorder="1" applyAlignment="1">
      <alignment horizontal="left"/>
    </xf>
    <xf numFmtId="14" fontId="20" fillId="0" borderId="18" xfId="4" applyNumberFormat="1" applyFont="1" applyFill="1" applyBorder="1" applyAlignment="1">
      <alignment horizontal="center" vertical="center"/>
    </xf>
    <xf numFmtId="17" fontId="20" fillId="0" borderId="18" xfId="4" applyNumberFormat="1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 wrapText="1"/>
    </xf>
    <xf numFmtId="0" fontId="0" fillId="0" borderId="18" xfId="0" applyFont="1" applyBorder="1"/>
    <xf numFmtId="4" fontId="0" fillId="0" borderId="18" xfId="0" applyNumberFormat="1" applyFont="1" applyBorder="1"/>
    <xf numFmtId="0" fontId="3" fillId="10" borderId="18" xfId="0" applyFont="1" applyFill="1" applyBorder="1" applyAlignment="1">
      <alignment horizontal="center" vertical="center" wrapText="1"/>
    </xf>
    <xf numFmtId="166" fontId="1" fillId="0" borderId="0" xfId="1" applyNumberFormat="1" applyFont="1"/>
    <xf numFmtId="0" fontId="0" fillId="10" borderId="18" xfId="0" applyFill="1" applyBorder="1" applyAlignment="1">
      <alignment horizontal="center" vertical="center"/>
    </xf>
    <xf numFmtId="171" fontId="0" fillId="10" borderId="18" xfId="0" applyNumberFormat="1" applyFill="1" applyBorder="1" applyAlignment="1">
      <alignment horizontal="center" vertical="center"/>
    </xf>
    <xf numFmtId="4" fontId="0" fillId="0" borderId="0" xfId="0" applyNumberFormat="1" applyFont="1"/>
    <xf numFmtId="4" fontId="21" fillId="0" borderId="0" xfId="0" applyNumberFormat="1" applyFont="1" applyAlignment="1">
      <alignment horizontal="center" vertical="center"/>
    </xf>
    <xf numFmtId="14" fontId="0" fillId="0" borderId="18" xfId="0" applyNumberFormat="1" applyFont="1" applyBorder="1"/>
    <xf numFmtId="17" fontId="0" fillId="0" borderId="18" xfId="0" applyNumberFormat="1" applyFont="1" applyBorder="1"/>
    <xf numFmtId="0" fontId="0" fillId="0" borderId="18" xfId="0" applyFont="1" applyFill="1" applyBorder="1"/>
    <xf numFmtId="0" fontId="0" fillId="0" borderId="18" xfId="0" applyBorder="1"/>
    <xf numFmtId="17" fontId="0" fillId="0" borderId="18" xfId="0" applyNumberFormat="1" applyBorder="1"/>
    <xf numFmtId="4" fontId="0" fillId="0" borderId="18" xfId="0" applyNumberFormat="1" applyBorder="1"/>
    <xf numFmtId="173" fontId="0" fillId="0" borderId="18" xfId="2" applyNumberFormat="1" applyFont="1" applyBorder="1"/>
    <xf numFmtId="0" fontId="20" fillId="0" borderId="18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22" fillId="0" borderId="18" xfId="0" applyFont="1" applyFill="1" applyBorder="1" applyAlignment="1">
      <alignment vertical="center" wrapText="1"/>
    </xf>
    <xf numFmtId="0" fontId="14" fillId="0" borderId="18" xfId="0" applyFont="1" applyBorder="1" applyAlignment="1">
      <alignment horizontal="center" vertical="center" wrapText="1"/>
    </xf>
    <xf numFmtId="173" fontId="0" fillId="0" borderId="0" xfId="2" applyNumberFormat="1" applyFont="1"/>
    <xf numFmtId="173" fontId="0" fillId="11" borderId="0" xfId="2" applyNumberFormat="1" applyFont="1" applyFill="1"/>
    <xf numFmtId="0" fontId="0" fillId="12" borderId="0" xfId="0" applyFill="1"/>
    <xf numFmtId="14" fontId="23" fillId="0" borderId="18" xfId="0" applyNumberFormat="1" applyFont="1" applyFill="1" applyBorder="1" applyAlignment="1">
      <alignment horizontal="center"/>
    </xf>
    <xf numFmtId="9" fontId="24" fillId="0" borderId="0" xfId="2" applyFont="1" applyFill="1" applyBorder="1" applyAlignment="1">
      <alignment horizontal="center"/>
    </xf>
    <xf numFmtId="17" fontId="24" fillId="0" borderId="0" xfId="0" quotePrefix="1" applyNumberFormat="1" applyFont="1" applyFill="1"/>
    <xf numFmtId="0" fontId="24" fillId="0" borderId="0" xfId="0" applyFont="1" applyFill="1"/>
    <xf numFmtId="17" fontId="24" fillId="0" borderId="0" xfId="0" applyNumberFormat="1" applyFont="1" applyFill="1"/>
    <xf numFmtId="10" fontId="0" fillId="0" borderId="0" xfId="0" applyNumberFormat="1"/>
    <xf numFmtId="172" fontId="0" fillId="0" borderId="0" xfId="0" applyNumberFormat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13" borderId="0" xfId="0" applyFill="1"/>
    <xf numFmtId="0" fontId="0" fillId="14" borderId="0" xfId="0" applyFill="1"/>
    <xf numFmtId="0" fontId="0" fillId="5" borderId="0" xfId="0" applyFill="1"/>
    <xf numFmtId="17" fontId="3" fillId="0" borderId="0" xfId="0" applyNumberFormat="1" applyFont="1" applyAlignment="1">
      <alignment horizontal="center"/>
    </xf>
    <xf numFmtId="0" fontId="9" fillId="0" borderId="0" xfId="0" applyFont="1" applyAlignment="1"/>
    <xf numFmtId="0" fontId="25" fillId="0" borderId="0" xfId="0" applyFont="1" applyAlignment="1">
      <alignment horizontal="left" vertical="center" wrapText="1"/>
    </xf>
    <xf numFmtId="0" fontId="0" fillId="0" borderId="0" xfId="0" applyFill="1"/>
    <xf numFmtId="0" fontId="26" fillId="0" borderId="0" xfId="0" applyFont="1"/>
    <xf numFmtId="0" fontId="26" fillId="0" borderId="0" xfId="0" applyFont="1" applyBorder="1"/>
    <xf numFmtId="17" fontId="26" fillId="0" borderId="0" xfId="0" applyNumberFormat="1" applyFont="1" applyBorder="1"/>
    <xf numFmtId="0" fontId="26" fillId="0" borderId="0" xfId="0" applyFont="1" applyBorder="1" applyAlignment="1">
      <alignment horizontal="center"/>
    </xf>
    <xf numFmtId="10" fontId="26" fillId="0" borderId="0" xfId="2" applyNumberFormat="1" applyFont="1" applyBorder="1" applyAlignment="1">
      <alignment horizontal="center"/>
    </xf>
    <xf numFmtId="10" fontId="26" fillId="0" borderId="0" xfId="0" applyNumberFormat="1" applyFont="1" applyBorder="1" applyAlignment="1">
      <alignment horizontal="center"/>
    </xf>
    <xf numFmtId="168" fontId="26" fillId="0" borderId="0" xfId="0" applyNumberFormat="1" applyFont="1" applyBorder="1" applyAlignment="1">
      <alignment horizontal="center"/>
    </xf>
    <xf numFmtId="14" fontId="0" fillId="0" borderId="0" xfId="0" applyNumberFormat="1" applyFont="1" applyFill="1" applyBorder="1"/>
    <xf numFmtId="17" fontId="0" fillId="0" borderId="0" xfId="0" applyNumberFormat="1" applyFont="1"/>
    <xf numFmtId="0" fontId="0" fillId="0" borderId="0" xfId="0" applyFont="1" applyFill="1" applyBorder="1"/>
    <xf numFmtId="4" fontId="20" fillId="0" borderId="0" xfId="4" applyNumberFormat="1" applyFont="1" applyFill="1" applyBorder="1" applyAlignment="1">
      <alignment horizontal="center" vertical="center"/>
    </xf>
    <xf numFmtId="8" fontId="0" fillId="0" borderId="0" xfId="0" applyNumberFormat="1" applyFont="1"/>
    <xf numFmtId="4" fontId="0" fillId="0" borderId="0" xfId="0" applyNumberFormat="1"/>
    <xf numFmtId="0" fontId="27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3" fontId="8" fillId="0" borderId="0" xfId="0" applyNumberFormat="1" applyFont="1"/>
    <xf numFmtId="0" fontId="3" fillId="0" borderId="18" xfId="0" applyFont="1" applyBorder="1"/>
    <xf numFmtId="17" fontId="3" fillId="0" borderId="18" xfId="0" applyNumberFormat="1" applyFon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3" fillId="0" borderId="18" xfId="0" applyNumberFormat="1" applyFont="1" applyBorder="1"/>
    <xf numFmtId="3" fontId="0" fillId="0" borderId="18" xfId="0" applyNumberFormat="1" applyBorder="1"/>
    <xf numFmtId="0" fontId="0" fillId="12" borderId="18" xfId="0" applyFill="1" applyBorder="1"/>
    <xf numFmtId="3" fontId="8" fillId="0" borderId="18" xfId="0" applyNumberFormat="1" applyFont="1" applyBorder="1"/>
    <xf numFmtId="0" fontId="0" fillId="13" borderId="18" xfId="0" applyFill="1" applyBorder="1"/>
    <xf numFmtId="0" fontId="0" fillId="14" borderId="18" xfId="0" applyFill="1" applyBorder="1"/>
    <xf numFmtId="0" fontId="0" fillId="5" borderId="18" xfId="0" applyFill="1" applyBorder="1"/>
    <xf numFmtId="0" fontId="3" fillId="0" borderId="18" xfId="0" applyFont="1" applyBorder="1" applyAlignment="1">
      <alignment horizontal="center" vertical="center"/>
    </xf>
    <xf numFmtId="17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8" xfId="0" applyFill="1" applyBorder="1"/>
    <xf numFmtId="3" fontId="0" fillId="0" borderId="0" xfId="0" applyNumberFormat="1" applyAlignment="1">
      <alignment horizontal="center"/>
    </xf>
    <xf numFmtId="3" fontId="0" fillId="0" borderId="0" xfId="0" applyNumberFormat="1"/>
    <xf numFmtId="3" fontId="0" fillId="0" borderId="18" xfId="0" applyNumberFormat="1" applyBorder="1" applyAlignment="1">
      <alignment horizontal="center"/>
    </xf>
    <xf numFmtId="0" fontId="3" fillId="15" borderId="18" xfId="0" applyFont="1" applyFill="1" applyBorder="1" applyAlignment="1">
      <alignment horizontal="center" vertical="center"/>
    </xf>
    <xf numFmtId="17" fontId="3" fillId="15" borderId="18" xfId="0" applyNumberFormat="1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Fill="1" applyBorder="1" applyAlignment="1">
      <alignment horizontal="left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4" fillId="0" borderId="0" xfId="0" applyFont="1"/>
    <xf numFmtId="3" fontId="24" fillId="0" borderId="0" xfId="0" applyNumberFormat="1" applyFont="1"/>
    <xf numFmtId="175" fontId="24" fillId="0" borderId="0" xfId="0" applyNumberFormat="1" applyFont="1"/>
    <xf numFmtId="0" fontId="24" fillId="12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/>
    </xf>
    <xf numFmtId="0" fontId="0" fillId="16" borderId="18" xfId="0" applyFill="1" applyBorder="1" applyAlignment="1">
      <alignment horizontal="left" vertical="center"/>
    </xf>
    <xf numFmtId="0" fontId="20" fillId="5" borderId="18" xfId="0" applyFont="1" applyFill="1" applyBorder="1" applyAlignment="1">
      <alignment horizontal="center"/>
    </xf>
    <xf numFmtId="17" fontId="25" fillId="15" borderId="18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13" borderId="18" xfId="0" applyFont="1" applyFill="1" applyBorder="1" applyAlignment="1">
      <alignment horizontal="left" vertical="center"/>
    </xf>
    <xf numFmtId="0" fontId="20" fillId="5" borderId="18" xfId="0" applyFont="1" applyFill="1" applyBorder="1" applyAlignment="1">
      <alignment horizontal="left"/>
    </xf>
    <xf numFmtId="3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5" fillId="0" borderId="0" xfId="0" applyFont="1" applyBorder="1"/>
    <xf numFmtId="3" fontId="20" fillId="0" borderId="0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left" vertical="center"/>
    </xf>
    <xf numFmtId="175" fontId="28" fillId="0" borderId="0" xfId="0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0" fontId="12" fillId="0" borderId="0" xfId="0" applyFont="1"/>
    <xf numFmtId="0" fontId="3" fillId="7" borderId="1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3" fillId="8" borderId="18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6" fillId="0" borderId="0" xfId="0" applyFon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9" fontId="8" fillId="0" borderId="8" xfId="2" applyNumberFormat="1" applyFont="1" applyBorder="1" applyAlignment="1">
      <alignment horizontal="center"/>
    </xf>
    <xf numFmtId="169" fontId="8" fillId="0" borderId="9" xfId="2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 vertical="center" wrapText="1"/>
    </xf>
  </cellXfs>
  <cellStyles count="8">
    <cellStyle name="Hipervínculo" xfId="3" builtinId="8"/>
    <cellStyle name="Millares" xfId="1" builtinId="3"/>
    <cellStyle name="Normal" xfId="0" builtinId="0"/>
    <cellStyle name="Normal 2" xfId="4"/>
    <cellStyle name="Normal 2 2" xfId="7"/>
    <cellStyle name="Normal 3 2" xfId="5"/>
    <cellStyle name="Normal 6" xfId="6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Evolución del</a:t>
            </a:r>
            <a:r>
              <a:rPr lang="es-AR" baseline="0"/>
              <a:t> índice tarifa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'Ajuste Tarifario'!$C$14</c:f>
              <c:strCache>
                <c:ptCount val="1"/>
                <c:pt idx="0">
                  <c:v>Criterios B (Propuesto por YPF)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'Ajuste Tarifario'!$D$11:$U$11</c:f>
              <c:numCache>
                <c:formatCode>mmm\-yy</c:formatCode>
                <c:ptCount val="18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</c:numCache>
            </c:numRef>
          </c:cat>
          <c:val>
            <c:numRef>
              <c:f>'Ajuste Tarifario'!$D$14:$T$14</c:f>
              <c:numCache>
                <c:formatCode>0.000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1.2210000000000001</c:v>
                </c:pt>
                <c:pt idx="7">
                  <c:v>1.2210000000000001</c:v>
                </c:pt>
                <c:pt idx="8">
                  <c:v>1.2210000000000001</c:v>
                </c:pt>
                <c:pt idx="9">
                  <c:v>1.2210000000000001</c:v>
                </c:pt>
                <c:pt idx="10">
                  <c:v>1.2210000000000001</c:v>
                </c:pt>
                <c:pt idx="11">
                  <c:v>1.2210000000000001</c:v>
                </c:pt>
                <c:pt idx="12">
                  <c:v>1.4098887000000002</c:v>
                </c:pt>
                <c:pt idx="13">
                  <c:v>1.4098887000000002</c:v>
                </c:pt>
                <c:pt idx="14">
                  <c:v>1.4098887000000002</c:v>
                </c:pt>
                <c:pt idx="15">
                  <c:v>1.4098887000000002</c:v>
                </c:pt>
                <c:pt idx="16">
                  <c:v>1.4098887000000002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D-45D4-8A84-C55F01EA9598}"/>
            </c:ext>
          </c:extLst>
        </c:ser>
        <c:ser>
          <c:idx val="4"/>
          <c:order val="4"/>
          <c:tx>
            <c:strRef>
              <c:f>'Ajuste Tarifario'!$C$17</c:f>
              <c:strCache>
                <c:ptCount val="1"/>
                <c:pt idx="0">
                  <c:v>Criterios E (BND mar-20)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'Ajuste Tarifario'!$D$17:$T$17</c:f>
              <c:numCache>
                <c:formatCode>0.000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1.3074673767733704</c:v>
                </c:pt>
                <c:pt idx="10">
                  <c:v>1.3074673767733704</c:v>
                </c:pt>
                <c:pt idx="11">
                  <c:v>1.3074673767733704</c:v>
                </c:pt>
                <c:pt idx="12">
                  <c:v>1.3840438767733703</c:v>
                </c:pt>
                <c:pt idx="13">
                  <c:v>1.3840438767733703</c:v>
                </c:pt>
                <c:pt idx="14">
                  <c:v>1.3840438767733703</c:v>
                </c:pt>
                <c:pt idx="15">
                  <c:v>1.6092031546978687</c:v>
                </c:pt>
                <c:pt idx="16">
                  <c:v>1.6092031546978687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487C-A7F2-ACC0BAAA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66960"/>
        <c:axId val="380896040"/>
        <c:extLst>
          <c:ext xmlns:c15="http://schemas.microsoft.com/office/drawing/2012/chart" uri="{02D57815-91ED-43cb-92C2-25804820EDAC}">
            <c15:filteredLine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'Ajuste Tarifario'!$C$13</c15:sqref>
                        </c15:formulaRef>
                      </c:ext>
                    </c:extLst>
                    <c:strCache>
                      <c:ptCount val="1"/>
                      <c:pt idx="0">
                        <c:v>Criterios A (Inicial BND)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solidFill>
                        <a:schemeClr val="bg1">
                          <a:lumMod val="65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'Ajuste Tarifario'!$D$13:$T$13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1.3074673767733704</c:v>
                      </c:pt>
                      <c:pt idx="10">
                        <c:v>1.3072680014126772</c:v>
                      </c:pt>
                      <c:pt idx="11">
                        <c:v>1.3072680014126772</c:v>
                      </c:pt>
                      <c:pt idx="12">
                        <c:v>1.4668686514064861</c:v>
                      </c:pt>
                      <c:pt idx="13">
                        <c:v>1.4668686514064861</c:v>
                      </c:pt>
                      <c:pt idx="14">
                        <c:v>1.4668686514064861</c:v>
                      </c:pt>
                      <c:pt idx="15">
                        <c:v>1.6092031546978691</c:v>
                      </c:pt>
                      <c:pt idx="16">
                        <c:v>1.6092031546978691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FD-45D4-8A84-C55F01EA9598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Tarifario'!$C$15</c15:sqref>
                        </c15:formulaRef>
                      </c:ext>
                    </c:extLst>
                    <c:strCache>
                      <c:ptCount val="1"/>
                      <c:pt idx="0">
                        <c:v>Criterios C (Actual BND)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Tarifario'!$D$11:$U$11</c15:sqref>
                        </c15:formulaRef>
                      </c:ext>
                    </c:extLst>
                    <c:numCache>
                      <c:formatCode>mmm\-yy</c:formatCode>
                      <c:ptCount val="18"/>
                      <c:pt idx="0">
                        <c:v>43374</c:v>
                      </c:pt>
                      <c:pt idx="1">
                        <c:v>43405</c:v>
                      </c:pt>
                      <c:pt idx="2">
                        <c:v>43435</c:v>
                      </c:pt>
                      <c:pt idx="3">
                        <c:v>43466</c:v>
                      </c:pt>
                      <c:pt idx="4">
                        <c:v>43497</c:v>
                      </c:pt>
                      <c:pt idx="5">
                        <c:v>43525</c:v>
                      </c:pt>
                      <c:pt idx="6">
                        <c:v>43556</c:v>
                      </c:pt>
                      <c:pt idx="7">
                        <c:v>43586</c:v>
                      </c:pt>
                      <c:pt idx="8">
                        <c:v>43617</c:v>
                      </c:pt>
                      <c:pt idx="9">
                        <c:v>43647</c:v>
                      </c:pt>
                      <c:pt idx="10">
                        <c:v>43678</c:v>
                      </c:pt>
                      <c:pt idx="11">
                        <c:v>43709</c:v>
                      </c:pt>
                      <c:pt idx="12">
                        <c:v>43739</c:v>
                      </c:pt>
                      <c:pt idx="13">
                        <c:v>43770</c:v>
                      </c:pt>
                      <c:pt idx="14">
                        <c:v>43800</c:v>
                      </c:pt>
                      <c:pt idx="15">
                        <c:v>43831</c:v>
                      </c:pt>
                      <c:pt idx="16">
                        <c:v>43862</c:v>
                      </c:pt>
                      <c:pt idx="17">
                        <c:v>43891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Tarifario'!$D$15:$T$15</c15:sqref>
                        </c15:formulaRef>
                      </c:ext>
                    </c:extLst>
                    <c:numCache>
                      <c:formatCode>0.000</c:formatCode>
                      <c:ptCount val="1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1.1941251178712924</c:v>
                      </c:pt>
                      <c:pt idx="7">
                        <c:v>1.1941251178712924</c:v>
                      </c:pt>
                      <c:pt idx="8">
                        <c:v>1.2521376178712922</c:v>
                      </c:pt>
                      <c:pt idx="9">
                        <c:v>1.2521376178712922</c:v>
                      </c:pt>
                      <c:pt idx="10">
                        <c:v>1.2521376178712922</c:v>
                      </c:pt>
                      <c:pt idx="11">
                        <c:v>1.2521376178712922</c:v>
                      </c:pt>
                      <c:pt idx="12">
                        <c:v>1.4668686514064861</c:v>
                      </c:pt>
                      <c:pt idx="13">
                        <c:v>1.4668686514064861</c:v>
                      </c:pt>
                      <c:pt idx="14">
                        <c:v>1.4668686514064861</c:v>
                      </c:pt>
                      <c:pt idx="15">
                        <c:v>1.5190799014064862</c:v>
                      </c:pt>
                      <c:pt idx="16">
                        <c:v>1.5190799014064862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FD-45D4-8A84-C55F01EA9598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Tarifario'!$C$16</c15:sqref>
                        </c15:formulaRef>
                      </c:ext>
                    </c:extLst>
                    <c:strCache>
                      <c:ptCount val="1"/>
                      <c:pt idx="0">
                        <c:v>Criterios D (ideal)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'Ajuste Tarifario'!$D$16:$S$16</c15:sqref>
                        </c15:formulaRef>
                      </c:ext>
                    </c:extLst>
                    <c:numCache>
                      <c:formatCode>0.000</c:formatCode>
                      <c:ptCount val="16"/>
                      <c:pt idx="0">
                        <c:v>1</c:v>
                      </c:pt>
                      <c:pt idx="1">
                        <c:v>1.0512844996599049</c:v>
                      </c:pt>
                      <c:pt idx="2">
                        <c:v>1.0547233471772095</c:v>
                      </c:pt>
                      <c:pt idx="3">
                        <c:v>1.057770055075741</c:v>
                      </c:pt>
                      <c:pt idx="4">
                        <c:v>1.0987529685682809</c:v>
                      </c:pt>
                      <c:pt idx="5">
                        <c:v>1.1727707773578027</c:v>
                      </c:pt>
                      <c:pt idx="6">
                        <c:v>1.1941251178712924</c:v>
                      </c:pt>
                      <c:pt idx="7">
                        <c:v>1.2149349137146896</c:v>
                      </c:pt>
                      <c:pt idx="8">
                        <c:v>1.2978205223651156</c:v>
                      </c:pt>
                      <c:pt idx="9">
                        <c:v>1.3074673767733704</c:v>
                      </c:pt>
                      <c:pt idx="10">
                        <c:v>1.3072680014126772</c:v>
                      </c:pt>
                      <c:pt idx="11">
                        <c:v>1.3666913761833086</c:v>
                      </c:pt>
                      <c:pt idx="12">
                        <c:v>1.4668686514064861</c:v>
                      </c:pt>
                      <c:pt idx="13">
                        <c:v>1.4951555334652098</c:v>
                      </c:pt>
                      <c:pt idx="14">
                        <c:v>1.5333356064167716</c:v>
                      </c:pt>
                      <c:pt idx="15">
                        <c:v>1.6092031546978687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FD-45D4-8A84-C55F01EA9598}"/>
                  </c:ext>
                </c:extLst>
              </c15:ser>
            </c15:filteredLineSeries>
          </c:ext>
        </c:extLst>
      </c:lineChart>
      <c:dateAx>
        <c:axId val="3860669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0896040"/>
        <c:crosses val="autoZero"/>
        <c:auto val="1"/>
        <c:lblOffset val="100"/>
        <c:baseTimeUnit val="months"/>
      </c:dateAx>
      <c:valAx>
        <c:axId val="380896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606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'Evolución de Tarifa'!$C$2</c:f>
              <c:strCache>
                <c:ptCount val="1"/>
                <c:pt idx="0">
                  <c:v>Evolución del Índice Tarifario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D3-4818-BC97-2518D4AFF641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D3-4818-BC97-2518D4AFF641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3D3-4818-BC97-2518D4AFF6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Tarifa'!$B$3:$B$19</c:f>
              <c:numCache>
                <c:formatCode>mmm\-yy</c:formatCode>
                <c:ptCount val="17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</c:numCache>
            </c:numRef>
          </c:cat>
          <c:val>
            <c:numRef>
              <c:f>'Evolución de Tarifa'!$C$3:$C$19</c:f>
              <c:numCache>
                <c:formatCode>General</c:formatCode>
                <c:ptCount val="17"/>
                <c:pt idx="0">
                  <c:v>100</c:v>
                </c:pt>
                <c:pt idx="1">
                  <c:v>105.13</c:v>
                </c:pt>
                <c:pt idx="2">
                  <c:v>105.47</c:v>
                </c:pt>
                <c:pt idx="3">
                  <c:v>105.78</c:v>
                </c:pt>
                <c:pt idx="4">
                  <c:v>109.88</c:v>
                </c:pt>
                <c:pt idx="5">
                  <c:v>117.28</c:v>
                </c:pt>
                <c:pt idx="6">
                  <c:v>119.41</c:v>
                </c:pt>
                <c:pt idx="7">
                  <c:v>121.49</c:v>
                </c:pt>
                <c:pt idx="8">
                  <c:v>129.78</c:v>
                </c:pt>
                <c:pt idx="9">
                  <c:v>130.75</c:v>
                </c:pt>
                <c:pt idx="10">
                  <c:v>130.72999999999999</c:v>
                </c:pt>
                <c:pt idx="11">
                  <c:v>136.66999999999999</c:v>
                </c:pt>
                <c:pt idx="12">
                  <c:v>146.69</c:v>
                </c:pt>
                <c:pt idx="13">
                  <c:v>149.52000000000001</c:v>
                </c:pt>
                <c:pt idx="14">
                  <c:v>153.03</c:v>
                </c:pt>
                <c:pt idx="15">
                  <c:v>161.11000000000001</c:v>
                </c:pt>
                <c:pt idx="16">
                  <c:v>164.16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D3-4818-BC97-2518D4AFF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'Evolución de Tarifa'!$D$2</c:f>
              <c:strCache>
                <c:ptCount val="1"/>
                <c:pt idx="0">
                  <c:v>Auxiliar de Cálculo para Opción 1 de la Hoja Retroactivos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xVal>
          <c:yVal>
            <c:numRef>
              <c:f>'Evolución de Tarifa'!$D$12:$D$18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136.66999999999999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B3-4720-BB80-4C835179BF2D}"/>
            </c:ext>
          </c:extLst>
        </c:ser>
        <c:ser>
          <c:idx val="1"/>
          <c:order val="1"/>
          <c:tx>
            <c:strRef>
              <c:f>'Evolución de Tarifa'!$E$2</c:f>
              <c:strCache>
                <c:ptCount val="1"/>
                <c:pt idx="0">
                  <c:v>Auxiliar de Cálculo para Opción 2 de la Hoja Retroactivos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xVal>
          <c:yVal>
            <c:numRef>
              <c:f>'Evolución de Tarifa'!$E$12:$E$18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B3-4720-BB80-4C835179BF2D}"/>
            </c:ext>
          </c:extLst>
        </c:ser>
        <c:ser>
          <c:idx val="2"/>
          <c:order val="2"/>
          <c:tx>
            <c:strRef>
              <c:f>'Evolución de Tarifa'!$F$2</c:f>
              <c:strCache>
                <c:ptCount val="1"/>
                <c:pt idx="0">
                  <c:v>Auxiliar de Cálculo para Opción 3 de la Hoja Retroactivos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xVal>
          <c:yVal>
            <c:numRef>
              <c:f>'Evolución de Tarifa'!$F$12:$F$18</c:f>
              <c:numCache>
                <c:formatCode>General</c:formatCode>
                <c:ptCount val="7"/>
                <c:pt idx="0">
                  <c:v>130.75</c:v>
                </c:pt>
                <c:pt idx="1">
                  <c:v>130.75</c:v>
                </c:pt>
                <c:pt idx="2">
                  <c:v>130.75</c:v>
                </c:pt>
                <c:pt idx="3">
                  <c:v>138.4</c:v>
                </c:pt>
                <c:pt idx="4">
                  <c:v>138.4</c:v>
                </c:pt>
                <c:pt idx="5">
                  <c:v>138.4</c:v>
                </c:pt>
                <c:pt idx="6">
                  <c:v>161.11000000000001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3-4720-BB80-4C835179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869352"/>
        <c:axId val="807879520"/>
      </c:scatterChart>
      <c:valAx>
        <c:axId val="807869352"/>
        <c:scaling>
          <c:orientation val="minMax"/>
          <c:min val="436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879520"/>
        <c:crosses val="autoZero"/>
        <c:crossBetween val="midCat"/>
        <c:majorUnit val="30"/>
      </c:valAx>
      <c:valAx>
        <c:axId val="8078795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786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7157900901332566E-2"/>
          <c:y val="0.20264775413711583"/>
          <c:w val="0.89309226813179787"/>
          <c:h val="0.57798328400439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'Cálculo de Retroactivos'!$K$2</c:f>
              <c:strCache>
                <c:ptCount val="1"/>
                <c:pt idx="0">
                  <c:v>Opción 1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FEB1-4707-8D68-99B087585A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cat>
          <c:val>
            <c:numRef>
              <c:f>'Evolución de Tarifa'!$D$12:$D$18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136.66999999999999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B1-4707-8D68-99B08758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7157900901332566E-2"/>
          <c:y val="0.20264775413711583"/>
          <c:w val="0.89309226813179787"/>
          <c:h val="0.57798328400439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'Cálculo de Retroactivos'!$P$2</c:f>
              <c:strCache>
                <c:ptCount val="1"/>
                <c:pt idx="0">
                  <c:v>Opción 2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BF9-4E67-98BD-275C53B54827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BF9-4E67-98BD-275C53B54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cat>
          <c:val>
            <c:numRef>
              <c:f>'Evolución de Tarifa'!$E$12:$E$18</c:f>
              <c:numCache>
                <c:formatCode>General</c:formatCode>
                <c:ptCount val="7"/>
                <c:pt idx="0">
                  <c:v>130.75</c:v>
                </c:pt>
                <c:pt idx="1">
                  <c:v>130.72999999999999</c:v>
                </c:pt>
                <c:pt idx="2">
                  <c:v>130.72999999999999</c:v>
                </c:pt>
                <c:pt idx="3">
                  <c:v>146.69</c:v>
                </c:pt>
                <c:pt idx="4">
                  <c:v>146.69</c:v>
                </c:pt>
                <c:pt idx="5">
                  <c:v>146.69</c:v>
                </c:pt>
                <c:pt idx="6">
                  <c:v>161.11000000000001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9-4E67-98BD-275C53B5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7157900901332566E-2"/>
          <c:y val="0.20264775413711583"/>
          <c:w val="0.89309226813179787"/>
          <c:h val="0.577983284004393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'Cálculo de Retroactivos'!$U$2</c:f>
              <c:strCache>
                <c:ptCount val="1"/>
                <c:pt idx="0">
                  <c:v>Opción 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8A8-49B3-B7A8-3E62B8113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'Evolución de Tarifa'!$B$12:$B$18</c:f>
              <c:numCache>
                <c:formatCode>mmm\-yy</c:formatCode>
                <c:ptCount val="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</c:numCache>
            </c:numRef>
          </c:cat>
          <c:val>
            <c:numRef>
              <c:f>'Evolución de Tarifa'!$F$12:$F$18</c:f>
              <c:numCache>
                <c:formatCode>General</c:formatCode>
                <c:ptCount val="7"/>
                <c:pt idx="0">
                  <c:v>130.75</c:v>
                </c:pt>
                <c:pt idx="1">
                  <c:v>130.75</c:v>
                </c:pt>
                <c:pt idx="2">
                  <c:v>130.75</c:v>
                </c:pt>
                <c:pt idx="3">
                  <c:v>138.4</c:v>
                </c:pt>
                <c:pt idx="4">
                  <c:v>138.4</c:v>
                </c:pt>
                <c:pt idx="5">
                  <c:v>138.4</c:v>
                </c:pt>
                <c:pt idx="6">
                  <c:v>161.11000000000001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8-49B3-B7A8-3E62B811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60623256"/>
        <c:axId val="460623912"/>
      </c:barChart>
      <c:dateAx>
        <c:axId val="4606232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912"/>
        <c:crosses val="autoZero"/>
        <c:auto val="1"/>
        <c:lblOffset val="100"/>
        <c:baseTimeUnit val="months"/>
      </c:dateAx>
      <c:valAx>
        <c:axId val="46062391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06232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C$33" max="30000" page="10" val="7"/>
</file>

<file path=xl/ctrlProps/ctrlProp2.xml><?xml version="1.0" encoding="utf-8"?>
<formControlPr xmlns="http://schemas.microsoft.com/office/spreadsheetml/2009/9/main" objectType="Spin" dx="22" fmlaLink="$C$39" max="30000" page="10" val="19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4</xdr:row>
          <xdr:rowOff>38100</xdr:rowOff>
        </xdr:from>
        <xdr:to>
          <xdr:col>1</xdr:col>
          <xdr:colOff>638175</xdr:colOff>
          <xdr:row>5</xdr:row>
          <xdr:rowOff>152400</xdr:rowOff>
        </xdr:to>
        <xdr:sp macro="" textlink="">
          <xdr:nvSpPr>
            <xdr:cNvPr id="1031" name="Control de número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371475</xdr:colOff>
          <xdr:row>4</xdr:row>
          <xdr:rowOff>38100</xdr:rowOff>
        </xdr:from>
        <xdr:to>
          <xdr:col>2</xdr:col>
          <xdr:colOff>638175</xdr:colOff>
          <xdr:row>5</xdr:row>
          <xdr:rowOff>152400</xdr:rowOff>
        </xdr:to>
        <xdr:sp macro="" textlink="">
          <xdr:nvSpPr>
            <xdr:cNvPr id="1032" name="Control de número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18</xdr:row>
      <xdr:rowOff>0</xdr:rowOff>
    </xdr:from>
    <xdr:to>
      <xdr:col>13</xdr:col>
      <xdr:colOff>400050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2</xdr:row>
      <xdr:rowOff>19050</xdr:rowOff>
    </xdr:from>
    <xdr:to>
      <xdr:col>16</xdr:col>
      <xdr:colOff>681039</xdr:colOff>
      <xdr:row>16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17</xdr:row>
      <xdr:rowOff>85725</xdr:rowOff>
    </xdr:from>
    <xdr:to>
      <xdr:col>13</xdr:col>
      <xdr:colOff>47625</xdr:colOff>
      <xdr:row>31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14</xdr:col>
      <xdr:colOff>9525</xdr:colOff>
      <xdr:row>10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19</xdr:col>
      <xdr:colOff>9525</xdr:colOff>
      <xdr:row>10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24</xdr:col>
      <xdr:colOff>9525</xdr:colOff>
      <xdr:row>10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dec.gob.ar/indec/web/Institucional-Indec-InformesTecnicos-32" TargetMode="External"/><Relationship Id="rId1" Type="http://schemas.openxmlformats.org/officeDocument/2006/relationships/hyperlink" Target="https://sitioanterior.indec.gob.ar/informesdeprensa_anteriores.asp?id_tema_1=3&amp;id_tema_2=5&amp;id_tema_3=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42"/>
  <sheetViews>
    <sheetView zoomScaleNormal="100" workbookViewId="0">
      <selection activeCell="I22" sqref="I22:I24"/>
    </sheetView>
  </sheetViews>
  <sheetFormatPr baseColWidth="10" defaultRowHeight="15" x14ac:dyDescent="0.25"/>
  <cols>
    <col min="1" max="1" width="3.85546875" customWidth="1"/>
    <col min="2" max="3" width="16.140625" bestFit="1" customWidth="1"/>
    <col min="4" max="4" width="34.28515625" bestFit="1" customWidth="1"/>
    <col min="5" max="5" width="2.140625" customWidth="1"/>
    <col min="7" max="7" width="12.28515625" customWidth="1"/>
  </cols>
  <sheetData>
    <row r="2" spans="1:14" ht="36.75" customHeight="1" x14ac:dyDescent="0.25">
      <c r="B2" s="216" t="s">
        <v>46</v>
      </c>
      <c r="C2" s="216"/>
      <c r="D2" s="216"/>
      <c r="E2" s="216"/>
      <c r="F2" s="216"/>
      <c r="G2" s="216"/>
      <c r="H2" s="216"/>
      <c r="I2" s="216"/>
      <c r="J2" s="216"/>
      <c r="K2" s="216"/>
      <c r="L2" s="216"/>
    </row>
    <row r="3" spans="1:14" ht="15" customHeight="1" x14ac:dyDescent="0.25">
      <c r="B3" s="5"/>
      <c r="C3" s="89"/>
      <c r="D3" s="89"/>
      <c r="E3" s="89"/>
      <c r="F3" s="89"/>
      <c r="G3" s="89"/>
      <c r="H3" s="89"/>
      <c r="I3" s="89"/>
    </row>
    <row r="4" spans="1:14" ht="15" customHeight="1" x14ac:dyDescent="0.25">
      <c r="B4" s="83" t="s">
        <v>63</v>
      </c>
      <c r="F4" s="220" t="s">
        <v>131</v>
      </c>
      <c r="G4" s="220"/>
      <c r="H4" s="220"/>
      <c r="I4" s="220"/>
      <c r="J4" s="220"/>
      <c r="K4" s="220"/>
    </row>
    <row r="5" spans="1:14" ht="15" customHeight="1" x14ac:dyDescent="0.25">
      <c r="B5" s="83"/>
      <c r="F5" s="220"/>
      <c r="G5" s="220"/>
      <c r="H5" s="220"/>
      <c r="I5" s="220"/>
      <c r="J5" s="220"/>
      <c r="K5" s="220"/>
    </row>
    <row r="6" spans="1:14" x14ac:dyDescent="0.25">
      <c r="B6" s="82"/>
      <c r="F6" s="220"/>
      <c r="G6" s="220"/>
      <c r="H6" s="220"/>
      <c r="I6" s="220"/>
      <c r="J6" s="220"/>
      <c r="K6" s="220"/>
    </row>
    <row r="7" spans="1:14" x14ac:dyDescent="0.25">
      <c r="B7" s="84" t="s">
        <v>44</v>
      </c>
      <c r="C7" s="84" t="s">
        <v>43</v>
      </c>
      <c r="F7" s="220"/>
      <c r="G7" s="220"/>
      <c r="H7" s="220"/>
      <c r="I7" s="220"/>
      <c r="J7" s="220"/>
      <c r="K7" s="220"/>
    </row>
    <row r="8" spans="1:14" ht="21" x14ac:dyDescent="0.35">
      <c r="B8" s="88">
        <f>DATEVALUE(CONCATENATE("1/",D35,"/",D36))</f>
        <v>43374</v>
      </c>
      <c r="C8" s="88">
        <f>DATEVALUE(CONCATENATE("1/",D41,"/",D42))</f>
        <v>43739</v>
      </c>
      <c r="D8" s="91" t="s">
        <v>67</v>
      </c>
    </row>
    <row r="10" spans="1:14" x14ac:dyDescent="0.25">
      <c r="B10" s="215" t="s">
        <v>35</v>
      </c>
      <c r="C10" s="215"/>
      <c r="D10" s="215" t="s">
        <v>40</v>
      </c>
      <c r="F10" s="219" t="s">
        <v>61</v>
      </c>
      <c r="G10" s="219" t="s">
        <v>62</v>
      </c>
      <c r="H10" s="218" t="s">
        <v>14</v>
      </c>
      <c r="I10" s="219" t="s">
        <v>15</v>
      </c>
    </row>
    <row r="11" spans="1:14" x14ac:dyDescent="0.25">
      <c r="B11" s="215"/>
      <c r="C11" s="215"/>
      <c r="D11" s="215"/>
      <c r="F11" s="219"/>
      <c r="G11" s="219"/>
      <c r="H11" s="218"/>
      <c r="I11" s="219"/>
    </row>
    <row r="12" spans="1:14" x14ac:dyDescent="0.25">
      <c r="A12">
        <v>0</v>
      </c>
      <c r="B12" s="61" t="s">
        <v>36</v>
      </c>
      <c r="C12" s="62">
        <v>0.1</v>
      </c>
      <c r="D12" s="61" t="s">
        <v>41</v>
      </c>
      <c r="E12" s="64"/>
      <c r="F12" s="67">
        <v>0</v>
      </c>
      <c r="G12" s="67">
        <v>0</v>
      </c>
      <c r="H12" s="67">
        <v>0</v>
      </c>
      <c r="I12" s="66">
        <f>C12*H12</f>
        <v>0</v>
      </c>
    </row>
    <row r="13" spans="1:14" x14ac:dyDescent="0.25">
      <c r="A13">
        <v>1</v>
      </c>
      <c r="B13" s="61" t="s">
        <v>37</v>
      </c>
      <c r="C13" s="62">
        <v>0.45</v>
      </c>
      <c r="D13" s="63" t="s">
        <v>0</v>
      </c>
      <c r="E13" s="64"/>
      <c r="F13" s="67">
        <f>VLOOKUP(MO!R4,MO!B5:C29,2,FALSE)</f>
        <v>120</v>
      </c>
      <c r="G13" s="67">
        <f>VLOOKUP(MO!R5,MO!B5:C29,2,FALSE)</f>
        <v>190.59039999999996</v>
      </c>
      <c r="H13" s="66">
        <f>(G13-F13)/F13</f>
        <v>0.58825333333333296</v>
      </c>
      <c r="I13" s="66">
        <f>C13*H13</f>
        <v>0.26471399999999984</v>
      </c>
    </row>
    <row r="14" spans="1:14" x14ac:dyDescent="0.25">
      <c r="A14">
        <v>2</v>
      </c>
      <c r="B14" s="61" t="s">
        <v>38</v>
      </c>
      <c r="C14" s="62">
        <v>0.05</v>
      </c>
      <c r="D14" s="63" t="s">
        <v>1</v>
      </c>
      <c r="E14" s="64"/>
      <c r="F14" s="67">
        <f>VLOOKUP(B8,Combustible!B11:C63,2,FALSE)</f>
        <v>24.992999999999999</v>
      </c>
      <c r="G14" s="67">
        <f>VLOOKUP(C8,Combustible!B11:C63,2,FALSE)</f>
        <v>33.305999999999997</v>
      </c>
      <c r="H14" s="66">
        <f>(G14-F14)/F14</f>
        <v>0.33261313167686951</v>
      </c>
      <c r="I14" s="66">
        <f t="shared" ref="I14:I15" si="0">C14*H14</f>
        <v>1.6630656583843478E-2</v>
      </c>
    </row>
    <row r="15" spans="1:14" x14ac:dyDescent="0.25">
      <c r="A15">
        <v>3</v>
      </c>
      <c r="B15" s="61" t="s">
        <v>39</v>
      </c>
      <c r="C15" s="62">
        <v>0.4</v>
      </c>
      <c r="D15" s="63" t="s">
        <v>2</v>
      </c>
      <c r="E15" s="64"/>
      <c r="F15" s="87">
        <f>VLOOKUP(B8,IPIM!A2:F130,6,FALSE)</f>
        <v>223.23079839776219</v>
      </c>
      <c r="G15" s="87">
        <f>VLOOKUP(C8,IPIM!A2:F130,6,FALSE)</f>
        <v>326.76747211326432</v>
      </c>
      <c r="H15" s="68">
        <f>G15/F15-1</f>
        <v>0.46380998705660703</v>
      </c>
      <c r="I15" s="66">
        <f t="shared" si="0"/>
        <v>0.18552399482264281</v>
      </c>
    </row>
    <row r="16" spans="1:14" ht="15" customHeight="1" x14ac:dyDescent="0.25">
      <c r="F16" s="4"/>
      <c r="G16" s="4"/>
      <c r="H16" s="65" t="s">
        <v>42</v>
      </c>
      <c r="I16" s="69">
        <f>SUM(I12:I15)</f>
        <v>0.46686865140648615</v>
      </c>
      <c r="J16" s="217" t="str">
        <f>CONCATENATE("Interpretación: la tarifa del Período n debería ser ",MROUND(I16,0.0001)*100,"% mayor a la del Período Base ingresado.")</f>
        <v>Interpretación: la tarifa del Período n debería ser 46,69% mayor a la del Período Base ingresado.</v>
      </c>
      <c r="K16" s="217"/>
      <c r="L16" s="217"/>
      <c r="M16" s="217"/>
      <c r="N16" s="90"/>
    </row>
    <row r="17" spans="2:14" x14ac:dyDescent="0.25">
      <c r="J17" s="217"/>
      <c r="K17" s="217"/>
      <c r="L17" s="217"/>
      <c r="M17" s="217"/>
      <c r="N17" s="90"/>
    </row>
    <row r="18" spans="2:14" x14ac:dyDescent="0.25">
      <c r="I18" s="139">
        <f>I16</f>
        <v>0.46686865140648615</v>
      </c>
      <c r="J18" s="90"/>
      <c r="K18" s="90"/>
      <c r="L18" s="90"/>
      <c r="M18" s="90"/>
      <c r="N18" s="90"/>
    </row>
    <row r="19" spans="2:14" x14ac:dyDescent="0.25">
      <c r="I19">
        <f>+I18+1</f>
        <v>1.4668686514064861</v>
      </c>
      <c r="J19" s="90"/>
      <c r="K19" s="90"/>
      <c r="L19" s="90"/>
      <c r="M19" s="90"/>
      <c r="N19" s="90"/>
    </row>
    <row r="22" spans="2:14" x14ac:dyDescent="0.25">
      <c r="I22" s="66">
        <v>0.26471399999999984</v>
      </c>
    </row>
    <row r="23" spans="2:14" x14ac:dyDescent="0.25">
      <c r="I23" s="66">
        <v>1.4508062257432081E-2</v>
      </c>
    </row>
    <row r="24" spans="2:14" x14ac:dyDescent="0.25">
      <c r="I24" s="66">
        <v>0.10482181451593836</v>
      </c>
    </row>
    <row r="25" spans="2:14" x14ac:dyDescent="0.25">
      <c r="I25" s="139">
        <f>SUM(I22:I24)</f>
        <v>0.38404387677337026</v>
      </c>
    </row>
    <row r="26" spans="2:14" x14ac:dyDescent="0.25">
      <c r="I26">
        <f>+I25+1</f>
        <v>1.3840438767733703</v>
      </c>
    </row>
    <row r="31" spans="2:14" ht="21" x14ac:dyDescent="0.35">
      <c r="B31" s="134">
        <f>DATEVALUE(CONCATENATE("1/",D35,"/",D36))</f>
        <v>43374</v>
      </c>
      <c r="C31" s="135">
        <v>0</v>
      </c>
      <c r="D31" s="136" t="s">
        <v>152</v>
      </c>
    </row>
    <row r="32" spans="2:14" x14ac:dyDescent="0.25">
      <c r="B32" s="137"/>
      <c r="C32" s="135">
        <v>0</v>
      </c>
      <c r="D32" s="138">
        <v>43160</v>
      </c>
    </row>
    <row r="33" spans="2:4" x14ac:dyDescent="0.25">
      <c r="B33" s="137"/>
      <c r="C33" s="137">
        <v>7</v>
      </c>
      <c r="D33" s="137"/>
    </row>
    <row r="34" spans="2:4" x14ac:dyDescent="0.25">
      <c r="B34" s="137"/>
      <c r="C34" s="137">
        <f>(C33+3)/12</f>
        <v>0.83333333333333337</v>
      </c>
      <c r="D34" s="137">
        <f>INT(C34-0.001)</f>
        <v>0</v>
      </c>
    </row>
    <row r="35" spans="2:4" x14ac:dyDescent="0.25">
      <c r="B35" s="137"/>
      <c r="C35" s="137"/>
      <c r="D35" s="137">
        <f>MROUND(IF((C34-D34)*12=0,12,(C34-D34)*12),1)</f>
        <v>10</v>
      </c>
    </row>
    <row r="36" spans="2:4" x14ac:dyDescent="0.25">
      <c r="B36" s="137"/>
      <c r="C36" s="137"/>
      <c r="D36" s="137">
        <f>+D34+18</f>
        <v>18</v>
      </c>
    </row>
    <row r="37" spans="2:4" ht="21" x14ac:dyDescent="0.35">
      <c r="B37" s="134">
        <f>DATEVALUE(CONCATENATE("1/",D41,"/",D42))</f>
        <v>43739</v>
      </c>
      <c r="C37" s="137"/>
      <c r="D37" s="137"/>
    </row>
    <row r="38" spans="2:4" x14ac:dyDescent="0.25">
      <c r="B38" s="137"/>
      <c r="C38" s="137"/>
      <c r="D38" s="137"/>
    </row>
    <row r="39" spans="2:4" x14ac:dyDescent="0.25">
      <c r="B39" s="137"/>
      <c r="C39" s="137">
        <v>19</v>
      </c>
      <c r="D39" s="137"/>
    </row>
    <row r="40" spans="2:4" x14ac:dyDescent="0.25">
      <c r="B40" s="137"/>
      <c r="C40" s="137">
        <f>(C39+3)/12</f>
        <v>1.8333333333333333</v>
      </c>
      <c r="D40" s="137">
        <f>INT(C40-0.001)</f>
        <v>1</v>
      </c>
    </row>
    <row r="41" spans="2:4" x14ac:dyDescent="0.25">
      <c r="B41" s="137"/>
      <c r="C41" s="137"/>
      <c r="D41" s="137">
        <f>MROUND(IF((C40-D40)*12=0,12,(C40-D40)*12),1)</f>
        <v>10</v>
      </c>
    </row>
    <row r="42" spans="2:4" x14ac:dyDescent="0.25">
      <c r="B42" s="137"/>
      <c r="C42" s="137"/>
      <c r="D42" s="137">
        <f>+D40+18</f>
        <v>19</v>
      </c>
    </row>
  </sheetData>
  <mergeCells count="9">
    <mergeCell ref="B10:C11"/>
    <mergeCell ref="D10:D11"/>
    <mergeCell ref="B2:L2"/>
    <mergeCell ref="J16:M17"/>
    <mergeCell ref="H10:H11"/>
    <mergeCell ref="I10:I11"/>
    <mergeCell ref="F10:F11"/>
    <mergeCell ref="G10:G11"/>
    <mergeCell ref="F4:K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3" name="Spinner 7">
              <controlPr defaultSize="0" autoPict="0">
                <anchor moveWithCells="1" sizeWithCells="1">
                  <from>
                    <xdr:col>1</xdr:col>
                    <xdr:colOff>371475</xdr:colOff>
                    <xdr:row>4</xdr:row>
                    <xdr:rowOff>38100</xdr:rowOff>
                  </from>
                  <to>
                    <xdr:col>1</xdr:col>
                    <xdr:colOff>638175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4" name="Spinner 8">
              <controlPr defaultSize="0" autoPict="0">
                <anchor moveWithCells="1" sizeWithCells="1">
                  <from>
                    <xdr:col>2</xdr:col>
                    <xdr:colOff>371475</xdr:colOff>
                    <xdr:row>4</xdr:row>
                    <xdr:rowOff>38100</xdr:rowOff>
                  </from>
                  <to>
                    <xdr:col>2</xdr:col>
                    <xdr:colOff>638175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F23" sqref="F23"/>
    </sheetView>
  </sheetViews>
  <sheetFormatPr baseColWidth="10" defaultRowHeight="15" x14ac:dyDescent="0.25"/>
  <cols>
    <col min="3" max="3" width="14" customWidth="1"/>
    <col min="4" max="6" width="19.85546875" customWidth="1"/>
  </cols>
  <sheetData>
    <row r="2" spans="2:6" ht="45" customHeight="1" x14ac:dyDescent="0.25">
      <c r="B2" s="95" t="s">
        <v>54</v>
      </c>
      <c r="C2" s="5" t="s">
        <v>69</v>
      </c>
      <c r="D2" s="5" t="s">
        <v>115</v>
      </c>
      <c r="E2" s="5" t="s">
        <v>116</v>
      </c>
      <c r="F2" s="5" t="s">
        <v>111</v>
      </c>
    </row>
    <row r="3" spans="2:6" x14ac:dyDescent="0.25">
      <c r="B3" s="7">
        <v>43374</v>
      </c>
      <c r="C3" s="4">
        <v>100</v>
      </c>
    </row>
    <row r="4" spans="2:6" x14ac:dyDescent="0.25">
      <c r="B4" s="7">
        <v>43405</v>
      </c>
      <c r="C4" s="4">
        <v>105.13</v>
      </c>
    </row>
    <row r="5" spans="2:6" x14ac:dyDescent="0.25">
      <c r="B5" s="7">
        <v>43435</v>
      </c>
      <c r="C5" s="4">
        <v>105.47</v>
      </c>
    </row>
    <row r="6" spans="2:6" x14ac:dyDescent="0.25">
      <c r="B6" s="7">
        <v>43466</v>
      </c>
      <c r="C6" s="4">
        <v>105.78</v>
      </c>
    </row>
    <row r="7" spans="2:6" x14ac:dyDescent="0.25">
      <c r="B7" s="7">
        <v>43497</v>
      </c>
      <c r="C7" s="4">
        <v>109.88</v>
      </c>
    </row>
    <row r="8" spans="2:6" x14ac:dyDescent="0.25">
      <c r="B8" s="7">
        <v>43525</v>
      </c>
      <c r="C8" s="4">
        <v>117.28</v>
      </c>
    </row>
    <row r="9" spans="2:6" x14ac:dyDescent="0.25">
      <c r="B9" s="7">
        <v>43556</v>
      </c>
      <c r="C9" s="4">
        <v>119.41</v>
      </c>
    </row>
    <row r="10" spans="2:6" x14ac:dyDescent="0.25">
      <c r="B10" s="7">
        <v>43586</v>
      </c>
      <c r="C10" s="4">
        <v>121.49</v>
      </c>
    </row>
    <row r="11" spans="2:6" x14ac:dyDescent="0.25">
      <c r="B11" s="7">
        <v>43617</v>
      </c>
      <c r="C11" s="4">
        <v>129.78</v>
      </c>
    </row>
    <row r="12" spans="2:6" x14ac:dyDescent="0.25">
      <c r="B12" s="7">
        <v>43647</v>
      </c>
      <c r="C12" s="4">
        <v>130.75</v>
      </c>
      <c r="D12" s="4">
        <f t="shared" ref="D12:E17" si="0">IF(MONTH(B12)&lt;11,C12,146.69)</f>
        <v>130.75</v>
      </c>
      <c r="E12" s="4">
        <f t="shared" si="0"/>
        <v>130.75</v>
      </c>
      <c r="F12" s="4">
        <f>C12</f>
        <v>130.75</v>
      </c>
    </row>
    <row r="13" spans="2:6" x14ac:dyDescent="0.25">
      <c r="B13" s="7">
        <v>43678</v>
      </c>
      <c r="C13" s="4">
        <v>130.72999999999999</v>
      </c>
      <c r="D13" s="4">
        <f t="shared" si="0"/>
        <v>130.72999999999999</v>
      </c>
      <c r="E13" s="4">
        <f>D13</f>
        <v>130.72999999999999</v>
      </c>
      <c r="F13" s="4">
        <f>F12</f>
        <v>130.75</v>
      </c>
    </row>
    <row r="14" spans="2:6" x14ac:dyDescent="0.25">
      <c r="B14" s="7">
        <v>43709</v>
      </c>
      <c r="C14" s="4">
        <v>136.66999999999999</v>
      </c>
      <c r="D14" s="4">
        <f>IF(MONTH(B14)&lt;11,C14,146.69)</f>
        <v>136.66999999999999</v>
      </c>
      <c r="E14" s="4">
        <f>E13</f>
        <v>130.72999999999999</v>
      </c>
      <c r="F14" s="4">
        <f>F13</f>
        <v>130.75</v>
      </c>
    </row>
    <row r="15" spans="2:6" x14ac:dyDescent="0.25">
      <c r="B15" s="7">
        <v>43739</v>
      </c>
      <c r="C15" s="4">
        <v>146.69</v>
      </c>
      <c r="D15" s="4">
        <f t="shared" si="0"/>
        <v>146.69</v>
      </c>
      <c r="E15" s="4">
        <f>D15</f>
        <v>146.69</v>
      </c>
      <c r="F15" s="4">
        <v>138.4</v>
      </c>
    </row>
    <row r="16" spans="2:6" x14ac:dyDescent="0.25">
      <c r="B16" s="7">
        <v>43770</v>
      </c>
      <c r="C16" s="4">
        <v>149.52000000000001</v>
      </c>
      <c r="D16" s="4">
        <f t="shared" si="0"/>
        <v>146.69</v>
      </c>
      <c r="E16" s="4">
        <f t="shared" ref="E16:E17" si="1">D16</f>
        <v>146.69</v>
      </c>
      <c r="F16" s="4">
        <f>F15</f>
        <v>138.4</v>
      </c>
    </row>
    <row r="17" spans="1:6" x14ac:dyDescent="0.25">
      <c r="A17" s="228" t="s">
        <v>68</v>
      </c>
      <c r="B17" s="93">
        <v>43800</v>
      </c>
      <c r="C17" s="94">
        <v>153.03</v>
      </c>
      <c r="D17" s="4">
        <f t="shared" si="0"/>
        <v>146.69</v>
      </c>
      <c r="E17" s="4">
        <f t="shared" si="1"/>
        <v>146.69</v>
      </c>
      <c r="F17" s="4">
        <f>F16</f>
        <v>138.4</v>
      </c>
    </row>
    <row r="18" spans="1:6" x14ac:dyDescent="0.25">
      <c r="A18" s="228"/>
      <c r="B18" s="93">
        <v>43831</v>
      </c>
      <c r="C18" s="94">
        <v>161.11000000000001</v>
      </c>
      <c r="D18" s="94">
        <v>161.11000000000001</v>
      </c>
      <c r="E18" s="94">
        <v>161.11000000000001</v>
      </c>
      <c r="F18" s="94">
        <v>161.11000000000001</v>
      </c>
    </row>
    <row r="19" spans="1:6" x14ac:dyDescent="0.25">
      <c r="A19" s="228"/>
      <c r="B19" s="93">
        <v>43862</v>
      </c>
      <c r="C19" s="94">
        <v>164.16</v>
      </c>
      <c r="E19" s="28"/>
      <c r="F19" s="28"/>
    </row>
  </sheetData>
  <mergeCells count="1">
    <mergeCell ref="A17:A1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abSelected="1" topLeftCell="B1" zoomScale="85" zoomScaleNormal="85" workbookViewId="0">
      <selection activeCell="B14" sqref="B14"/>
    </sheetView>
  </sheetViews>
  <sheetFormatPr baseColWidth="10" defaultRowHeight="15" x14ac:dyDescent="0.25"/>
  <cols>
    <col min="2" max="2" width="41" customWidth="1"/>
    <col min="7" max="7" width="13" customWidth="1"/>
  </cols>
  <sheetData>
    <row r="2" spans="1:10" ht="30" customHeight="1" x14ac:dyDescent="0.25">
      <c r="B2" s="129" t="s">
        <v>88</v>
      </c>
      <c r="C2" s="130" t="s">
        <v>70</v>
      </c>
      <c r="D2" s="130" t="s">
        <v>81</v>
      </c>
      <c r="E2" s="130" t="s">
        <v>82</v>
      </c>
      <c r="F2" s="130" t="s">
        <v>83</v>
      </c>
      <c r="G2" s="130" t="s">
        <v>84</v>
      </c>
      <c r="H2" s="130" t="s">
        <v>85</v>
      </c>
      <c r="I2" s="130" t="s">
        <v>86</v>
      </c>
      <c r="J2" s="130" t="s">
        <v>87</v>
      </c>
    </row>
    <row r="3" spans="1:10" x14ac:dyDescent="0.25">
      <c r="B3" s="99" t="s">
        <v>71</v>
      </c>
      <c r="C3" s="100">
        <v>9466</v>
      </c>
      <c r="D3" s="100">
        <v>8561</v>
      </c>
      <c r="E3" s="100">
        <v>9270</v>
      </c>
      <c r="F3" s="100">
        <v>7970</v>
      </c>
      <c r="G3" s="101">
        <v>10350</v>
      </c>
      <c r="H3" s="100">
        <v>10024</v>
      </c>
      <c r="I3" s="100">
        <v>10261</v>
      </c>
      <c r="J3" s="100">
        <v>12893</v>
      </c>
    </row>
    <row r="4" spans="1:10" x14ac:dyDescent="0.25">
      <c r="B4" s="99" t="s">
        <v>72</v>
      </c>
      <c r="C4" s="100">
        <v>9466</v>
      </c>
      <c r="D4" s="100">
        <v>8561</v>
      </c>
      <c r="E4" s="100">
        <v>9270</v>
      </c>
      <c r="F4" s="100">
        <v>7970</v>
      </c>
      <c r="G4" s="101">
        <v>10350</v>
      </c>
      <c r="H4" s="100">
        <v>10024</v>
      </c>
      <c r="I4" s="100">
        <v>10261</v>
      </c>
      <c r="J4" s="100">
        <v>12893</v>
      </c>
    </row>
    <row r="5" spans="1:10" x14ac:dyDescent="0.25">
      <c r="B5" s="99" t="s">
        <v>73</v>
      </c>
      <c r="C5" s="100">
        <v>7929</v>
      </c>
      <c r="D5" s="100">
        <v>7348</v>
      </c>
      <c r="E5" s="100">
        <v>7692</v>
      </c>
      <c r="F5" s="100">
        <v>6664</v>
      </c>
      <c r="G5" s="101">
        <v>8727</v>
      </c>
      <c r="H5" s="100">
        <v>8391</v>
      </c>
      <c r="I5" s="100">
        <v>8551</v>
      </c>
      <c r="J5" s="100">
        <v>10317</v>
      </c>
    </row>
    <row r="6" spans="1:10" x14ac:dyDescent="0.25">
      <c r="B6" s="99" t="s">
        <v>74</v>
      </c>
      <c r="C6" s="100">
        <v>6641</v>
      </c>
      <c r="D6" s="100">
        <v>6307</v>
      </c>
      <c r="E6" s="100">
        <v>6383</v>
      </c>
      <c r="F6" s="100">
        <v>5572</v>
      </c>
      <c r="G6" s="101">
        <v>7359</v>
      </c>
      <c r="H6" s="100">
        <v>7025</v>
      </c>
      <c r="I6" s="100">
        <v>7125</v>
      </c>
      <c r="J6" s="100">
        <v>8255</v>
      </c>
    </row>
    <row r="7" spans="1:10" x14ac:dyDescent="0.25">
      <c r="B7" s="99" t="s">
        <v>75</v>
      </c>
      <c r="C7" s="100">
        <v>5563</v>
      </c>
      <c r="D7" s="100">
        <v>5414</v>
      </c>
      <c r="E7" s="100">
        <v>5297</v>
      </c>
      <c r="F7" s="100">
        <v>4659</v>
      </c>
      <c r="G7" s="101">
        <v>6206</v>
      </c>
      <c r="H7" s="100">
        <v>5881</v>
      </c>
      <c r="I7" s="100">
        <v>5937</v>
      </c>
      <c r="J7" s="100">
        <v>6605</v>
      </c>
    </row>
    <row r="8" spans="1:10" x14ac:dyDescent="0.25">
      <c r="B8" s="99" t="s">
        <v>76</v>
      </c>
      <c r="C8" s="100">
        <v>5284</v>
      </c>
      <c r="D8" s="100">
        <v>5143</v>
      </c>
      <c r="E8" s="100">
        <v>5032</v>
      </c>
      <c r="F8" s="100">
        <v>4426</v>
      </c>
      <c r="G8" s="101">
        <v>5895</v>
      </c>
      <c r="H8" s="100">
        <v>5586</v>
      </c>
      <c r="I8" s="100">
        <v>5640</v>
      </c>
      <c r="J8" s="100">
        <v>6275</v>
      </c>
    </row>
    <row r="9" spans="1:10" x14ac:dyDescent="0.25">
      <c r="B9" s="99" t="s">
        <v>77</v>
      </c>
      <c r="C9" s="100">
        <v>2204</v>
      </c>
      <c r="D9" s="100">
        <v>2166</v>
      </c>
      <c r="E9" s="100">
        <v>2142</v>
      </c>
      <c r="F9" s="100">
        <v>939</v>
      </c>
      <c r="G9" s="101">
        <v>1192</v>
      </c>
      <c r="H9" s="100">
        <v>1557</v>
      </c>
      <c r="I9" s="100">
        <v>2313</v>
      </c>
      <c r="J9" s="100">
        <v>3191</v>
      </c>
    </row>
    <row r="10" spans="1:10" x14ac:dyDescent="0.25">
      <c r="B10" s="99" t="s">
        <v>78</v>
      </c>
      <c r="C10" s="100">
        <v>7324</v>
      </c>
      <c r="D10" s="100">
        <v>7247</v>
      </c>
      <c r="E10" s="100">
        <v>7201</v>
      </c>
      <c r="F10" s="100">
        <v>6671</v>
      </c>
      <c r="G10" s="101">
        <v>7682</v>
      </c>
      <c r="H10" s="100">
        <v>7588</v>
      </c>
      <c r="I10" s="100">
        <v>7542</v>
      </c>
      <c r="J10" s="100">
        <v>9122</v>
      </c>
    </row>
    <row r="11" spans="1:10" x14ac:dyDescent="0.25">
      <c r="B11" s="99" t="s">
        <v>79</v>
      </c>
      <c r="C11" s="100">
        <v>17292</v>
      </c>
      <c r="D11" s="100">
        <v>18783</v>
      </c>
      <c r="E11" s="100">
        <v>17888</v>
      </c>
      <c r="F11" s="100">
        <v>18368</v>
      </c>
      <c r="G11" s="101">
        <v>20359</v>
      </c>
      <c r="H11" s="100">
        <v>19582</v>
      </c>
      <c r="I11" s="100">
        <v>19649</v>
      </c>
      <c r="J11" s="100">
        <v>24083</v>
      </c>
    </row>
    <row r="12" spans="1:10" x14ac:dyDescent="0.25">
      <c r="B12" s="99" t="s">
        <v>80</v>
      </c>
      <c r="C12" s="100">
        <v>7432</v>
      </c>
      <c r="D12" s="100">
        <v>7070</v>
      </c>
      <c r="E12" s="100">
        <v>7101</v>
      </c>
      <c r="F12" s="100">
        <v>6655</v>
      </c>
      <c r="G12" s="101">
        <v>8646</v>
      </c>
      <c r="H12" s="100">
        <v>7868</v>
      </c>
      <c r="I12" s="100">
        <v>7936</v>
      </c>
      <c r="J12" s="100">
        <v>9225</v>
      </c>
    </row>
    <row r="13" spans="1:10" x14ac:dyDescent="0.25">
      <c r="A13" s="25"/>
      <c r="B13" s="96"/>
      <c r="C13" s="25"/>
      <c r="D13" s="25"/>
      <c r="E13" s="25"/>
    </row>
    <row r="14" spans="1:10" x14ac:dyDescent="0.25">
      <c r="A14" s="25"/>
      <c r="B14" s="96"/>
      <c r="C14" s="25"/>
      <c r="D14" s="25"/>
      <c r="E14" s="25"/>
    </row>
    <row r="15" spans="1:10" x14ac:dyDescent="0.25">
      <c r="A15" s="25"/>
      <c r="B15" s="97"/>
      <c r="C15" s="25"/>
      <c r="D15" s="25"/>
      <c r="E15" s="25"/>
    </row>
    <row r="16" spans="1:10" x14ac:dyDescent="0.25">
      <c r="A16" s="25"/>
      <c r="B16" s="98"/>
      <c r="C16" s="25"/>
      <c r="D16" s="25"/>
      <c r="E16" s="25"/>
    </row>
    <row r="17" spans="1:5" x14ac:dyDescent="0.25">
      <c r="A17" s="25"/>
      <c r="B17" s="98"/>
      <c r="C17" s="25"/>
      <c r="D17" s="25"/>
      <c r="E17" s="25"/>
    </row>
    <row r="18" spans="1:5" x14ac:dyDescent="0.25">
      <c r="A18" s="25"/>
      <c r="B18" s="98"/>
      <c r="C18" s="25"/>
      <c r="D18" s="25"/>
      <c r="E18" s="25"/>
    </row>
    <row r="19" spans="1:5" x14ac:dyDescent="0.25">
      <c r="A19" s="25"/>
      <c r="B19" s="98"/>
      <c r="C19" s="25"/>
      <c r="D19" s="25"/>
      <c r="E19" s="25"/>
    </row>
    <row r="20" spans="1:5" x14ac:dyDescent="0.25">
      <c r="A20" s="25"/>
      <c r="B20" s="98"/>
      <c r="C20" s="25"/>
      <c r="D20" s="25"/>
      <c r="E20" s="25"/>
    </row>
    <row r="21" spans="1:5" x14ac:dyDescent="0.25">
      <c r="A21" s="25"/>
      <c r="B21" s="98"/>
      <c r="C21" s="25"/>
      <c r="D21" s="25"/>
      <c r="E21" s="25"/>
    </row>
    <row r="22" spans="1:5" x14ac:dyDescent="0.25">
      <c r="A22" s="25"/>
      <c r="B22" s="98"/>
      <c r="C22" s="25"/>
      <c r="D22" s="25"/>
      <c r="E22" s="25"/>
    </row>
    <row r="23" spans="1:5" x14ac:dyDescent="0.25">
      <c r="A23" s="25"/>
      <c r="B23" s="98"/>
      <c r="C23" s="25"/>
      <c r="D23" s="25"/>
      <c r="E23" s="25"/>
    </row>
    <row r="24" spans="1:5" x14ac:dyDescent="0.25">
      <c r="A24" s="25"/>
      <c r="B24" s="98"/>
      <c r="C24" s="25"/>
      <c r="D24" s="25"/>
      <c r="E24" s="25"/>
    </row>
    <row r="25" spans="1:5" x14ac:dyDescent="0.25">
      <c r="A25" s="25"/>
      <c r="B25" s="98"/>
      <c r="C25" s="25"/>
      <c r="D25" s="25"/>
      <c r="E25" s="25"/>
    </row>
    <row r="26" spans="1:5" x14ac:dyDescent="0.25">
      <c r="A26" s="25"/>
      <c r="B26" s="96"/>
      <c r="C26" s="25"/>
      <c r="D26" s="25"/>
      <c r="E26" s="25"/>
    </row>
    <row r="27" spans="1:5" x14ac:dyDescent="0.25">
      <c r="A27" s="25"/>
      <c r="B27" s="96"/>
      <c r="C27" s="25"/>
      <c r="D27" s="25"/>
      <c r="E27" s="25"/>
    </row>
    <row r="28" spans="1:5" x14ac:dyDescent="0.25">
      <c r="A28" s="25"/>
      <c r="B28" s="97"/>
      <c r="C28" s="25"/>
      <c r="D28" s="25"/>
      <c r="E28" s="25"/>
    </row>
    <row r="29" spans="1:5" x14ac:dyDescent="0.25">
      <c r="A29" s="25"/>
      <c r="B29" s="98"/>
      <c r="C29" s="25"/>
      <c r="D29" s="25"/>
      <c r="E29" s="25"/>
    </row>
    <row r="30" spans="1:5" x14ac:dyDescent="0.25">
      <c r="A30" s="25"/>
      <c r="B30" s="98"/>
      <c r="C30" s="25"/>
      <c r="D30" s="25"/>
      <c r="E30" s="25"/>
    </row>
    <row r="31" spans="1:5" x14ac:dyDescent="0.25">
      <c r="A31" s="25"/>
      <c r="B31" s="98"/>
      <c r="C31" s="25"/>
      <c r="D31" s="25"/>
      <c r="E31" s="25"/>
    </row>
    <row r="32" spans="1:5" x14ac:dyDescent="0.25">
      <c r="A32" s="25"/>
      <c r="B32" s="98"/>
      <c r="C32" s="25"/>
      <c r="D32" s="25"/>
      <c r="E32" s="25"/>
    </row>
    <row r="33" spans="1:5" x14ac:dyDescent="0.25">
      <c r="A33" s="25"/>
      <c r="B33" s="98"/>
      <c r="C33" s="25"/>
      <c r="D33" s="25"/>
      <c r="E33" s="25"/>
    </row>
    <row r="34" spans="1:5" x14ac:dyDescent="0.25">
      <c r="A34" s="25"/>
      <c r="B34" s="98"/>
      <c r="C34" s="25"/>
      <c r="D34" s="25"/>
      <c r="E34" s="25"/>
    </row>
    <row r="35" spans="1:5" x14ac:dyDescent="0.25">
      <c r="A35" s="25"/>
      <c r="B35" s="98"/>
      <c r="C35" s="25"/>
      <c r="D35" s="25"/>
      <c r="E35" s="25"/>
    </row>
    <row r="36" spans="1:5" x14ac:dyDescent="0.25">
      <c r="A36" s="25"/>
      <c r="B36" s="98"/>
      <c r="C36" s="25"/>
      <c r="D36" s="25"/>
      <c r="E36" s="25"/>
    </row>
    <row r="37" spans="1:5" x14ac:dyDescent="0.25">
      <c r="A37" s="25"/>
      <c r="B37" s="98"/>
      <c r="C37" s="25"/>
      <c r="D37" s="25"/>
      <c r="E37" s="25"/>
    </row>
    <row r="38" spans="1:5" x14ac:dyDescent="0.25">
      <c r="A38" s="25"/>
      <c r="B38" s="98"/>
      <c r="C38" s="25"/>
      <c r="D38" s="25"/>
      <c r="E38" s="25"/>
    </row>
    <row r="39" spans="1:5" x14ac:dyDescent="0.25">
      <c r="A39" s="25"/>
      <c r="B39" s="96"/>
      <c r="C39" s="25"/>
      <c r="D39" s="25"/>
      <c r="E39" s="25"/>
    </row>
    <row r="40" spans="1:5" x14ac:dyDescent="0.25">
      <c r="A40" s="25"/>
      <c r="B40" s="96"/>
      <c r="C40" s="25"/>
      <c r="D40" s="25"/>
      <c r="E40" s="25"/>
    </row>
    <row r="41" spans="1:5" x14ac:dyDescent="0.25">
      <c r="A41" s="25"/>
      <c r="B41" s="96"/>
      <c r="C41" s="25"/>
      <c r="D41" s="25"/>
      <c r="E41" s="25"/>
    </row>
    <row r="42" spans="1:5" x14ac:dyDescent="0.25">
      <c r="A42" s="25"/>
      <c r="B42" s="97"/>
      <c r="C42" s="25"/>
      <c r="D42" s="25"/>
      <c r="E42" s="25"/>
    </row>
    <row r="43" spans="1:5" x14ac:dyDescent="0.25">
      <c r="A43" s="25"/>
      <c r="B43" s="98"/>
      <c r="C43" s="25"/>
      <c r="D43" s="25"/>
      <c r="E43" s="25"/>
    </row>
    <row r="44" spans="1:5" x14ac:dyDescent="0.25">
      <c r="A44" s="25"/>
      <c r="B44" s="98"/>
      <c r="C44" s="25"/>
      <c r="D44" s="25"/>
      <c r="E44" s="25"/>
    </row>
    <row r="45" spans="1:5" x14ac:dyDescent="0.25">
      <c r="A45" s="25"/>
      <c r="B45" s="98"/>
      <c r="C45" s="25"/>
      <c r="D45" s="25"/>
      <c r="E45" s="25"/>
    </row>
    <row r="46" spans="1:5" x14ac:dyDescent="0.25">
      <c r="A46" s="25"/>
      <c r="B46" s="98"/>
      <c r="C46" s="25"/>
      <c r="D46" s="25"/>
      <c r="E46" s="25"/>
    </row>
    <row r="47" spans="1:5" x14ac:dyDescent="0.25">
      <c r="A47" s="25"/>
      <c r="B47" s="98"/>
      <c r="C47" s="25"/>
      <c r="D47" s="25"/>
      <c r="E47" s="25"/>
    </row>
    <row r="48" spans="1:5" x14ac:dyDescent="0.25">
      <c r="A48" s="25"/>
      <c r="B48" s="98"/>
      <c r="C48" s="25"/>
      <c r="D48" s="25"/>
      <c r="E48" s="25"/>
    </row>
    <row r="49" spans="1:5" x14ac:dyDescent="0.25">
      <c r="A49" s="25"/>
      <c r="B49" s="98"/>
      <c r="C49" s="25"/>
      <c r="D49" s="25"/>
      <c r="E49" s="25"/>
    </row>
    <row r="50" spans="1:5" x14ac:dyDescent="0.25">
      <c r="A50" s="25"/>
      <c r="B50" s="98"/>
      <c r="C50" s="25"/>
      <c r="D50" s="25"/>
      <c r="E50" s="25"/>
    </row>
    <row r="51" spans="1:5" x14ac:dyDescent="0.25">
      <c r="A51" s="25"/>
      <c r="B51" s="98"/>
      <c r="C51" s="25"/>
      <c r="D51" s="25"/>
      <c r="E51" s="25"/>
    </row>
    <row r="52" spans="1:5" x14ac:dyDescent="0.25">
      <c r="A52" s="25"/>
      <c r="B52" s="98"/>
      <c r="C52" s="25"/>
      <c r="D52" s="25"/>
      <c r="E52" s="25"/>
    </row>
    <row r="53" spans="1:5" x14ac:dyDescent="0.25">
      <c r="A53" s="25"/>
      <c r="B53" s="96"/>
      <c r="C53" s="25"/>
      <c r="D53" s="25"/>
      <c r="E53" s="25"/>
    </row>
    <row r="54" spans="1:5" x14ac:dyDescent="0.25">
      <c r="A54" s="25"/>
      <c r="B54" s="96"/>
      <c r="C54" s="25"/>
      <c r="D54" s="25"/>
      <c r="E54" s="25"/>
    </row>
    <row r="55" spans="1:5" x14ac:dyDescent="0.25">
      <c r="A55" s="25"/>
      <c r="B55" s="96"/>
      <c r="C55" s="25"/>
      <c r="D55" s="25"/>
      <c r="E55" s="25"/>
    </row>
    <row r="56" spans="1:5" x14ac:dyDescent="0.25">
      <c r="A56" s="25"/>
      <c r="B56" s="97"/>
      <c r="C56" s="25"/>
      <c r="D56" s="25"/>
      <c r="E56" s="25"/>
    </row>
    <row r="57" spans="1:5" x14ac:dyDescent="0.25">
      <c r="A57" s="25"/>
      <c r="B57" s="98"/>
      <c r="C57" s="25"/>
      <c r="D57" s="25"/>
      <c r="E57" s="25"/>
    </row>
    <row r="58" spans="1:5" x14ac:dyDescent="0.25">
      <c r="A58" s="25"/>
      <c r="B58" s="98"/>
      <c r="C58" s="25"/>
      <c r="D58" s="25"/>
      <c r="E58" s="25"/>
    </row>
    <row r="59" spans="1:5" x14ac:dyDescent="0.25">
      <c r="A59" s="25"/>
      <c r="B59" s="98"/>
      <c r="C59" s="25"/>
      <c r="D59" s="25"/>
      <c r="E59" s="25"/>
    </row>
    <row r="60" spans="1:5" x14ac:dyDescent="0.25">
      <c r="A60" s="25"/>
      <c r="B60" s="98"/>
      <c r="C60" s="25"/>
      <c r="D60" s="25"/>
      <c r="E60" s="25"/>
    </row>
    <row r="61" spans="1:5" x14ac:dyDescent="0.25">
      <c r="A61" s="25"/>
      <c r="B61" s="98"/>
      <c r="C61" s="25"/>
      <c r="D61" s="25"/>
      <c r="E61" s="25"/>
    </row>
    <row r="62" spans="1:5" x14ac:dyDescent="0.25">
      <c r="A62" s="25"/>
      <c r="B62" s="98"/>
      <c r="C62" s="25"/>
      <c r="D62" s="25"/>
      <c r="E62" s="25"/>
    </row>
    <row r="63" spans="1:5" x14ac:dyDescent="0.25">
      <c r="A63" s="25"/>
      <c r="B63" s="98"/>
      <c r="C63" s="25"/>
      <c r="D63" s="25"/>
      <c r="E63" s="25"/>
    </row>
    <row r="64" spans="1:5" x14ac:dyDescent="0.25">
      <c r="A64" s="25"/>
      <c r="B64" s="98"/>
      <c r="C64" s="25"/>
      <c r="D64" s="25"/>
      <c r="E64" s="25"/>
    </row>
    <row r="65" spans="1:5" x14ac:dyDescent="0.25">
      <c r="A65" s="25"/>
      <c r="B65" s="98"/>
      <c r="C65" s="25"/>
      <c r="D65" s="25"/>
      <c r="E65" s="25"/>
    </row>
    <row r="66" spans="1:5" x14ac:dyDescent="0.25">
      <c r="A66" s="25"/>
      <c r="B66" s="98"/>
      <c r="C66" s="25"/>
      <c r="D66" s="25"/>
      <c r="E66" s="25"/>
    </row>
    <row r="67" spans="1:5" x14ac:dyDescent="0.25">
      <c r="A67" s="25"/>
      <c r="B67" s="96"/>
      <c r="C67" s="25"/>
      <c r="D67" s="25"/>
      <c r="E67" s="25"/>
    </row>
    <row r="68" spans="1:5" x14ac:dyDescent="0.25">
      <c r="A68" s="25"/>
      <c r="B68" s="96"/>
      <c r="C68" s="25"/>
      <c r="D68" s="25"/>
      <c r="E68" s="25"/>
    </row>
    <row r="69" spans="1:5" x14ac:dyDescent="0.25">
      <c r="A69" s="25"/>
      <c r="B69" s="96"/>
      <c r="C69" s="25"/>
      <c r="D69" s="25"/>
      <c r="E69" s="25"/>
    </row>
    <row r="70" spans="1:5" x14ac:dyDescent="0.25">
      <c r="A70" s="25"/>
      <c r="B70" s="96"/>
      <c r="C70" s="25"/>
      <c r="D70" s="25"/>
      <c r="E70" s="25"/>
    </row>
    <row r="71" spans="1:5" x14ac:dyDescent="0.25">
      <c r="A71" s="25"/>
      <c r="B71" s="96"/>
      <c r="C71" s="25"/>
      <c r="D71" s="25"/>
      <c r="E71" s="25"/>
    </row>
    <row r="72" spans="1:5" x14ac:dyDescent="0.25">
      <c r="A72" s="25"/>
      <c r="B72" s="96"/>
      <c r="C72" s="25"/>
      <c r="D72" s="25"/>
      <c r="E72" s="25"/>
    </row>
    <row r="73" spans="1:5" x14ac:dyDescent="0.25">
      <c r="A73" s="25"/>
      <c r="B73" s="96"/>
      <c r="C73" s="25"/>
      <c r="D73" s="25"/>
      <c r="E73" s="25"/>
    </row>
    <row r="74" spans="1:5" x14ac:dyDescent="0.25">
      <c r="A74" s="25"/>
      <c r="B74" s="96"/>
      <c r="C74" s="25"/>
      <c r="D74" s="25"/>
      <c r="E74" s="25"/>
    </row>
    <row r="75" spans="1:5" x14ac:dyDescent="0.25">
      <c r="A75" s="25"/>
      <c r="B75" s="96"/>
      <c r="C75" s="25"/>
      <c r="D75" s="25"/>
      <c r="E75" s="25"/>
    </row>
    <row r="76" spans="1:5" x14ac:dyDescent="0.25">
      <c r="A76" s="25"/>
      <c r="B76" s="97"/>
      <c r="C76" s="25"/>
      <c r="D76" s="25"/>
      <c r="E76" s="25"/>
    </row>
    <row r="77" spans="1:5" x14ac:dyDescent="0.25">
      <c r="A77" s="25"/>
      <c r="B77" s="98"/>
      <c r="C77" s="25"/>
      <c r="D77" s="25"/>
      <c r="E77" s="25"/>
    </row>
    <row r="78" spans="1:5" x14ac:dyDescent="0.25">
      <c r="A78" s="25"/>
      <c r="B78" s="98"/>
      <c r="C78" s="25"/>
      <c r="D78" s="25"/>
      <c r="E78" s="25"/>
    </row>
    <row r="79" spans="1:5" x14ac:dyDescent="0.25">
      <c r="A79" s="25"/>
      <c r="B79" s="98"/>
      <c r="C79" s="25"/>
      <c r="D79" s="25"/>
      <c r="E79" s="25"/>
    </row>
    <row r="80" spans="1:5" x14ac:dyDescent="0.25">
      <c r="A80" s="25"/>
      <c r="B80" s="98"/>
      <c r="C80" s="25"/>
      <c r="D80" s="25"/>
      <c r="E80" s="25"/>
    </row>
    <row r="81" spans="1:5" x14ac:dyDescent="0.25">
      <c r="A81" s="25"/>
      <c r="B81" s="98"/>
      <c r="C81" s="25"/>
      <c r="D81" s="25"/>
      <c r="E81" s="25"/>
    </row>
    <row r="82" spans="1:5" x14ac:dyDescent="0.25">
      <c r="A82" s="25"/>
      <c r="B82" s="98"/>
      <c r="C82" s="25"/>
      <c r="D82" s="25"/>
      <c r="E82" s="25"/>
    </row>
    <row r="83" spans="1:5" x14ac:dyDescent="0.25">
      <c r="A83" s="25"/>
      <c r="B83" s="98"/>
      <c r="C83" s="25"/>
      <c r="D83" s="25"/>
      <c r="E83" s="25"/>
    </row>
    <row r="84" spans="1:5" x14ac:dyDescent="0.25">
      <c r="A84" s="25"/>
      <c r="B84" s="98"/>
      <c r="C84" s="25"/>
      <c r="D84" s="25"/>
      <c r="E84" s="25"/>
    </row>
    <row r="85" spans="1:5" x14ac:dyDescent="0.25">
      <c r="A85" s="25"/>
      <c r="B85" s="98"/>
      <c r="C85" s="25"/>
      <c r="D85" s="25"/>
      <c r="E85" s="25"/>
    </row>
    <row r="86" spans="1:5" x14ac:dyDescent="0.25">
      <c r="A86" s="25"/>
      <c r="B86" s="98"/>
      <c r="C86" s="25"/>
      <c r="D86" s="25"/>
      <c r="E86" s="25"/>
    </row>
    <row r="87" spans="1:5" x14ac:dyDescent="0.25">
      <c r="A87" s="25"/>
      <c r="B87" s="96"/>
      <c r="C87" s="25"/>
      <c r="D87" s="25"/>
      <c r="E87" s="25"/>
    </row>
    <row r="88" spans="1:5" x14ac:dyDescent="0.25">
      <c r="A88" s="25"/>
      <c r="B88" s="96"/>
      <c r="C88" s="25"/>
      <c r="D88" s="25"/>
      <c r="E88" s="25"/>
    </row>
    <row r="89" spans="1:5" x14ac:dyDescent="0.25">
      <c r="A89" s="25"/>
      <c r="B89" s="96"/>
      <c r="C89" s="25"/>
      <c r="D89" s="25"/>
      <c r="E89" s="25"/>
    </row>
    <row r="90" spans="1:5" x14ac:dyDescent="0.25">
      <c r="A90" s="25"/>
      <c r="B90" s="97"/>
      <c r="C90" s="25"/>
      <c r="D90" s="25"/>
      <c r="E90" s="25"/>
    </row>
    <row r="91" spans="1:5" x14ac:dyDescent="0.25">
      <c r="A91" s="25"/>
      <c r="B91" s="98"/>
      <c r="C91" s="25"/>
      <c r="D91" s="25"/>
      <c r="E91" s="25"/>
    </row>
    <row r="92" spans="1:5" x14ac:dyDescent="0.25">
      <c r="A92" s="25"/>
      <c r="B92" s="98"/>
      <c r="C92" s="25"/>
      <c r="D92" s="25"/>
      <c r="E92" s="25"/>
    </row>
    <row r="93" spans="1:5" x14ac:dyDescent="0.25">
      <c r="A93" s="25"/>
      <c r="B93" s="98"/>
      <c r="C93" s="25"/>
      <c r="D93" s="25"/>
      <c r="E93" s="25"/>
    </row>
    <row r="94" spans="1:5" x14ac:dyDescent="0.25">
      <c r="A94" s="25"/>
      <c r="B94" s="98"/>
      <c r="C94" s="25"/>
      <c r="D94" s="25"/>
      <c r="E94" s="25"/>
    </row>
    <row r="95" spans="1:5" x14ac:dyDescent="0.25">
      <c r="A95" s="25"/>
      <c r="B95" s="98"/>
      <c r="C95" s="25"/>
      <c r="D95" s="25"/>
      <c r="E95" s="25"/>
    </row>
    <row r="96" spans="1:5" x14ac:dyDescent="0.25">
      <c r="A96" s="25"/>
      <c r="B96" s="98"/>
      <c r="C96" s="25"/>
      <c r="D96" s="25"/>
      <c r="E96" s="25"/>
    </row>
    <row r="97" spans="1:5" x14ac:dyDescent="0.25">
      <c r="A97" s="25"/>
      <c r="B97" s="98"/>
      <c r="C97" s="25"/>
      <c r="D97" s="25"/>
      <c r="E97" s="25"/>
    </row>
    <row r="98" spans="1:5" x14ac:dyDescent="0.25">
      <c r="A98" s="25"/>
      <c r="B98" s="98"/>
      <c r="C98" s="25"/>
      <c r="D98" s="25"/>
      <c r="E98" s="25"/>
    </row>
    <row r="99" spans="1:5" x14ac:dyDescent="0.25">
      <c r="A99" s="25"/>
      <c r="B99" s="98"/>
      <c r="C99" s="25"/>
      <c r="D99" s="25"/>
      <c r="E99" s="25"/>
    </row>
    <row r="100" spans="1:5" x14ac:dyDescent="0.25">
      <c r="A100" s="25"/>
      <c r="B100" s="98"/>
      <c r="C100" s="25"/>
      <c r="D100" s="25"/>
      <c r="E100" s="25"/>
    </row>
    <row r="101" spans="1:5" x14ac:dyDescent="0.25">
      <c r="A101" s="25"/>
      <c r="B101" s="25"/>
      <c r="C101" s="25"/>
      <c r="D101" s="25"/>
      <c r="E101" s="25"/>
    </row>
    <row r="102" spans="1:5" x14ac:dyDescent="0.25">
      <c r="A102" s="25"/>
      <c r="B102" s="25"/>
      <c r="C102" s="25"/>
      <c r="D102" s="25"/>
      <c r="E102" s="25"/>
    </row>
    <row r="103" spans="1:5" x14ac:dyDescent="0.25">
      <c r="A103" s="25"/>
      <c r="B103" s="25"/>
      <c r="C103" s="25"/>
      <c r="D103" s="25"/>
      <c r="E103" s="25"/>
    </row>
    <row r="104" spans="1:5" x14ac:dyDescent="0.25">
      <c r="A104" s="25"/>
      <c r="B104" s="25"/>
      <c r="C104" s="25"/>
      <c r="D104" s="25"/>
      <c r="E104" s="25"/>
    </row>
    <row r="105" spans="1:5" x14ac:dyDescent="0.25">
      <c r="A105" s="25"/>
      <c r="B105" s="25"/>
      <c r="C105" s="25"/>
      <c r="D105" s="25"/>
      <c r="E105" s="25"/>
    </row>
    <row r="106" spans="1:5" x14ac:dyDescent="0.25">
      <c r="A106" s="25"/>
      <c r="B106" s="25"/>
      <c r="C106" s="25"/>
      <c r="D106" s="25"/>
      <c r="E106" s="25"/>
    </row>
    <row r="107" spans="1:5" x14ac:dyDescent="0.25">
      <c r="A107" s="25"/>
      <c r="B107" s="25"/>
      <c r="C107" s="25"/>
      <c r="D107" s="25"/>
      <c r="E107" s="25"/>
    </row>
    <row r="108" spans="1:5" x14ac:dyDescent="0.25">
      <c r="A108" s="25"/>
      <c r="B108" s="25"/>
      <c r="C108" s="25"/>
      <c r="D108" s="25"/>
      <c r="E108" s="25"/>
    </row>
    <row r="109" spans="1:5" x14ac:dyDescent="0.25">
      <c r="A109" s="25"/>
      <c r="B109" s="25"/>
      <c r="C109" s="25"/>
      <c r="D109" s="25"/>
      <c r="E109" s="25"/>
    </row>
    <row r="110" spans="1:5" x14ac:dyDescent="0.25">
      <c r="A110" s="25"/>
      <c r="B110" s="25"/>
      <c r="C110" s="25"/>
      <c r="D110" s="25"/>
      <c r="E110" s="25"/>
    </row>
    <row r="111" spans="1:5" x14ac:dyDescent="0.25">
      <c r="A111" s="25"/>
      <c r="B111" s="25"/>
      <c r="C111" s="25"/>
      <c r="D111" s="25"/>
      <c r="E111" s="25"/>
    </row>
    <row r="112" spans="1:5" x14ac:dyDescent="0.25">
      <c r="A112" s="25"/>
      <c r="B112" s="25"/>
      <c r="C112" s="25"/>
      <c r="D112" s="25"/>
      <c r="E112" s="25"/>
    </row>
    <row r="113" spans="1:5" x14ac:dyDescent="0.25">
      <c r="A113" s="25"/>
      <c r="B113" s="25"/>
      <c r="C113" s="25"/>
      <c r="D113" s="25"/>
      <c r="E113" s="25"/>
    </row>
    <row r="114" spans="1:5" x14ac:dyDescent="0.25">
      <c r="A114" s="25"/>
      <c r="B114" s="25"/>
      <c r="C114" s="25"/>
      <c r="D114" s="25"/>
      <c r="E11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67"/>
  <sheetViews>
    <sheetView workbookViewId="0">
      <selection activeCell="B22" sqref="B22"/>
    </sheetView>
  </sheetViews>
  <sheetFormatPr baseColWidth="10" defaultRowHeight="15" x14ac:dyDescent="0.25"/>
  <cols>
    <col min="1" max="1" width="8" style="102" customWidth="1"/>
    <col min="2" max="2" width="14.140625" style="106" bestFit="1" customWidth="1"/>
    <col min="3" max="3" width="11.42578125" style="102" customWidth="1"/>
    <col min="4" max="5" width="11.42578125" style="102"/>
    <col min="6" max="6" width="29.140625" style="106" customWidth="1"/>
    <col min="7" max="8" width="11.5703125" style="102" bestFit="1" customWidth="1"/>
    <col min="9" max="9" width="13" style="102" bestFit="1" customWidth="1"/>
    <col min="10" max="16384" width="11.42578125" style="102"/>
  </cols>
  <sheetData>
    <row r="2" spans="2:10" x14ac:dyDescent="0.25">
      <c r="B2" s="103" t="s">
        <v>89</v>
      </c>
    </row>
    <row r="3" spans="2:10" x14ac:dyDescent="0.25">
      <c r="B3" s="103"/>
    </row>
    <row r="4" spans="2:10" ht="30" customHeight="1" x14ac:dyDescent="0.25">
      <c r="B4" s="5" t="s">
        <v>96</v>
      </c>
      <c r="C4" s="5" t="s">
        <v>97</v>
      </c>
      <c r="D4" s="5" t="s">
        <v>98</v>
      </c>
      <c r="E4" s="5" t="s">
        <v>54</v>
      </c>
      <c r="F4" s="5" t="s">
        <v>95</v>
      </c>
      <c r="G4" s="5" t="s">
        <v>94</v>
      </c>
      <c r="H4" s="5" t="s">
        <v>92</v>
      </c>
      <c r="I4" s="5" t="s">
        <v>93</v>
      </c>
      <c r="J4" s="5"/>
    </row>
    <row r="5" spans="2:10" x14ac:dyDescent="0.25">
      <c r="B5" s="107" t="s">
        <v>90</v>
      </c>
      <c r="C5" s="108">
        <v>43666</v>
      </c>
      <c r="D5" s="108">
        <v>43697</v>
      </c>
      <c r="E5" s="109">
        <v>43678</v>
      </c>
      <c r="F5" s="107" t="s">
        <v>74</v>
      </c>
      <c r="G5" s="110">
        <v>185</v>
      </c>
      <c r="H5" s="104">
        <v>7359</v>
      </c>
      <c r="I5" s="105">
        <v>1361415</v>
      </c>
    </row>
    <row r="6" spans="2:10" x14ac:dyDescent="0.25">
      <c r="B6" s="107" t="s">
        <v>90</v>
      </c>
      <c r="C6" s="108">
        <v>43666</v>
      </c>
      <c r="D6" s="108">
        <v>43697</v>
      </c>
      <c r="E6" s="109">
        <v>43678</v>
      </c>
      <c r="F6" s="107" t="s">
        <v>77</v>
      </c>
      <c r="G6" s="110">
        <v>593</v>
      </c>
      <c r="H6" s="104">
        <v>1192</v>
      </c>
      <c r="I6" s="105">
        <v>706856</v>
      </c>
    </row>
    <row r="7" spans="2:10" x14ac:dyDescent="0.25">
      <c r="B7" s="107" t="s">
        <v>90</v>
      </c>
      <c r="C7" s="108">
        <v>43697</v>
      </c>
      <c r="D7" s="108">
        <v>43728</v>
      </c>
      <c r="E7" s="109">
        <v>43709</v>
      </c>
      <c r="F7" s="107" t="s">
        <v>74</v>
      </c>
      <c r="G7" s="110">
        <v>191</v>
      </c>
      <c r="H7" s="104">
        <v>7359</v>
      </c>
      <c r="I7" s="105">
        <v>1405569</v>
      </c>
    </row>
    <row r="8" spans="2:10" x14ac:dyDescent="0.25">
      <c r="B8" s="107" t="s">
        <v>90</v>
      </c>
      <c r="C8" s="108">
        <v>43697</v>
      </c>
      <c r="D8" s="108">
        <v>43728</v>
      </c>
      <c r="E8" s="109">
        <v>43709</v>
      </c>
      <c r="F8" s="107" t="s">
        <v>77</v>
      </c>
      <c r="G8" s="110">
        <v>630</v>
      </c>
      <c r="H8" s="104">
        <v>1192</v>
      </c>
      <c r="I8" s="105">
        <v>750960</v>
      </c>
    </row>
    <row r="9" spans="2:10" x14ac:dyDescent="0.25">
      <c r="B9" s="107" t="s">
        <v>90</v>
      </c>
      <c r="C9" s="108">
        <v>43697</v>
      </c>
      <c r="D9" s="108">
        <v>43728</v>
      </c>
      <c r="E9" s="109">
        <v>43709</v>
      </c>
      <c r="F9" s="107" t="s">
        <v>79</v>
      </c>
      <c r="G9" s="110">
        <v>1</v>
      </c>
      <c r="H9" s="104">
        <v>20359</v>
      </c>
      <c r="I9" s="105">
        <v>20359</v>
      </c>
    </row>
    <row r="10" spans="2:10" x14ac:dyDescent="0.25">
      <c r="B10" s="107" t="s">
        <v>90</v>
      </c>
      <c r="C10" s="108">
        <v>43728</v>
      </c>
      <c r="D10" s="108">
        <v>43758</v>
      </c>
      <c r="E10" s="109">
        <v>43739</v>
      </c>
      <c r="F10" s="107" t="s">
        <v>74</v>
      </c>
      <c r="G10" s="110">
        <v>175</v>
      </c>
      <c r="H10" s="104">
        <v>7359</v>
      </c>
      <c r="I10" s="105">
        <v>1287825</v>
      </c>
    </row>
    <row r="11" spans="2:10" x14ac:dyDescent="0.25">
      <c r="B11" s="107" t="s">
        <v>90</v>
      </c>
      <c r="C11" s="108">
        <v>43728</v>
      </c>
      <c r="D11" s="108">
        <v>43758</v>
      </c>
      <c r="E11" s="109">
        <v>43739</v>
      </c>
      <c r="F11" s="107" t="s">
        <v>77</v>
      </c>
      <c r="G11" s="110">
        <v>606</v>
      </c>
      <c r="H11" s="104">
        <v>1192</v>
      </c>
      <c r="I11" s="105">
        <v>722352</v>
      </c>
    </row>
    <row r="12" spans="2:10" x14ac:dyDescent="0.25">
      <c r="B12" s="107" t="s">
        <v>90</v>
      </c>
      <c r="C12" s="108">
        <v>43758</v>
      </c>
      <c r="D12" s="108">
        <v>43789</v>
      </c>
      <c r="E12" s="109">
        <v>43770</v>
      </c>
      <c r="F12" s="107" t="s">
        <v>74</v>
      </c>
      <c r="G12" s="110">
        <v>174</v>
      </c>
      <c r="H12" s="104">
        <v>7359</v>
      </c>
      <c r="I12" s="105">
        <v>1280466</v>
      </c>
    </row>
    <row r="13" spans="2:10" x14ac:dyDescent="0.25">
      <c r="B13" s="107" t="s">
        <v>90</v>
      </c>
      <c r="C13" s="108">
        <v>43758</v>
      </c>
      <c r="D13" s="108">
        <v>43789</v>
      </c>
      <c r="E13" s="109">
        <v>43770</v>
      </c>
      <c r="F13" s="107" t="s">
        <v>77</v>
      </c>
      <c r="G13" s="110">
        <v>618</v>
      </c>
      <c r="H13" s="104">
        <v>1192</v>
      </c>
      <c r="I13" s="105">
        <v>736656</v>
      </c>
    </row>
    <row r="14" spans="2:10" x14ac:dyDescent="0.25">
      <c r="B14" s="107" t="s">
        <v>90</v>
      </c>
      <c r="C14" s="108">
        <v>43789</v>
      </c>
      <c r="D14" s="108">
        <v>43819</v>
      </c>
      <c r="E14" s="109">
        <v>43800</v>
      </c>
      <c r="F14" s="107" t="s">
        <v>74</v>
      </c>
      <c r="G14" s="110">
        <v>168</v>
      </c>
      <c r="H14" s="104">
        <v>7359</v>
      </c>
      <c r="I14" s="105">
        <v>1236312</v>
      </c>
    </row>
    <row r="15" spans="2:10" x14ac:dyDescent="0.25">
      <c r="B15" s="107" t="s">
        <v>90</v>
      </c>
      <c r="C15" s="108">
        <v>43789</v>
      </c>
      <c r="D15" s="108">
        <v>43819</v>
      </c>
      <c r="E15" s="109">
        <v>43800</v>
      </c>
      <c r="F15" s="107" t="s">
        <v>77</v>
      </c>
      <c r="G15" s="110">
        <v>595</v>
      </c>
      <c r="H15" s="104">
        <v>1192</v>
      </c>
      <c r="I15" s="105">
        <v>709240</v>
      </c>
    </row>
    <row r="16" spans="2:10" x14ac:dyDescent="0.25">
      <c r="B16" s="107" t="s">
        <v>90</v>
      </c>
      <c r="C16" s="108">
        <v>43789</v>
      </c>
      <c r="D16" s="108">
        <v>43819</v>
      </c>
      <c r="E16" s="109">
        <v>43800</v>
      </c>
      <c r="F16" s="107" t="s">
        <v>79</v>
      </c>
      <c r="G16" s="110">
        <v>1</v>
      </c>
      <c r="H16" s="104">
        <v>20359</v>
      </c>
      <c r="I16" s="105">
        <v>20359</v>
      </c>
    </row>
    <row r="17" spans="2:16" x14ac:dyDescent="0.25">
      <c r="B17" s="107" t="s">
        <v>90</v>
      </c>
      <c r="C17" s="108">
        <v>43789</v>
      </c>
      <c r="D17" s="108">
        <v>43819</v>
      </c>
      <c r="E17" s="109">
        <v>43800</v>
      </c>
      <c r="F17" s="107" t="s">
        <v>80</v>
      </c>
      <c r="G17" s="110">
        <v>1</v>
      </c>
      <c r="H17" s="104">
        <v>8646</v>
      </c>
      <c r="I17" s="105">
        <v>8646</v>
      </c>
    </row>
    <row r="18" spans="2:16" x14ac:dyDescent="0.25">
      <c r="B18" s="107" t="s">
        <v>91</v>
      </c>
      <c r="C18" s="108">
        <v>43666</v>
      </c>
      <c r="D18" s="108">
        <v>43697</v>
      </c>
      <c r="E18" s="109">
        <v>43678</v>
      </c>
      <c r="F18" s="107" t="s">
        <v>74</v>
      </c>
      <c r="G18" s="110">
        <v>13</v>
      </c>
      <c r="H18" s="104">
        <v>7359</v>
      </c>
      <c r="I18" s="105">
        <v>95667</v>
      </c>
    </row>
    <row r="19" spans="2:16" x14ac:dyDescent="0.25">
      <c r="B19" s="107" t="s">
        <v>91</v>
      </c>
      <c r="C19" s="108">
        <v>43697</v>
      </c>
      <c r="D19" s="108">
        <v>43728</v>
      </c>
      <c r="E19" s="109">
        <v>43709</v>
      </c>
      <c r="F19" s="107" t="s">
        <v>74</v>
      </c>
      <c r="G19" s="110">
        <v>13</v>
      </c>
      <c r="H19" s="104">
        <v>7359</v>
      </c>
      <c r="I19" s="105">
        <v>95667</v>
      </c>
    </row>
    <row r="20" spans="2:16" x14ac:dyDescent="0.25">
      <c r="B20" s="107" t="s">
        <v>91</v>
      </c>
      <c r="C20" s="108">
        <v>43728</v>
      </c>
      <c r="D20" s="108">
        <v>43758</v>
      </c>
      <c r="E20" s="109">
        <v>43739</v>
      </c>
      <c r="F20" s="107" t="s">
        <v>74</v>
      </c>
      <c r="G20" s="110">
        <v>13</v>
      </c>
      <c r="H20" s="104">
        <v>7359</v>
      </c>
      <c r="I20" s="105">
        <v>95667</v>
      </c>
    </row>
    <row r="21" spans="2:16" x14ac:dyDescent="0.25">
      <c r="B21" s="107" t="s">
        <v>91</v>
      </c>
      <c r="C21" s="108">
        <v>43758</v>
      </c>
      <c r="D21" s="108">
        <v>43789</v>
      </c>
      <c r="E21" s="109">
        <v>43770</v>
      </c>
      <c r="F21" s="107" t="s">
        <v>74</v>
      </c>
      <c r="G21" s="110">
        <v>13</v>
      </c>
      <c r="H21" s="104">
        <v>7359</v>
      </c>
      <c r="I21" s="105">
        <v>95667</v>
      </c>
    </row>
    <row r="22" spans="2:16" x14ac:dyDescent="0.25">
      <c r="B22" s="107" t="s">
        <v>91</v>
      </c>
      <c r="C22" s="108">
        <v>43789</v>
      </c>
      <c r="D22" s="108">
        <v>43817</v>
      </c>
      <c r="E22" s="109">
        <v>43800</v>
      </c>
      <c r="F22" s="107" t="s">
        <v>74</v>
      </c>
      <c r="G22" s="110">
        <v>13</v>
      </c>
      <c r="H22" s="104">
        <v>7359</v>
      </c>
      <c r="I22" s="105">
        <v>95667</v>
      </c>
    </row>
    <row r="25" spans="2:16" x14ac:dyDescent="0.25">
      <c r="B25"/>
      <c r="C25"/>
      <c r="D25"/>
      <c r="E25"/>
      <c r="F25"/>
      <c r="G25"/>
    </row>
    <row r="26" spans="2:16" x14ac:dyDescent="0.25">
      <c r="B26" s="123" t="s">
        <v>117</v>
      </c>
      <c r="C26" s="112"/>
      <c r="D26" s="112"/>
      <c r="E26" s="124">
        <v>43678</v>
      </c>
      <c r="F26" s="107" t="s">
        <v>76</v>
      </c>
      <c r="G26" s="123">
        <v>1363</v>
      </c>
      <c r="H26" s="104">
        <v>5640</v>
      </c>
      <c r="I26" s="105">
        <f>H26*G26</f>
        <v>7687320</v>
      </c>
    </row>
    <row r="27" spans="2:16" x14ac:dyDescent="0.25">
      <c r="B27" s="123" t="s">
        <v>117</v>
      </c>
      <c r="C27" s="112"/>
      <c r="D27" s="112"/>
      <c r="E27" s="124">
        <v>43678</v>
      </c>
      <c r="F27" s="107" t="s">
        <v>77</v>
      </c>
      <c r="G27" s="123">
        <v>69</v>
      </c>
      <c r="H27" s="104">
        <v>2313</v>
      </c>
      <c r="I27" s="105">
        <f t="shared" ref="I27:I40" si="0">H27*G27</f>
        <v>159597</v>
      </c>
    </row>
    <row r="28" spans="2:16" x14ac:dyDescent="0.25">
      <c r="B28" s="123" t="s">
        <v>117</v>
      </c>
      <c r="C28" s="112"/>
      <c r="D28" s="112"/>
      <c r="E28" s="124">
        <v>43678</v>
      </c>
      <c r="F28" s="107" t="s">
        <v>79</v>
      </c>
      <c r="G28" s="123">
        <v>19</v>
      </c>
      <c r="H28" s="104">
        <v>19649</v>
      </c>
      <c r="I28" s="105">
        <f t="shared" si="0"/>
        <v>373331</v>
      </c>
    </row>
    <row r="29" spans="2:16" x14ac:dyDescent="0.25">
      <c r="B29" s="123" t="s">
        <v>117</v>
      </c>
      <c r="C29" s="112"/>
      <c r="D29" s="112"/>
      <c r="E29" s="124">
        <v>43709</v>
      </c>
      <c r="F29" s="107" t="s">
        <v>76</v>
      </c>
      <c r="G29" s="123">
        <v>1420</v>
      </c>
      <c r="H29" s="104">
        <v>5640</v>
      </c>
      <c r="I29" s="105">
        <f t="shared" si="0"/>
        <v>8008800</v>
      </c>
    </row>
    <row r="30" spans="2:16" x14ac:dyDescent="0.25">
      <c r="B30" s="123" t="s">
        <v>117</v>
      </c>
      <c r="C30" s="112"/>
      <c r="D30" s="112"/>
      <c r="E30" s="124">
        <v>43709</v>
      </c>
      <c r="F30" s="107" t="s">
        <v>77</v>
      </c>
      <c r="G30" s="123">
        <v>138</v>
      </c>
      <c r="H30" s="104">
        <v>2313</v>
      </c>
      <c r="I30" s="105">
        <f t="shared" si="0"/>
        <v>319194</v>
      </c>
    </row>
    <row r="31" spans="2:16" x14ac:dyDescent="0.25">
      <c r="B31" s="123" t="s">
        <v>117</v>
      </c>
      <c r="C31" s="112"/>
      <c r="D31" s="112"/>
      <c r="E31" s="124">
        <v>43709</v>
      </c>
      <c r="F31" s="107" t="s">
        <v>79</v>
      </c>
      <c r="G31" s="123">
        <v>40</v>
      </c>
      <c r="H31" s="104">
        <v>19649</v>
      </c>
      <c r="I31" s="105">
        <f t="shared" si="0"/>
        <v>785960</v>
      </c>
      <c r="K31"/>
      <c r="L31"/>
      <c r="M31"/>
      <c r="N31"/>
      <c r="O31"/>
      <c r="P31"/>
    </row>
    <row r="32" spans="2:16" x14ac:dyDescent="0.25">
      <c r="B32" s="123" t="s">
        <v>117</v>
      </c>
      <c r="C32" s="112"/>
      <c r="D32" s="112"/>
      <c r="E32" s="124">
        <v>43739</v>
      </c>
      <c r="F32" s="107" t="s">
        <v>76</v>
      </c>
      <c r="G32" s="123">
        <v>1331</v>
      </c>
      <c r="H32" s="104">
        <v>5640</v>
      </c>
      <c r="I32" s="105">
        <f t="shared" si="0"/>
        <v>7506840</v>
      </c>
      <c r="K32"/>
      <c r="L32"/>
      <c r="M32"/>
      <c r="N32"/>
      <c r="O32"/>
      <c r="P32"/>
    </row>
    <row r="33" spans="2:16" x14ac:dyDescent="0.25">
      <c r="B33" s="123" t="s">
        <v>117</v>
      </c>
      <c r="C33" s="112"/>
      <c r="D33" s="112"/>
      <c r="E33" s="124">
        <v>43739</v>
      </c>
      <c r="F33" s="107" t="s">
        <v>77</v>
      </c>
      <c r="G33" s="123">
        <v>120</v>
      </c>
      <c r="H33" s="104">
        <v>2313</v>
      </c>
      <c r="I33" s="105">
        <f t="shared" si="0"/>
        <v>277560</v>
      </c>
      <c r="K33"/>
      <c r="L33"/>
      <c r="M33"/>
      <c r="N33"/>
      <c r="O33"/>
      <c r="P33"/>
    </row>
    <row r="34" spans="2:16" x14ac:dyDescent="0.25">
      <c r="B34" s="123" t="s">
        <v>117</v>
      </c>
      <c r="C34" s="112"/>
      <c r="D34" s="112"/>
      <c r="E34" s="124">
        <v>43739</v>
      </c>
      <c r="F34" s="107" t="s">
        <v>79</v>
      </c>
      <c r="G34" s="123">
        <v>22</v>
      </c>
      <c r="H34" s="104">
        <v>19649</v>
      </c>
      <c r="I34" s="105">
        <f t="shared" si="0"/>
        <v>432278</v>
      </c>
      <c r="K34"/>
      <c r="L34"/>
      <c r="M34"/>
      <c r="N34"/>
      <c r="O34"/>
      <c r="P34"/>
    </row>
    <row r="35" spans="2:16" x14ac:dyDescent="0.25">
      <c r="B35" s="123" t="s">
        <v>117</v>
      </c>
      <c r="C35" s="112"/>
      <c r="D35" s="112"/>
      <c r="E35" s="124">
        <v>43770</v>
      </c>
      <c r="F35" s="107" t="s">
        <v>76</v>
      </c>
      <c r="G35" s="123">
        <v>1330</v>
      </c>
      <c r="H35" s="104">
        <v>5640</v>
      </c>
      <c r="I35" s="105">
        <f t="shared" si="0"/>
        <v>7501200</v>
      </c>
    </row>
    <row r="36" spans="2:16" x14ac:dyDescent="0.25">
      <c r="B36" s="123" t="s">
        <v>117</v>
      </c>
      <c r="C36" s="112"/>
      <c r="D36" s="112"/>
      <c r="E36" s="124">
        <v>43770</v>
      </c>
      <c r="F36" s="107" t="s">
        <v>77</v>
      </c>
      <c r="G36" s="123">
        <v>106</v>
      </c>
      <c r="H36" s="104">
        <v>2313</v>
      </c>
      <c r="I36" s="105">
        <f t="shared" si="0"/>
        <v>245178</v>
      </c>
    </row>
    <row r="37" spans="2:16" x14ac:dyDescent="0.25">
      <c r="B37" s="123" t="s">
        <v>117</v>
      </c>
      <c r="C37" s="112"/>
      <c r="D37" s="112"/>
      <c r="E37" s="124">
        <v>43770</v>
      </c>
      <c r="F37" s="107" t="s">
        <v>79</v>
      </c>
      <c r="G37" s="123">
        <v>23</v>
      </c>
      <c r="H37" s="104">
        <v>19649</v>
      </c>
      <c r="I37" s="105">
        <f t="shared" si="0"/>
        <v>451927</v>
      </c>
    </row>
    <row r="38" spans="2:16" x14ac:dyDescent="0.25">
      <c r="B38" s="123" t="s">
        <v>117</v>
      </c>
      <c r="C38" s="112"/>
      <c r="D38" s="112"/>
      <c r="E38" s="124">
        <v>43800</v>
      </c>
      <c r="F38" s="107" t="s">
        <v>76</v>
      </c>
      <c r="G38" s="123">
        <v>1330</v>
      </c>
      <c r="H38" s="104">
        <v>5640</v>
      </c>
      <c r="I38" s="105">
        <f t="shared" si="0"/>
        <v>7501200</v>
      </c>
    </row>
    <row r="39" spans="2:16" x14ac:dyDescent="0.25">
      <c r="B39" s="123" t="s">
        <v>117</v>
      </c>
      <c r="C39" s="112"/>
      <c r="D39" s="112"/>
      <c r="E39" s="124">
        <v>43800</v>
      </c>
      <c r="F39" s="107" t="s">
        <v>77</v>
      </c>
      <c r="G39" s="123">
        <v>106</v>
      </c>
      <c r="H39" s="104">
        <v>2313</v>
      </c>
      <c r="I39" s="105">
        <f t="shared" si="0"/>
        <v>245178</v>
      </c>
    </row>
    <row r="40" spans="2:16" x14ac:dyDescent="0.25">
      <c r="B40" s="123" t="s">
        <v>117</v>
      </c>
      <c r="C40" s="112"/>
      <c r="D40" s="112"/>
      <c r="E40" s="124">
        <v>43800</v>
      </c>
      <c r="F40" s="107" t="s">
        <v>79</v>
      </c>
      <c r="G40" s="123">
        <v>23</v>
      </c>
      <c r="H40" s="104">
        <v>19649</v>
      </c>
      <c r="I40" s="105">
        <f t="shared" si="0"/>
        <v>451927</v>
      </c>
    </row>
    <row r="43" spans="2:16" x14ac:dyDescent="0.25">
      <c r="B43" s="63" t="s">
        <v>118</v>
      </c>
      <c r="C43" s="108">
        <v>43662</v>
      </c>
      <c r="D43" s="120">
        <v>43692</v>
      </c>
      <c r="E43" s="121">
        <v>43678</v>
      </c>
      <c r="F43" s="107" t="s">
        <v>74</v>
      </c>
      <c r="G43" s="112">
        <v>206</v>
      </c>
      <c r="H43" s="100">
        <v>7025</v>
      </c>
      <c r="I43" s="105">
        <f t="shared" ref="I43:I53" si="1">H43*G43</f>
        <v>1447150</v>
      </c>
    </row>
    <row r="44" spans="2:16" x14ac:dyDescent="0.25">
      <c r="B44" s="63" t="s">
        <v>118</v>
      </c>
      <c r="C44" s="108">
        <v>43662</v>
      </c>
      <c r="D44" s="120">
        <v>43692</v>
      </c>
      <c r="E44" s="121">
        <v>43678</v>
      </c>
      <c r="F44" s="107" t="s">
        <v>77</v>
      </c>
      <c r="G44" s="112">
        <v>117</v>
      </c>
      <c r="H44" s="100">
        <v>1557</v>
      </c>
      <c r="I44" s="105">
        <f t="shared" si="1"/>
        <v>182169</v>
      </c>
    </row>
    <row r="45" spans="2:16" x14ac:dyDescent="0.25">
      <c r="B45" s="63" t="s">
        <v>118</v>
      </c>
      <c r="C45" s="120">
        <f>D44+1</f>
        <v>43693</v>
      </c>
      <c r="D45" s="120">
        <v>43723</v>
      </c>
      <c r="E45" s="121">
        <v>43709</v>
      </c>
      <c r="F45" s="107" t="s">
        <v>73</v>
      </c>
      <c r="G45" s="112">
        <v>179</v>
      </c>
      <c r="H45" s="100">
        <v>7025</v>
      </c>
      <c r="I45" s="105">
        <f t="shared" si="1"/>
        <v>1257475</v>
      </c>
    </row>
    <row r="46" spans="2:16" x14ac:dyDescent="0.25">
      <c r="B46" s="63" t="s">
        <v>118</v>
      </c>
      <c r="C46" s="120">
        <v>43693</v>
      </c>
      <c r="D46" s="120">
        <v>43723</v>
      </c>
      <c r="E46" s="121">
        <v>43709</v>
      </c>
      <c r="F46" s="107" t="s">
        <v>77</v>
      </c>
      <c r="G46" s="122">
        <v>143</v>
      </c>
      <c r="H46" s="100">
        <v>1557</v>
      </c>
      <c r="I46" s="105">
        <f t="shared" si="1"/>
        <v>222651</v>
      </c>
    </row>
    <row r="47" spans="2:16" x14ac:dyDescent="0.25">
      <c r="B47" s="63" t="s">
        <v>118</v>
      </c>
      <c r="C47" s="120">
        <f>D45+1</f>
        <v>43724</v>
      </c>
      <c r="D47" s="120">
        <v>43753</v>
      </c>
      <c r="E47" s="121">
        <v>43739</v>
      </c>
      <c r="F47" s="107" t="s">
        <v>73</v>
      </c>
      <c r="G47" s="122">
        <v>195</v>
      </c>
      <c r="H47" s="100">
        <v>8391</v>
      </c>
      <c r="I47" s="105">
        <f t="shared" si="1"/>
        <v>1636245</v>
      </c>
    </row>
    <row r="48" spans="2:16" x14ac:dyDescent="0.25">
      <c r="B48" s="63" t="s">
        <v>118</v>
      </c>
      <c r="C48" s="120">
        <v>43724</v>
      </c>
      <c r="D48" s="120">
        <v>43753</v>
      </c>
      <c r="E48" s="121">
        <v>43739</v>
      </c>
      <c r="F48" s="107" t="s">
        <v>77</v>
      </c>
      <c r="G48" s="122">
        <v>107</v>
      </c>
      <c r="H48" s="100">
        <v>1557</v>
      </c>
      <c r="I48" s="105">
        <f t="shared" si="1"/>
        <v>166599</v>
      </c>
    </row>
    <row r="49" spans="2:9" x14ac:dyDescent="0.25">
      <c r="B49" s="63" t="s">
        <v>118</v>
      </c>
      <c r="C49" s="120">
        <v>43724</v>
      </c>
      <c r="D49" s="120">
        <v>43753</v>
      </c>
      <c r="E49" s="121">
        <v>43739</v>
      </c>
      <c r="F49" s="107" t="s">
        <v>79</v>
      </c>
      <c r="G49" s="122">
        <v>7</v>
      </c>
      <c r="H49" s="100">
        <v>19582</v>
      </c>
      <c r="I49" s="105">
        <f t="shared" si="1"/>
        <v>137074</v>
      </c>
    </row>
    <row r="50" spans="2:9" x14ac:dyDescent="0.25">
      <c r="B50" s="63" t="s">
        <v>118</v>
      </c>
      <c r="C50" s="120">
        <v>43754</v>
      </c>
      <c r="D50" s="120">
        <v>43784</v>
      </c>
      <c r="E50" s="121">
        <v>43770</v>
      </c>
      <c r="F50" s="107" t="s">
        <v>73</v>
      </c>
      <c r="G50" s="122">
        <v>177</v>
      </c>
      <c r="H50" s="100">
        <v>8391</v>
      </c>
      <c r="I50" s="105">
        <f t="shared" si="1"/>
        <v>1485207</v>
      </c>
    </row>
    <row r="51" spans="2:9" x14ac:dyDescent="0.25">
      <c r="B51" s="63" t="s">
        <v>118</v>
      </c>
      <c r="C51" s="120">
        <v>43754</v>
      </c>
      <c r="D51" s="120">
        <v>43784</v>
      </c>
      <c r="E51" s="121">
        <v>43770</v>
      </c>
      <c r="F51" s="107" t="s">
        <v>77</v>
      </c>
      <c r="G51" s="122">
        <v>125</v>
      </c>
      <c r="H51" s="100">
        <v>1557</v>
      </c>
      <c r="I51" s="105">
        <f t="shared" si="1"/>
        <v>194625</v>
      </c>
    </row>
    <row r="52" spans="2:9" x14ac:dyDescent="0.25">
      <c r="B52" s="63" t="s">
        <v>118</v>
      </c>
      <c r="C52" s="120">
        <v>43785</v>
      </c>
      <c r="D52" s="120">
        <v>43814</v>
      </c>
      <c r="E52" s="121">
        <v>43800</v>
      </c>
      <c r="F52" s="107" t="s">
        <v>73</v>
      </c>
      <c r="G52" s="122">
        <v>177</v>
      </c>
      <c r="H52" s="100">
        <v>8391</v>
      </c>
      <c r="I52" s="105">
        <f t="shared" si="1"/>
        <v>1485207</v>
      </c>
    </row>
    <row r="53" spans="2:9" x14ac:dyDescent="0.25">
      <c r="B53" s="63" t="s">
        <v>118</v>
      </c>
      <c r="C53" s="120">
        <v>43785</v>
      </c>
      <c r="D53" s="120">
        <v>43814</v>
      </c>
      <c r="E53" s="121">
        <v>43800</v>
      </c>
      <c r="F53" s="107" t="s">
        <v>77</v>
      </c>
      <c r="G53" s="122">
        <v>125</v>
      </c>
      <c r="H53" s="100">
        <v>1557</v>
      </c>
      <c r="I53" s="105">
        <f t="shared" si="1"/>
        <v>194625</v>
      </c>
    </row>
    <row r="56" spans="2:9" x14ac:dyDescent="0.25">
      <c r="B56" s="63" t="s">
        <v>120</v>
      </c>
      <c r="C56" s="120">
        <v>43754</v>
      </c>
      <c r="D56" s="120">
        <v>43784</v>
      </c>
      <c r="E56" s="121">
        <v>43770</v>
      </c>
      <c r="F56" s="107" t="s">
        <v>75</v>
      </c>
      <c r="G56" s="112">
        <v>50</v>
      </c>
      <c r="H56" s="100">
        <v>5881</v>
      </c>
      <c r="I56" s="105">
        <f>H56*G56</f>
        <v>294050</v>
      </c>
    </row>
    <row r="57" spans="2:9" x14ac:dyDescent="0.25">
      <c r="B57" s="63" t="s">
        <v>120</v>
      </c>
      <c r="C57" s="120">
        <v>43754</v>
      </c>
      <c r="D57" s="120">
        <v>43784</v>
      </c>
      <c r="E57" s="121">
        <v>43770</v>
      </c>
      <c r="F57" s="107" t="s">
        <v>77</v>
      </c>
      <c r="G57" s="112">
        <v>29</v>
      </c>
      <c r="H57" s="100">
        <v>1557</v>
      </c>
      <c r="I57" s="105">
        <f t="shared" ref="I57:I58" si="2">H57*G57</f>
        <v>45153</v>
      </c>
    </row>
    <row r="58" spans="2:9" x14ac:dyDescent="0.25">
      <c r="B58" s="63" t="s">
        <v>120</v>
      </c>
      <c r="C58" s="120">
        <v>43754</v>
      </c>
      <c r="D58" s="120">
        <v>43784</v>
      </c>
      <c r="E58" s="121">
        <v>43770</v>
      </c>
      <c r="F58" s="107" t="s">
        <v>80</v>
      </c>
      <c r="G58" s="112">
        <v>3</v>
      </c>
      <c r="H58" s="100">
        <v>7868</v>
      </c>
      <c r="I58" s="105">
        <f t="shared" si="2"/>
        <v>23604</v>
      </c>
    </row>
    <row r="59" spans="2:9" x14ac:dyDescent="0.25">
      <c r="B59" s="63" t="s">
        <v>120</v>
      </c>
      <c r="C59" s="120">
        <v>43785</v>
      </c>
      <c r="D59" s="120">
        <v>43814</v>
      </c>
      <c r="E59" s="121">
        <v>43800</v>
      </c>
      <c r="F59" s="107" t="s">
        <v>75</v>
      </c>
      <c r="G59" s="112">
        <v>50</v>
      </c>
      <c r="H59" s="100">
        <v>5881</v>
      </c>
      <c r="I59" s="105">
        <f>H59*G59</f>
        <v>294050</v>
      </c>
    </row>
    <row r="60" spans="2:9" x14ac:dyDescent="0.25">
      <c r="B60" s="63" t="s">
        <v>120</v>
      </c>
      <c r="C60" s="120">
        <v>43785</v>
      </c>
      <c r="D60" s="120">
        <v>43814</v>
      </c>
      <c r="E60" s="121">
        <v>43800</v>
      </c>
      <c r="F60" s="107" t="s">
        <v>77</v>
      </c>
      <c r="G60" s="112">
        <v>29</v>
      </c>
      <c r="H60" s="100">
        <v>1557</v>
      </c>
      <c r="I60" s="105">
        <f>H60*G60</f>
        <v>45153</v>
      </c>
    </row>
    <row r="61" spans="2:9" x14ac:dyDescent="0.25">
      <c r="B61" s="63" t="s">
        <v>120</v>
      </c>
      <c r="C61" s="120">
        <v>43785</v>
      </c>
      <c r="D61" s="120">
        <v>43814</v>
      </c>
      <c r="E61" s="121">
        <v>43800</v>
      </c>
      <c r="F61" s="107" t="s">
        <v>80</v>
      </c>
      <c r="G61" s="112">
        <v>3</v>
      </c>
      <c r="H61" s="100">
        <v>7868</v>
      </c>
      <c r="I61" s="105">
        <f t="shared" ref="I61" si="3">H61*G61</f>
        <v>23604</v>
      </c>
    </row>
    <row r="62" spans="2:9" x14ac:dyDescent="0.25">
      <c r="B62" s="102"/>
      <c r="F62" s="102"/>
    </row>
    <row r="63" spans="2:9" x14ac:dyDescent="0.25">
      <c r="B63" s="102"/>
      <c r="F63" s="102"/>
    </row>
    <row r="64" spans="2:9" x14ac:dyDescent="0.25">
      <c r="B64" s="63" t="s">
        <v>119</v>
      </c>
      <c r="C64" s="120">
        <v>43754</v>
      </c>
      <c r="D64" s="120">
        <v>43784</v>
      </c>
      <c r="E64" s="121">
        <v>43770</v>
      </c>
      <c r="F64" s="107" t="s">
        <v>75</v>
      </c>
      <c r="G64" s="122">
        <v>138</v>
      </c>
      <c r="H64" s="100">
        <v>5881</v>
      </c>
      <c r="I64" s="105">
        <f>H64*G64</f>
        <v>811578</v>
      </c>
    </row>
    <row r="65" spans="2:9" x14ac:dyDescent="0.25">
      <c r="B65" s="63" t="s">
        <v>119</v>
      </c>
      <c r="C65" s="120">
        <v>43754</v>
      </c>
      <c r="D65" s="120">
        <v>43784</v>
      </c>
      <c r="E65" s="121">
        <v>43770</v>
      </c>
      <c r="F65" s="107" t="s">
        <v>77</v>
      </c>
      <c r="G65" s="122">
        <v>32</v>
      </c>
      <c r="H65" s="100">
        <v>1557</v>
      </c>
      <c r="I65" s="105">
        <f t="shared" ref="I65:I67" si="4">H65*G65</f>
        <v>49824</v>
      </c>
    </row>
    <row r="66" spans="2:9" x14ac:dyDescent="0.25">
      <c r="B66" s="63" t="s">
        <v>119</v>
      </c>
      <c r="C66" s="120">
        <v>43785</v>
      </c>
      <c r="D66" s="120">
        <v>43814</v>
      </c>
      <c r="E66" s="121">
        <v>43800</v>
      </c>
      <c r="F66" s="107" t="s">
        <v>75</v>
      </c>
      <c r="G66" s="122">
        <v>138</v>
      </c>
      <c r="H66" s="100">
        <v>5881</v>
      </c>
      <c r="I66" s="105">
        <f t="shared" si="4"/>
        <v>811578</v>
      </c>
    </row>
    <row r="67" spans="2:9" x14ac:dyDescent="0.25">
      <c r="B67" s="63" t="s">
        <v>119</v>
      </c>
      <c r="C67" s="120">
        <v>43785</v>
      </c>
      <c r="D67" s="120">
        <v>43814</v>
      </c>
      <c r="E67" s="121">
        <v>43800</v>
      </c>
      <c r="F67" s="107" t="s">
        <v>77</v>
      </c>
      <c r="G67" s="122">
        <v>32</v>
      </c>
      <c r="H67" s="100">
        <v>1557</v>
      </c>
      <c r="I67" s="105">
        <f t="shared" si="4"/>
        <v>49824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88"/>
  <sheetViews>
    <sheetView topLeftCell="A71" workbookViewId="0">
      <selection activeCell="I78" sqref="I78"/>
    </sheetView>
  </sheetViews>
  <sheetFormatPr baseColWidth="10" defaultRowHeight="15" x14ac:dyDescent="0.25"/>
  <cols>
    <col min="1" max="1" width="3" style="102" customWidth="1"/>
    <col min="2" max="2" width="21.85546875" style="106" bestFit="1" customWidth="1"/>
    <col min="3" max="3" width="11.42578125" style="102" customWidth="1"/>
    <col min="4" max="5" width="11.42578125" style="102"/>
    <col min="6" max="6" width="44.28515625" style="106" bestFit="1" customWidth="1"/>
    <col min="7" max="7" width="13.140625" style="102" bestFit="1" customWidth="1"/>
    <col min="8" max="8" width="17.85546875" style="102" customWidth="1"/>
    <col min="9" max="9" width="14.140625" style="102" bestFit="1" customWidth="1"/>
    <col min="10" max="10" width="13.140625" style="102" bestFit="1" customWidth="1"/>
    <col min="11" max="11" width="13.28515625" style="102" customWidth="1"/>
    <col min="12" max="12" width="16.42578125" style="102" customWidth="1"/>
    <col min="13" max="13" width="22" style="102" customWidth="1"/>
    <col min="14" max="14" width="18.5703125" style="102" customWidth="1"/>
    <col min="15" max="15" width="11.42578125" style="102"/>
    <col min="16" max="16" width="13.28515625" style="102" customWidth="1"/>
    <col min="17" max="17" width="16.42578125" style="102" customWidth="1"/>
    <col min="18" max="18" width="22" style="102" customWidth="1"/>
    <col min="19" max="19" width="18.5703125" style="102" customWidth="1"/>
    <col min="20" max="20" width="11.42578125" style="102"/>
    <col min="21" max="21" width="13.28515625" style="102" customWidth="1"/>
    <col min="22" max="22" width="16.28515625" style="102" customWidth="1"/>
    <col min="23" max="23" width="22.140625" style="102" customWidth="1"/>
    <col min="24" max="24" width="18.5703125" style="102" customWidth="1"/>
    <col min="25" max="16384" width="11.42578125" style="102"/>
  </cols>
  <sheetData>
    <row r="2" spans="2:24" x14ac:dyDescent="0.25">
      <c r="B2" s="103" t="s">
        <v>99</v>
      </c>
      <c r="K2" s="103" t="s">
        <v>100</v>
      </c>
      <c r="P2" s="103" t="s">
        <v>106</v>
      </c>
      <c r="U2" s="103" t="s">
        <v>109</v>
      </c>
    </row>
    <row r="3" spans="2:24" x14ac:dyDescent="0.25">
      <c r="B3" s="103"/>
    </row>
    <row r="4" spans="2:24" x14ac:dyDescent="0.25">
      <c r="B4" s="229" t="s">
        <v>112</v>
      </c>
      <c r="C4" s="229"/>
      <c r="D4" s="229"/>
      <c r="E4" s="229"/>
      <c r="F4" s="229"/>
      <c r="G4" s="229"/>
      <c r="H4" s="229"/>
      <c r="I4" s="229"/>
    </row>
    <row r="5" spans="2:24" x14ac:dyDescent="0.25">
      <c r="B5" s="229"/>
      <c r="C5" s="229"/>
      <c r="D5" s="229"/>
      <c r="E5" s="229"/>
      <c r="F5" s="229"/>
      <c r="G5" s="229"/>
      <c r="H5" s="229"/>
      <c r="I5" s="229"/>
    </row>
    <row r="6" spans="2:24" x14ac:dyDescent="0.25">
      <c r="B6" s="229" t="s">
        <v>113</v>
      </c>
      <c r="C6" s="229"/>
      <c r="D6" s="229"/>
      <c r="E6" s="229"/>
      <c r="F6" s="229"/>
      <c r="G6" s="229"/>
      <c r="H6" s="229"/>
      <c r="I6" s="229"/>
    </row>
    <row r="7" spans="2:24" x14ac:dyDescent="0.25">
      <c r="B7" s="229"/>
      <c r="C7" s="229"/>
      <c r="D7" s="229"/>
      <c r="E7" s="229"/>
      <c r="F7" s="229"/>
      <c r="G7" s="229"/>
      <c r="H7" s="229"/>
      <c r="I7" s="229"/>
    </row>
    <row r="8" spans="2:24" x14ac:dyDescent="0.25">
      <c r="B8" s="229" t="s">
        <v>114</v>
      </c>
      <c r="C8" s="229"/>
      <c r="D8" s="229"/>
      <c r="E8" s="229"/>
      <c r="F8" s="229"/>
      <c r="G8" s="229"/>
      <c r="H8" s="229"/>
      <c r="I8" s="229"/>
    </row>
    <row r="9" spans="2:24" x14ac:dyDescent="0.25">
      <c r="B9" s="229"/>
      <c r="C9" s="229"/>
      <c r="D9" s="229"/>
      <c r="E9" s="229"/>
      <c r="F9" s="229"/>
      <c r="G9" s="229"/>
      <c r="H9" s="229"/>
      <c r="I9" s="229"/>
    </row>
    <row r="10" spans="2:24" x14ac:dyDescent="0.25">
      <c r="B10" s="103"/>
    </row>
    <row r="11" spans="2:24" x14ac:dyDescent="0.25">
      <c r="B11" s="103" t="s">
        <v>101</v>
      </c>
      <c r="U11" s="103"/>
    </row>
    <row r="12" spans="2:24" ht="30" customHeight="1" x14ac:dyDescent="0.25">
      <c r="B12" s="111" t="s">
        <v>96</v>
      </c>
      <c r="C12" s="111" t="s">
        <v>97</v>
      </c>
      <c r="D12" s="111" t="s">
        <v>98</v>
      </c>
      <c r="E12" s="111" t="s">
        <v>54</v>
      </c>
      <c r="F12" s="111" t="s">
        <v>95</v>
      </c>
      <c r="G12" s="111" t="s">
        <v>94</v>
      </c>
      <c r="H12" s="111" t="s">
        <v>107</v>
      </c>
      <c r="I12" s="111" t="s">
        <v>108</v>
      </c>
      <c r="K12" s="114" t="s">
        <v>104</v>
      </c>
      <c r="L12" s="114" t="s">
        <v>102</v>
      </c>
      <c r="M12" s="114" t="s">
        <v>103</v>
      </c>
      <c r="N12" s="114" t="s">
        <v>105</v>
      </c>
      <c r="P12" s="114" t="s">
        <v>104</v>
      </c>
      <c r="Q12" s="114" t="s">
        <v>102</v>
      </c>
      <c r="R12" s="114" t="s">
        <v>103</v>
      </c>
      <c r="S12" s="114" t="s">
        <v>105</v>
      </c>
      <c r="U12" s="114" t="s">
        <v>104</v>
      </c>
      <c r="V12" s="114" t="s">
        <v>102</v>
      </c>
      <c r="W12" s="114" t="s">
        <v>103</v>
      </c>
      <c r="X12" s="114" t="s">
        <v>105</v>
      </c>
    </row>
    <row r="13" spans="2:24" x14ac:dyDescent="0.25">
      <c r="B13" s="107" t="s">
        <v>90</v>
      </c>
      <c r="C13" s="108">
        <v>43666</v>
      </c>
      <c r="D13" s="108">
        <v>43697</v>
      </c>
      <c r="E13" s="109">
        <v>43678</v>
      </c>
      <c r="F13" s="107" t="s">
        <v>74</v>
      </c>
      <c r="G13" s="110">
        <v>185</v>
      </c>
      <c r="H13" s="104">
        <v>7359</v>
      </c>
      <c r="I13" s="105">
        <v>1361415</v>
      </c>
      <c r="K13" s="112">
        <f>IF(MONTH(E13)&lt;11,VLOOKUP(E13,'Evolución de Tarifa'!$B$3:$C$19,2,FALSE),146.69)</f>
        <v>130.72999999999999</v>
      </c>
      <c r="L13" s="104">
        <f>MROUND(H13*K13/100,0.01)</f>
        <v>9620.42</v>
      </c>
      <c r="M13" s="105">
        <f>L13*G13</f>
        <v>1779777.7</v>
      </c>
      <c r="N13" s="113">
        <f>M13-I13</f>
        <v>418362.69999999995</v>
      </c>
      <c r="P13" s="112">
        <f>IF(MONTH(E13)&lt;10,130.73,146.69)</f>
        <v>130.72999999999999</v>
      </c>
      <c r="Q13" s="104">
        <f>MROUND($H$13*P13/100,0.01)</f>
        <v>9620.42</v>
      </c>
      <c r="R13" s="105">
        <f>Q13*$G$13</f>
        <v>1779777.7</v>
      </c>
      <c r="S13" s="113">
        <f>R13-$I$13</f>
        <v>418362.69999999995</v>
      </c>
      <c r="U13" s="112">
        <f>VLOOKUP(E13,'Evolución de Tarifa'!$B$12:$F$19,5,FALSE)</f>
        <v>130.75</v>
      </c>
      <c r="V13" s="104">
        <f>MROUND($H13*U13/100,0.01)</f>
        <v>9621.89</v>
      </c>
      <c r="W13" s="105">
        <f>V13*$G13</f>
        <v>1780049.65</v>
      </c>
      <c r="X13" s="113">
        <f>W13-$I13</f>
        <v>418634.64999999991</v>
      </c>
    </row>
    <row r="14" spans="2:24" x14ac:dyDescent="0.25">
      <c r="B14" s="107" t="s">
        <v>90</v>
      </c>
      <c r="C14" s="108">
        <v>43666</v>
      </c>
      <c r="D14" s="108">
        <v>43697</v>
      </c>
      <c r="E14" s="109">
        <v>43678</v>
      </c>
      <c r="F14" s="107" t="s">
        <v>77</v>
      </c>
      <c r="G14" s="110">
        <v>593</v>
      </c>
      <c r="H14" s="104">
        <v>1192</v>
      </c>
      <c r="I14" s="105">
        <v>706856</v>
      </c>
      <c r="K14" s="112">
        <f>IF(MONTH(E14)&lt;11,VLOOKUP(E14,'Evolución de Tarifa'!$B$3:$C$19,2,FALSE),146.69)</f>
        <v>130.72999999999999</v>
      </c>
      <c r="L14" s="104">
        <f t="shared" ref="L14:L30" si="0">MROUND(H14*K14/100,0.01)</f>
        <v>1558.3</v>
      </c>
      <c r="M14" s="105">
        <f t="shared" ref="M14:M30" si="1">L14*G14</f>
        <v>924071.9</v>
      </c>
      <c r="N14" s="113">
        <f t="shared" ref="N14:N30" si="2">M14-I14</f>
        <v>217215.90000000002</v>
      </c>
      <c r="P14" s="112">
        <f t="shared" ref="P14:P30" si="3">IF(MONTH(E14)&lt;10,130.73,146.69)</f>
        <v>130.72999999999999</v>
      </c>
      <c r="Q14" s="104">
        <f t="shared" ref="Q14:Q30" si="4">MROUND(H14*P14/100,0.01)</f>
        <v>1558.3</v>
      </c>
      <c r="R14" s="105">
        <f t="shared" ref="R14:R30" si="5">Q14*G14</f>
        <v>924071.9</v>
      </c>
      <c r="S14" s="113">
        <f t="shared" ref="S14:S30" si="6">R14-I14</f>
        <v>217215.90000000002</v>
      </c>
      <c r="U14" s="112">
        <f>VLOOKUP(E14,'Evolución de Tarifa'!$B$12:$F$19,5,FALSE)</f>
        <v>130.75</v>
      </c>
      <c r="V14" s="104">
        <f t="shared" ref="V14:V30" si="7">MROUND($H14*U14/100,0.01)</f>
        <v>1558.54</v>
      </c>
      <c r="W14" s="105">
        <f t="shared" ref="W14:W30" si="8">V14*$G14</f>
        <v>924214.22</v>
      </c>
      <c r="X14" s="113">
        <f t="shared" ref="X14:X30" si="9">W14-$I14</f>
        <v>217358.21999999997</v>
      </c>
    </row>
    <row r="15" spans="2:24" x14ac:dyDescent="0.25">
      <c r="B15" s="107" t="s">
        <v>90</v>
      </c>
      <c r="C15" s="108">
        <v>43697</v>
      </c>
      <c r="D15" s="108">
        <v>43728</v>
      </c>
      <c r="E15" s="109">
        <v>43709</v>
      </c>
      <c r="F15" s="107" t="s">
        <v>74</v>
      </c>
      <c r="G15" s="110">
        <v>191</v>
      </c>
      <c r="H15" s="104">
        <v>7359</v>
      </c>
      <c r="I15" s="105">
        <v>1405569</v>
      </c>
      <c r="K15" s="112">
        <f>IF(MONTH(E15)&lt;11,VLOOKUP(E15,'Evolución de Tarifa'!$B$3:$C$19,2,FALSE),146.69)</f>
        <v>136.66999999999999</v>
      </c>
      <c r="L15" s="104">
        <f t="shared" si="0"/>
        <v>10057.550000000001</v>
      </c>
      <c r="M15" s="105">
        <f t="shared" si="1"/>
        <v>1920992.0500000003</v>
      </c>
      <c r="N15" s="113">
        <f t="shared" si="2"/>
        <v>515423.05000000028</v>
      </c>
      <c r="P15" s="112">
        <f t="shared" si="3"/>
        <v>130.72999999999999</v>
      </c>
      <c r="Q15" s="104">
        <f t="shared" si="4"/>
        <v>9620.42</v>
      </c>
      <c r="R15" s="105">
        <f t="shared" si="5"/>
        <v>1837500.22</v>
      </c>
      <c r="S15" s="113">
        <f t="shared" si="6"/>
        <v>431931.22</v>
      </c>
      <c r="U15" s="112">
        <f>VLOOKUP(E15,'Evolución de Tarifa'!$B$12:$F$19,5,FALSE)</f>
        <v>130.75</v>
      </c>
      <c r="V15" s="104">
        <f t="shared" si="7"/>
        <v>9621.89</v>
      </c>
      <c r="W15" s="105">
        <f t="shared" si="8"/>
        <v>1837780.99</v>
      </c>
      <c r="X15" s="113">
        <f t="shared" si="9"/>
        <v>432211.99</v>
      </c>
    </row>
    <row r="16" spans="2:24" x14ac:dyDescent="0.25">
      <c r="B16" s="107" t="s">
        <v>90</v>
      </c>
      <c r="C16" s="108">
        <v>43697</v>
      </c>
      <c r="D16" s="108">
        <v>43728</v>
      </c>
      <c r="E16" s="109">
        <v>43709</v>
      </c>
      <c r="F16" s="107" t="s">
        <v>77</v>
      </c>
      <c r="G16" s="110">
        <v>630</v>
      </c>
      <c r="H16" s="104">
        <v>1192</v>
      </c>
      <c r="I16" s="105">
        <v>750960</v>
      </c>
      <c r="K16" s="112">
        <f>IF(MONTH(E16)&lt;11,VLOOKUP(E16,'Evolución de Tarifa'!$B$3:$C$19,2,FALSE),146.69)</f>
        <v>136.66999999999999</v>
      </c>
      <c r="L16" s="104">
        <f t="shared" si="0"/>
        <v>1629.1100000000001</v>
      </c>
      <c r="M16" s="105">
        <f t="shared" si="1"/>
        <v>1026339.3</v>
      </c>
      <c r="N16" s="113">
        <f t="shared" si="2"/>
        <v>275379.30000000005</v>
      </c>
      <c r="P16" s="112">
        <f t="shared" si="3"/>
        <v>130.72999999999999</v>
      </c>
      <c r="Q16" s="104">
        <f t="shared" si="4"/>
        <v>1558.3</v>
      </c>
      <c r="R16" s="105">
        <f t="shared" si="5"/>
        <v>981729</v>
      </c>
      <c r="S16" s="113">
        <f t="shared" si="6"/>
        <v>230769</v>
      </c>
      <c r="U16" s="112">
        <f>VLOOKUP(E16,'Evolución de Tarifa'!$B$12:$F$19,5,FALSE)</f>
        <v>130.75</v>
      </c>
      <c r="V16" s="104">
        <f t="shared" si="7"/>
        <v>1558.54</v>
      </c>
      <c r="W16" s="105">
        <f t="shared" si="8"/>
        <v>981880.2</v>
      </c>
      <c r="X16" s="113">
        <f t="shared" si="9"/>
        <v>230920.19999999995</v>
      </c>
    </row>
    <row r="17" spans="2:24" x14ac:dyDescent="0.25">
      <c r="B17" s="107" t="s">
        <v>90</v>
      </c>
      <c r="C17" s="108">
        <v>43697</v>
      </c>
      <c r="D17" s="108">
        <v>43728</v>
      </c>
      <c r="E17" s="109">
        <v>43709</v>
      </c>
      <c r="F17" s="107" t="s">
        <v>79</v>
      </c>
      <c r="G17" s="110">
        <v>1</v>
      </c>
      <c r="H17" s="104">
        <v>20359</v>
      </c>
      <c r="I17" s="105">
        <v>20359</v>
      </c>
      <c r="K17" s="112">
        <f>IF(MONTH(E17)&lt;11,VLOOKUP(E17,'Evolución de Tarifa'!$B$3:$C$19,2,FALSE),146.69)</f>
        <v>136.66999999999999</v>
      </c>
      <c r="L17" s="104">
        <f t="shared" si="0"/>
        <v>27824.65</v>
      </c>
      <c r="M17" s="105">
        <f t="shared" si="1"/>
        <v>27824.65</v>
      </c>
      <c r="N17" s="113">
        <f t="shared" si="2"/>
        <v>7465.6500000000015</v>
      </c>
      <c r="P17" s="112">
        <f t="shared" si="3"/>
        <v>130.72999999999999</v>
      </c>
      <c r="Q17" s="104">
        <f t="shared" si="4"/>
        <v>26615.32</v>
      </c>
      <c r="R17" s="105">
        <f t="shared" si="5"/>
        <v>26615.32</v>
      </c>
      <c r="S17" s="113">
        <f t="shared" si="6"/>
        <v>6256.32</v>
      </c>
      <c r="U17" s="112">
        <f>VLOOKUP(E17,'Evolución de Tarifa'!$B$12:$F$19,5,FALSE)</f>
        <v>130.75</v>
      </c>
      <c r="V17" s="104">
        <f t="shared" si="7"/>
        <v>26619.39</v>
      </c>
      <c r="W17" s="105">
        <f t="shared" si="8"/>
        <v>26619.39</v>
      </c>
      <c r="X17" s="113">
        <f t="shared" si="9"/>
        <v>6260.3899999999994</v>
      </c>
    </row>
    <row r="18" spans="2:24" x14ac:dyDescent="0.25">
      <c r="B18" s="107" t="s">
        <v>90</v>
      </c>
      <c r="C18" s="108">
        <v>43728</v>
      </c>
      <c r="D18" s="108">
        <v>43758</v>
      </c>
      <c r="E18" s="109">
        <v>43739</v>
      </c>
      <c r="F18" s="107" t="s">
        <v>74</v>
      </c>
      <c r="G18" s="110">
        <v>175</v>
      </c>
      <c r="H18" s="104">
        <v>7359</v>
      </c>
      <c r="I18" s="105">
        <v>1287825</v>
      </c>
      <c r="K18" s="112">
        <f>IF(MONTH(E18)&lt;11,VLOOKUP(E18,'Evolución de Tarifa'!$B$3:$C$19,2,FALSE),146.69)</f>
        <v>146.69</v>
      </c>
      <c r="L18" s="104">
        <f t="shared" si="0"/>
        <v>10794.92</v>
      </c>
      <c r="M18" s="105">
        <f t="shared" si="1"/>
        <v>1889111</v>
      </c>
      <c r="N18" s="113">
        <f t="shared" si="2"/>
        <v>601286</v>
      </c>
      <c r="P18" s="112">
        <f t="shared" si="3"/>
        <v>146.69</v>
      </c>
      <c r="Q18" s="104">
        <f t="shared" si="4"/>
        <v>10794.92</v>
      </c>
      <c r="R18" s="105">
        <f t="shared" si="5"/>
        <v>1889111</v>
      </c>
      <c r="S18" s="113">
        <f t="shared" si="6"/>
        <v>601286</v>
      </c>
      <c r="U18" s="112">
        <f>VLOOKUP(E18,'Evolución de Tarifa'!$B$12:$F$19,5,FALSE)</f>
        <v>138.4</v>
      </c>
      <c r="V18" s="104">
        <f t="shared" si="7"/>
        <v>10184.86</v>
      </c>
      <c r="W18" s="105">
        <f t="shared" si="8"/>
        <v>1782350.5</v>
      </c>
      <c r="X18" s="113">
        <f t="shared" si="9"/>
        <v>494525.5</v>
      </c>
    </row>
    <row r="19" spans="2:24" x14ac:dyDescent="0.25">
      <c r="B19" s="107" t="s">
        <v>90</v>
      </c>
      <c r="C19" s="108">
        <v>43728</v>
      </c>
      <c r="D19" s="108">
        <v>43758</v>
      </c>
      <c r="E19" s="109">
        <v>43739</v>
      </c>
      <c r="F19" s="107" t="s">
        <v>77</v>
      </c>
      <c r="G19" s="110">
        <v>606</v>
      </c>
      <c r="H19" s="104">
        <v>1192</v>
      </c>
      <c r="I19" s="105">
        <v>722352</v>
      </c>
      <c r="K19" s="112">
        <f>IF(MONTH(E19)&lt;11,VLOOKUP(E19,'Evolución de Tarifa'!$B$3:$C$19,2,FALSE),146.69)</f>
        <v>146.69</v>
      </c>
      <c r="L19" s="104">
        <f t="shared" si="0"/>
        <v>1748.54</v>
      </c>
      <c r="M19" s="105">
        <f t="shared" si="1"/>
        <v>1059615.24</v>
      </c>
      <c r="N19" s="113">
        <f t="shared" si="2"/>
        <v>337263.24</v>
      </c>
      <c r="P19" s="112">
        <f t="shared" si="3"/>
        <v>146.69</v>
      </c>
      <c r="Q19" s="104">
        <f t="shared" si="4"/>
        <v>1748.54</v>
      </c>
      <c r="R19" s="105">
        <f t="shared" si="5"/>
        <v>1059615.24</v>
      </c>
      <c r="S19" s="113">
        <f t="shared" si="6"/>
        <v>337263.24</v>
      </c>
      <c r="U19" s="112">
        <f>VLOOKUP(E19,'Evolución de Tarifa'!$B$12:$F$19,5,FALSE)</f>
        <v>138.4</v>
      </c>
      <c r="V19" s="104">
        <f t="shared" si="7"/>
        <v>1649.73</v>
      </c>
      <c r="W19" s="105">
        <f t="shared" si="8"/>
        <v>999736.38</v>
      </c>
      <c r="X19" s="113">
        <f t="shared" si="9"/>
        <v>277384.38</v>
      </c>
    </row>
    <row r="20" spans="2:24" x14ac:dyDescent="0.25">
      <c r="B20" s="107" t="s">
        <v>90</v>
      </c>
      <c r="C20" s="108">
        <v>43758</v>
      </c>
      <c r="D20" s="108">
        <v>43789</v>
      </c>
      <c r="E20" s="109">
        <v>43770</v>
      </c>
      <c r="F20" s="107" t="s">
        <v>74</v>
      </c>
      <c r="G20" s="110">
        <v>174</v>
      </c>
      <c r="H20" s="104">
        <v>7359</v>
      </c>
      <c r="I20" s="105">
        <v>1280466</v>
      </c>
      <c r="K20" s="112">
        <f>IF(MONTH(E20)&lt;11,VLOOKUP(E20,'Evolución de Tarifa'!$B$3:$C$19,2,FALSE),146.69)</f>
        <v>146.69</v>
      </c>
      <c r="L20" s="104">
        <f t="shared" si="0"/>
        <v>10794.92</v>
      </c>
      <c r="M20" s="105">
        <f t="shared" si="1"/>
        <v>1878316.08</v>
      </c>
      <c r="N20" s="113">
        <f t="shared" si="2"/>
        <v>597850.08000000007</v>
      </c>
      <c r="P20" s="112">
        <f t="shared" si="3"/>
        <v>146.69</v>
      </c>
      <c r="Q20" s="104">
        <f t="shared" si="4"/>
        <v>10794.92</v>
      </c>
      <c r="R20" s="105">
        <f t="shared" si="5"/>
        <v>1878316.08</v>
      </c>
      <c r="S20" s="113">
        <f t="shared" si="6"/>
        <v>597850.08000000007</v>
      </c>
      <c r="U20" s="112">
        <f>VLOOKUP(E20,'Evolución de Tarifa'!$B$12:$F$19,5,FALSE)</f>
        <v>138.4</v>
      </c>
      <c r="V20" s="104">
        <f t="shared" si="7"/>
        <v>10184.86</v>
      </c>
      <c r="W20" s="105">
        <f t="shared" si="8"/>
        <v>1772165.6400000001</v>
      </c>
      <c r="X20" s="113">
        <f t="shared" si="9"/>
        <v>491699.64000000013</v>
      </c>
    </row>
    <row r="21" spans="2:24" x14ac:dyDescent="0.25">
      <c r="B21" s="107" t="s">
        <v>90</v>
      </c>
      <c r="C21" s="108">
        <v>43758</v>
      </c>
      <c r="D21" s="108">
        <v>43789</v>
      </c>
      <c r="E21" s="109">
        <v>43770</v>
      </c>
      <c r="F21" s="107" t="s">
        <v>77</v>
      </c>
      <c r="G21" s="110">
        <v>618</v>
      </c>
      <c r="H21" s="104">
        <v>1192</v>
      </c>
      <c r="I21" s="105">
        <v>736656</v>
      </c>
      <c r="K21" s="112">
        <f>IF(MONTH(E21)&lt;11,VLOOKUP(E21,'Evolución de Tarifa'!$B$3:$C$19,2,FALSE),146.69)</f>
        <v>146.69</v>
      </c>
      <c r="L21" s="104">
        <f t="shared" si="0"/>
        <v>1748.54</v>
      </c>
      <c r="M21" s="105">
        <f t="shared" si="1"/>
        <v>1080597.72</v>
      </c>
      <c r="N21" s="113">
        <f t="shared" si="2"/>
        <v>343941.72</v>
      </c>
      <c r="P21" s="112">
        <f t="shared" si="3"/>
        <v>146.69</v>
      </c>
      <c r="Q21" s="104">
        <f t="shared" si="4"/>
        <v>1748.54</v>
      </c>
      <c r="R21" s="105">
        <f t="shared" si="5"/>
        <v>1080597.72</v>
      </c>
      <c r="S21" s="113">
        <f t="shared" si="6"/>
        <v>343941.72</v>
      </c>
      <c r="U21" s="112">
        <f>VLOOKUP(E21,'Evolución de Tarifa'!$B$12:$F$19,5,FALSE)</f>
        <v>138.4</v>
      </c>
      <c r="V21" s="104">
        <f t="shared" si="7"/>
        <v>1649.73</v>
      </c>
      <c r="W21" s="105">
        <f t="shared" si="8"/>
        <v>1019533.14</v>
      </c>
      <c r="X21" s="113">
        <f t="shared" si="9"/>
        <v>282877.14</v>
      </c>
    </row>
    <row r="22" spans="2:24" x14ac:dyDescent="0.25">
      <c r="B22" s="107" t="s">
        <v>90</v>
      </c>
      <c r="C22" s="108">
        <v>43789</v>
      </c>
      <c r="D22" s="108">
        <v>43819</v>
      </c>
      <c r="E22" s="109">
        <v>43800</v>
      </c>
      <c r="F22" s="107" t="s">
        <v>74</v>
      </c>
      <c r="G22" s="110">
        <v>168</v>
      </c>
      <c r="H22" s="104">
        <v>7359</v>
      </c>
      <c r="I22" s="105">
        <v>1236312</v>
      </c>
      <c r="K22" s="112">
        <f>IF(MONTH(E22)&lt;11,VLOOKUP(E22,'Evolución de Tarifa'!$B$3:$C$19,2,FALSE),146.69)</f>
        <v>146.69</v>
      </c>
      <c r="L22" s="104">
        <f t="shared" si="0"/>
        <v>10794.92</v>
      </c>
      <c r="M22" s="105">
        <f t="shared" si="1"/>
        <v>1813546.56</v>
      </c>
      <c r="N22" s="113">
        <f t="shared" si="2"/>
        <v>577234.56000000006</v>
      </c>
      <c r="P22" s="112">
        <f t="shared" si="3"/>
        <v>146.69</v>
      </c>
      <c r="Q22" s="104">
        <f t="shared" si="4"/>
        <v>10794.92</v>
      </c>
      <c r="R22" s="105">
        <f t="shared" si="5"/>
        <v>1813546.56</v>
      </c>
      <c r="S22" s="113">
        <f t="shared" si="6"/>
        <v>577234.56000000006</v>
      </c>
      <c r="U22" s="112">
        <f>VLOOKUP(E22,'Evolución de Tarifa'!$B$12:$F$19,5,FALSE)</f>
        <v>138.4</v>
      </c>
      <c r="V22" s="104">
        <f t="shared" si="7"/>
        <v>10184.86</v>
      </c>
      <c r="W22" s="105">
        <f t="shared" si="8"/>
        <v>1711056.48</v>
      </c>
      <c r="X22" s="113">
        <f t="shared" si="9"/>
        <v>474744.48</v>
      </c>
    </row>
    <row r="23" spans="2:24" x14ac:dyDescent="0.25">
      <c r="B23" s="107" t="s">
        <v>90</v>
      </c>
      <c r="C23" s="108">
        <v>43789</v>
      </c>
      <c r="D23" s="108">
        <v>43819</v>
      </c>
      <c r="E23" s="109">
        <v>43800</v>
      </c>
      <c r="F23" s="107" t="s">
        <v>77</v>
      </c>
      <c r="G23" s="110">
        <v>595</v>
      </c>
      <c r="H23" s="104">
        <v>1192</v>
      </c>
      <c r="I23" s="105">
        <v>709240</v>
      </c>
      <c r="K23" s="112">
        <f>IF(MONTH(E23)&lt;11,VLOOKUP(E23,'Evolución de Tarifa'!$B$3:$C$19,2,FALSE),146.69)</f>
        <v>146.69</v>
      </c>
      <c r="L23" s="104">
        <f t="shared" si="0"/>
        <v>1748.54</v>
      </c>
      <c r="M23" s="105">
        <f t="shared" si="1"/>
        <v>1040381.2999999999</v>
      </c>
      <c r="N23" s="113">
        <f t="shared" si="2"/>
        <v>331141.29999999993</v>
      </c>
      <c r="P23" s="112">
        <f t="shared" si="3"/>
        <v>146.69</v>
      </c>
      <c r="Q23" s="104">
        <f t="shared" si="4"/>
        <v>1748.54</v>
      </c>
      <c r="R23" s="105">
        <f t="shared" si="5"/>
        <v>1040381.2999999999</v>
      </c>
      <c r="S23" s="113">
        <f t="shared" si="6"/>
        <v>331141.29999999993</v>
      </c>
      <c r="U23" s="112">
        <f>VLOOKUP(E23,'Evolución de Tarifa'!$B$12:$F$19,5,FALSE)</f>
        <v>138.4</v>
      </c>
      <c r="V23" s="104">
        <f t="shared" si="7"/>
        <v>1649.73</v>
      </c>
      <c r="W23" s="105">
        <f t="shared" si="8"/>
        <v>981589.35</v>
      </c>
      <c r="X23" s="113">
        <f t="shared" si="9"/>
        <v>272349.34999999998</v>
      </c>
    </row>
    <row r="24" spans="2:24" x14ac:dyDescent="0.25">
      <c r="B24" s="107" t="s">
        <v>90</v>
      </c>
      <c r="C24" s="108">
        <v>43789</v>
      </c>
      <c r="D24" s="108">
        <v>43819</v>
      </c>
      <c r="E24" s="109">
        <v>43800</v>
      </c>
      <c r="F24" s="107" t="s">
        <v>79</v>
      </c>
      <c r="G24" s="110">
        <v>1</v>
      </c>
      <c r="H24" s="104">
        <v>20359</v>
      </c>
      <c r="I24" s="105">
        <v>20359</v>
      </c>
      <c r="K24" s="112">
        <f>IF(MONTH(E24)&lt;11,VLOOKUP(E24,'Evolución de Tarifa'!$B$3:$C$19,2,FALSE),146.69)</f>
        <v>146.69</v>
      </c>
      <c r="L24" s="104">
        <f t="shared" si="0"/>
        <v>29864.62</v>
      </c>
      <c r="M24" s="105">
        <f t="shared" si="1"/>
        <v>29864.62</v>
      </c>
      <c r="N24" s="113">
        <f t="shared" si="2"/>
        <v>9505.619999999999</v>
      </c>
      <c r="P24" s="112">
        <f t="shared" si="3"/>
        <v>146.69</v>
      </c>
      <c r="Q24" s="104">
        <f t="shared" si="4"/>
        <v>29864.62</v>
      </c>
      <c r="R24" s="105">
        <f t="shared" si="5"/>
        <v>29864.62</v>
      </c>
      <c r="S24" s="113">
        <f t="shared" si="6"/>
        <v>9505.619999999999</v>
      </c>
      <c r="U24" s="112">
        <f>VLOOKUP(E24,'Evolución de Tarifa'!$B$12:$F$19,5,FALSE)</f>
        <v>138.4</v>
      </c>
      <c r="V24" s="104">
        <f t="shared" si="7"/>
        <v>28176.86</v>
      </c>
      <c r="W24" s="105">
        <f t="shared" si="8"/>
        <v>28176.86</v>
      </c>
      <c r="X24" s="113">
        <f t="shared" si="9"/>
        <v>7817.8600000000006</v>
      </c>
    </row>
    <row r="25" spans="2:24" x14ac:dyDescent="0.25">
      <c r="B25" s="107" t="s">
        <v>90</v>
      </c>
      <c r="C25" s="108">
        <v>43789</v>
      </c>
      <c r="D25" s="108">
        <v>43819</v>
      </c>
      <c r="E25" s="109">
        <v>43800</v>
      </c>
      <c r="F25" s="107" t="s">
        <v>80</v>
      </c>
      <c r="G25" s="110">
        <v>1</v>
      </c>
      <c r="H25" s="104">
        <v>8646</v>
      </c>
      <c r="I25" s="105">
        <v>8646</v>
      </c>
      <c r="K25" s="112">
        <f>IF(MONTH(E25)&lt;11,VLOOKUP(E25,'Evolución de Tarifa'!$B$3:$C$19,2,FALSE),146.69)</f>
        <v>146.69</v>
      </c>
      <c r="L25" s="104">
        <f t="shared" si="0"/>
        <v>12682.82</v>
      </c>
      <c r="M25" s="105">
        <f t="shared" si="1"/>
        <v>12682.82</v>
      </c>
      <c r="N25" s="113">
        <f t="shared" si="2"/>
        <v>4036.8199999999997</v>
      </c>
      <c r="P25" s="112">
        <f t="shared" si="3"/>
        <v>146.69</v>
      </c>
      <c r="Q25" s="104">
        <f t="shared" si="4"/>
        <v>12682.82</v>
      </c>
      <c r="R25" s="105">
        <f t="shared" si="5"/>
        <v>12682.82</v>
      </c>
      <c r="S25" s="113">
        <f t="shared" si="6"/>
        <v>4036.8199999999997</v>
      </c>
      <c r="U25" s="112">
        <f>VLOOKUP(E25,'Evolución de Tarifa'!$B$12:$F$19,5,FALSE)</f>
        <v>138.4</v>
      </c>
      <c r="V25" s="104">
        <f t="shared" si="7"/>
        <v>11966.06</v>
      </c>
      <c r="W25" s="105">
        <f t="shared" si="8"/>
        <v>11966.06</v>
      </c>
      <c r="X25" s="113">
        <f t="shared" si="9"/>
        <v>3320.0599999999995</v>
      </c>
    </row>
    <row r="26" spans="2:24" x14ac:dyDescent="0.25">
      <c r="B26" s="107" t="s">
        <v>91</v>
      </c>
      <c r="C26" s="108">
        <v>43666</v>
      </c>
      <c r="D26" s="108">
        <v>43697</v>
      </c>
      <c r="E26" s="109">
        <v>43678</v>
      </c>
      <c r="F26" s="107" t="s">
        <v>74</v>
      </c>
      <c r="G26" s="110">
        <v>13</v>
      </c>
      <c r="H26" s="104">
        <v>7359</v>
      </c>
      <c r="I26" s="105">
        <v>95667</v>
      </c>
      <c r="K26" s="112">
        <f>IF(MONTH(E26)&lt;11,VLOOKUP(E26,'Evolución de Tarifa'!$B$3:$C$19,2,FALSE),146.69)</f>
        <v>130.72999999999999</v>
      </c>
      <c r="L26" s="104">
        <f t="shared" si="0"/>
        <v>9620.42</v>
      </c>
      <c r="M26" s="105">
        <f t="shared" si="1"/>
        <v>125065.46</v>
      </c>
      <c r="N26" s="113">
        <f t="shared" si="2"/>
        <v>29398.460000000006</v>
      </c>
      <c r="P26" s="112">
        <f t="shared" si="3"/>
        <v>130.72999999999999</v>
      </c>
      <c r="Q26" s="104">
        <f t="shared" si="4"/>
        <v>9620.42</v>
      </c>
      <c r="R26" s="105">
        <f t="shared" si="5"/>
        <v>125065.46</v>
      </c>
      <c r="S26" s="113">
        <f t="shared" si="6"/>
        <v>29398.460000000006</v>
      </c>
      <c r="U26" s="112">
        <f>VLOOKUP(E26,'Evolución de Tarifa'!$B$12:$F$19,5,FALSE)</f>
        <v>130.75</v>
      </c>
      <c r="V26" s="104">
        <f t="shared" si="7"/>
        <v>9621.89</v>
      </c>
      <c r="W26" s="105">
        <f t="shared" si="8"/>
        <v>125084.56999999999</v>
      </c>
      <c r="X26" s="113">
        <f t="shared" si="9"/>
        <v>29417.569999999992</v>
      </c>
    </row>
    <row r="27" spans="2:24" x14ac:dyDescent="0.25">
      <c r="B27" s="107" t="s">
        <v>91</v>
      </c>
      <c r="C27" s="108">
        <v>43697</v>
      </c>
      <c r="D27" s="108">
        <v>43728</v>
      </c>
      <c r="E27" s="109">
        <v>43709</v>
      </c>
      <c r="F27" s="107" t="s">
        <v>74</v>
      </c>
      <c r="G27" s="110">
        <v>13</v>
      </c>
      <c r="H27" s="104">
        <v>7359</v>
      </c>
      <c r="I27" s="105">
        <v>95667</v>
      </c>
      <c r="K27" s="112">
        <f>IF(MONTH(E27)&lt;11,VLOOKUP(E27,'Evolución de Tarifa'!$B$3:$C$19,2,FALSE),146.69)</f>
        <v>136.66999999999999</v>
      </c>
      <c r="L27" s="104">
        <f t="shared" si="0"/>
        <v>10057.550000000001</v>
      </c>
      <c r="M27" s="105">
        <f t="shared" si="1"/>
        <v>130748.15000000001</v>
      </c>
      <c r="N27" s="113">
        <f t="shared" si="2"/>
        <v>35081.150000000009</v>
      </c>
      <c r="P27" s="112">
        <f t="shared" si="3"/>
        <v>130.72999999999999</v>
      </c>
      <c r="Q27" s="104">
        <f t="shared" si="4"/>
        <v>9620.42</v>
      </c>
      <c r="R27" s="105">
        <f t="shared" si="5"/>
        <v>125065.46</v>
      </c>
      <c r="S27" s="113">
        <f t="shared" si="6"/>
        <v>29398.460000000006</v>
      </c>
      <c r="U27" s="112">
        <f>VLOOKUP(E27,'Evolución de Tarifa'!$B$12:$F$19,5,FALSE)</f>
        <v>130.75</v>
      </c>
      <c r="V27" s="104">
        <f t="shared" si="7"/>
        <v>9621.89</v>
      </c>
      <c r="W27" s="105">
        <f t="shared" si="8"/>
        <v>125084.56999999999</v>
      </c>
      <c r="X27" s="113">
        <f t="shared" si="9"/>
        <v>29417.569999999992</v>
      </c>
    </row>
    <row r="28" spans="2:24" x14ac:dyDescent="0.25">
      <c r="B28" s="107" t="s">
        <v>91</v>
      </c>
      <c r="C28" s="108">
        <v>43728</v>
      </c>
      <c r="D28" s="108">
        <v>43758</v>
      </c>
      <c r="E28" s="109">
        <v>43739</v>
      </c>
      <c r="F28" s="107" t="s">
        <v>74</v>
      </c>
      <c r="G28" s="110">
        <v>13</v>
      </c>
      <c r="H28" s="104">
        <v>7359</v>
      </c>
      <c r="I28" s="105">
        <v>95667</v>
      </c>
      <c r="K28" s="112">
        <f>IF(MONTH(E28)&lt;11,VLOOKUP(E28,'Evolución de Tarifa'!$B$3:$C$19,2,FALSE),146.69)</f>
        <v>146.69</v>
      </c>
      <c r="L28" s="104">
        <f t="shared" si="0"/>
        <v>10794.92</v>
      </c>
      <c r="M28" s="105">
        <f t="shared" si="1"/>
        <v>140333.96</v>
      </c>
      <c r="N28" s="113">
        <f t="shared" si="2"/>
        <v>44666.959999999992</v>
      </c>
      <c r="P28" s="112">
        <f t="shared" si="3"/>
        <v>146.69</v>
      </c>
      <c r="Q28" s="104">
        <f t="shared" si="4"/>
        <v>10794.92</v>
      </c>
      <c r="R28" s="105">
        <f t="shared" si="5"/>
        <v>140333.96</v>
      </c>
      <c r="S28" s="113">
        <f t="shared" si="6"/>
        <v>44666.959999999992</v>
      </c>
      <c r="U28" s="112">
        <f>VLOOKUP(E28,'Evolución de Tarifa'!$B$12:$F$19,5,FALSE)</f>
        <v>138.4</v>
      </c>
      <c r="V28" s="104">
        <f t="shared" si="7"/>
        <v>10184.86</v>
      </c>
      <c r="W28" s="105">
        <f t="shared" si="8"/>
        <v>132403.18</v>
      </c>
      <c r="X28" s="113">
        <f t="shared" si="9"/>
        <v>36736.179999999993</v>
      </c>
    </row>
    <row r="29" spans="2:24" x14ac:dyDescent="0.25">
      <c r="B29" s="107" t="s">
        <v>91</v>
      </c>
      <c r="C29" s="108">
        <v>43758</v>
      </c>
      <c r="D29" s="108">
        <v>43789</v>
      </c>
      <c r="E29" s="109">
        <v>43770</v>
      </c>
      <c r="F29" s="107" t="s">
        <v>74</v>
      </c>
      <c r="G29" s="110">
        <v>13</v>
      </c>
      <c r="H29" s="104">
        <v>7359</v>
      </c>
      <c r="I29" s="105">
        <v>95667</v>
      </c>
      <c r="K29" s="112">
        <f>IF(MONTH(E29)&lt;11,VLOOKUP(E29,'Evolución de Tarifa'!$B$3:$C$19,2,FALSE),146.69)</f>
        <v>146.69</v>
      </c>
      <c r="L29" s="104">
        <f t="shared" si="0"/>
        <v>10794.92</v>
      </c>
      <c r="M29" s="105">
        <f t="shared" si="1"/>
        <v>140333.96</v>
      </c>
      <c r="N29" s="113">
        <f t="shared" si="2"/>
        <v>44666.959999999992</v>
      </c>
      <c r="P29" s="112">
        <f t="shared" si="3"/>
        <v>146.69</v>
      </c>
      <c r="Q29" s="104">
        <f t="shared" si="4"/>
        <v>10794.92</v>
      </c>
      <c r="R29" s="105">
        <f t="shared" si="5"/>
        <v>140333.96</v>
      </c>
      <c r="S29" s="113">
        <f t="shared" si="6"/>
        <v>44666.959999999992</v>
      </c>
      <c r="U29" s="112">
        <f>VLOOKUP(E29,'Evolución de Tarifa'!$B$12:$F$19,5,FALSE)</f>
        <v>138.4</v>
      </c>
      <c r="V29" s="104">
        <f t="shared" si="7"/>
        <v>10184.86</v>
      </c>
      <c r="W29" s="105">
        <f t="shared" si="8"/>
        <v>132403.18</v>
      </c>
      <c r="X29" s="113">
        <f t="shared" si="9"/>
        <v>36736.179999999993</v>
      </c>
    </row>
    <row r="30" spans="2:24" x14ac:dyDescent="0.25">
      <c r="B30" s="107" t="s">
        <v>91</v>
      </c>
      <c r="C30" s="108">
        <v>43789</v>
      </c>
      <c r="D30" s="108">
        <v>43817</v>
      </c>
      <c r="E30" s="109">
        <v>43800</v>
      </c>
      <c r="F30" s="107" t="s">
        <v>74</v>
      </c>
      <c r="G30" s="110">
        <v>13</v>
      </c>
      <c r="H30" s="104">
        <v>7359</v>
      </c>
      <c r="I30" s="105">
        <v>95667</v>
      </c>
      <c r="K30" s="112">
        <f>IF(MONTH(E30)&lt;11,VLOOKUP(E30,'Evolución de Tarifa'!$B$3:$C$19,2,FALSE),146.69)</f>
        <v>146.69</v>
      </c>
      <c r="L30" s="104">
        <f t="shared" si="0"/>
        <v>10794.92</v>
      </c>
      <c r="M30" s="105">
        <f t="shared" si="1"/>
        <v>140333.96</v>
      </c>
      <c r="N30" s="113">
        <f t="shared" si="2"/>
        <v>44666.959999999992</v>
      </c>
      <c r="P30" s="112">
        <f t="shared" si="3"/>
        <v>146.69</v>
      </c>
      <c r="Q30" s="104">
        <f t="shared" si="4"/>
        <v>10794.92</v>
      </c>
      <c r="R30" s="105">
        <f t="shared" si="5"/>
        <v>140333.96</v>
      </c>
      <c r="S30" s="113">
        <f t="shared" si="6"/>
        <v>44666.959999999992</v>
      </c>
      <c r="U30" s="112">
        <f>VLOOKUP(E30,'Evolución de Tarifa'!$B$12:$F$19,5,FALSE)</f>
        <v>138.4</v>
      </c>
      <c r="V30" s="104">
        <f t="shared" si="7"/>
        <v>10184.86</v>
      </c>
      <c r="W30" s="105">
        <f t="shared" si="8"/>
        <v>132403.18</v>
      </c>
      <c r="X30" s="113">
        <f t="shared" si="9"/>
        <v>36736.179999999993</v>
      </c>
    </row>
    <row r="31" spans="2:24" ht="15.75" x14ac:dyDescent="0.25">
      <c r="I31" s="119">
        <f>SUM(I13:I30)</f>
        <v>10725350</v>
      </c>
      <c r="J31" s="119"/>
      <c r="K31" s="119"/>
      <c r="L31" s="119"/>
      <c r="M31" s="119"/>
      <c r="N31" s="119">
        <f>SUM(N13:N30)</f>
        <v>4434586.4300000016</v>
      </c>
      <c r="O31" s="119"/>
      <c r="P31" s="119"/>
      <c r="Q31" s="119"/>
      <c r="R31" s="119"/>
      <c r="S31" s="119">
        <f>SUM(S13:S30)</f>
        <v>4299592.2799999993</v>
      </c>
      <c r="X31" s="118">
        <f>SUM(X13:X30)</f>
        <v>3779147.54</v>
      </c>
    </row>
    <row r="33" spans="2:24" x14ac:dyDescent="0.25">
      <c r="B33" s="107" t="s">
        <v>117</v>
      </c>
      <c r="C33" s="108"/>
      <c r="D33" s="108"/>
      <c r="E33" s="109">
        <v>43678</v>
      </c>
      <c r="F33" s="107" t="s">
        <v>76</v>
      </c>
      <c r="G33" s="110">
        <v>1363</v>
      </c>
      <c r="H33" s="104">
        <v>5640</v>
      </c>
      <c r="I33" s="105">
        <f>H33*G33</f>
        <v>7687320</v>
      </c>
      <c r="K33" s="112">
        <f>IF(MONTH(E33)&lt;11,VLOOKUP(E33,'Evolución de Tarifa'!$B$3:$C$19,2,FALSE),146.69)</f>
        <v>130.72999999999999</v>
      </c>
      <c r="L33" s="104">
        <f>MROUND(H33*K33/100,0.01)</f>
        <v>7373.17</v>
      </c>
      <c r="M33" s="105">
        <f>L33*G33</f>
        <v>10049630.710000001</v>
      </c>
      <c r="N33" s="113">
        <f t="shared" ref="N33" si="10">M33-I33</f>
        <v>2362310.7100000009</v>
      </c>
      <c r="P33" s="112">
        <f t="shared" ref="P33" si="11">IF(MONTH(E33)&lt;10,130.73,146.69)</f>
        <v>130.72999999999999</v>
      </c>
      <c r="Q33" s="104">
        <f t="shared" ref="Q33" si="12">MROUND(H33*P33/100,0.01)</f>
        <v>7373.17</v>
      </c>
      <c r="R33" s="105">
        <f t="shared" ref="R33" si="13">Q33*G33</f>
        <v>10049630.710000001</v>
      </c>
      <c r="S33" s="113">
        <f t="shared" ref="S33" si="14">R33-I33</f>
        <v>2362310.7100000009</v>
      </c>
      <c r="U33" s="112">
        <f>VLOOKUP(E33,'Evolución de Tarifa'!$B$12:$F$19,5,FALSE)</f>
        <v>130.75</v>
      </c>
      <c r="V33" s="104">
        <f t="shared" ref="V33" si="15">MROUND($H33*U33/100,0.01)</f>
        <v>7374.3</v>
      </c>
      <c r="W33" s="105">
        <f t="shared" ref="W33" si="16">V33*$G33</f>
        <v>10051170.9</v>
      </c>
      <c r="X33" s="113">
        <f t="shared" ref="X33" si="17">W33-$I33</f>
        <v>2363850.9000000004</v>
      </c>
    </row>
    <row r="34" spans="2:24" x14ac:dyDescent="0.25">
      <c r="B34" s="107" t="s">
        <v>117</v>
      </c>
      <c r="C34" s="108"/>
      <c r="D34" s="108"/>
      <c r="E34" s="109">
        <v>43678</v>
      </c>
      <c r="F34" s="107" t="s">
        <v>77</v>
      </c>
      <c r="G34" s="110">
        <v>69</v>
      </c>
      <c r="H34" s="104">
        <v>2313</v>
      </c>
      <c r="I34" s="105">
        <f t="shared" ref="I34:I47" si="18">H34*G34</f>
        <v>159597</v>
      </c>
      <c r="K34" s="112">
        <f>IF(MONTH(E34)&lt;11,VLOOKUP(E34,'Evolución de Tarifa'!$B$3:$C$19,2,FALSE),146.69)</f>
        <v>130.72999999999999</v>
      </c>
      <c r="L34" s="104">
        <f t="shared" ref="L34:L60" si="19">MROUND(H34*K34/100,0.01)</f>
        <v>3023.78</v>
      </c>
      <c r="M34" s="105">
        <f t="shared" ref="M34:M60" si="20">L34*G34</f>
        <v>208640.82</v>
      </c>
      <c r="N34" s="113">
        <f t="shared" ref="N34:N60" si="21">M34-I34</f>
        <v>49043.820000000007</v>
      </c>
      <c r="P34" s="112">
        <f t="shared" ref="P34:P60" si="22">IF(MONTH(E34)&lt;10,130.73,146.69)</f>
        <v>130.72999999999999</v>
      </c>
      <c r="Q34" s="104">
        <f t="shared" ref="Q34:Q60" si="23">MROUND(H34*P34/100,0.01)</f>
        <v>3023.78</v>
      </c>
      <c r="R34" s="105">
        <f t="shared" ref="R34:R60" si="24">Q34*G34</f>
        <v>208640.82</v>
      </c>
      <c r="S34" s="113">
        <f t="shared" ref="S34:S60" si="25">R34-I34</f>
        <v>49043.820000000007</v>
      </c>
      <c r="U34" s="112">
        <f>VLOOKUP(E34,'Evolución de Tarifa'!$B$12:$F$19,5,FALSE)</f>
        <v>130.75</v>
      </c>
      <c r="V34" s="104">
        <f t="shared" ref="V34:V60" si="26">MROUND($H34*U34/100,0.01)</f>
        <v>3024.25</v>
      </c>
      <c r="W34" s="105">
        <f t="shared" ref="W34:W60" si="27">V34*$G34</f>
        <v>208673.25</v>
      </c>
      <c r="X34" s="113">
        <f t="shared" ref="X34:X60" si="28">W34-$I34</f>
        <v>49076.25</v>
      </c>
    </row>
    <row r="35" spans="2:24" x14ac:dyDescent="0.25">
      <c r="B35" s="107" t="s">
        <v>117</v>
      </c>
      <c r="C35" s="108"/>
      <c r="D35" s="108"/>
      <c r="E35" s="109">
        <v>43678</v>
      </c>
      <c r="F35" s="107" t="s">
        <v>79</v>
      </c>
      <c r="G35" s="110">
        <v>19</v>
      </c>
      <c r="H35" s="104">
        <v>19649</v>
      </c>
      <c r="I35" s="105">
        <f t="shared" si="18"/>
        <v>373331</v>
      </c>
      <c r="K35" s="112">
        <f>IF(MONTH(E35)&lt;11,VLOOKUP(E35,'Evolución de Tarifa'!$B$3:$C$19,2,FALSE),146.69)</f>
        <v>130.72999999999999</v>
      </c>
      <c r="L35" s="104">
        <f t="shared" si="19"/>
        <v>25687.14</v>
      </c>
      <c r="M35" s="105">
        <f t="shared" si="20"/>
        <v>488055.66</v>
      </c>
      <c r="N35" s="113">
        <f t="shared" si="21"/>
        <v>114724.65999999997</v>
      </c>
      <c r="P35" s="112">
        <f t="shared" si="22"/>
        <v>130.72999999999999</v>
      </c>
      <c r="Q35" s="104">
        <f t="shared" si="23"/>
        <v>25687.14</v>
      </c>
      <c r="R35" s="105">
        <f t="shared" si="24"/>
        <v>488055.66</v>
      </c>
      <c r="S35" s="113">
        <f t="shared" si="25"/>
        <v>114724.65999999997</v>
      </c>
      <c r="U35" s="112">
        <f>VLOOKUP(E35,'Evolución de Tarifa'!$B$12:$F$19,5,FALSE)</f>
        <v>130.75</v>
      </c>
      <c r="V35" s="104">
        <f t="shared" si="26"/>
        <v>25691.07</v>
      </c>
      <c r="W35" s="105">
        <f t="shared" si="27"/>
        <v>488130.33</v>
      </c>
      <c r="X35" s="113">
        <f t="shared" si="28"/>
        <v>114799.33000000002</v>
      </c>
    </row>
    <row r="36" spans="2:24" x14ac:dyDescent="0.25">
      <c r="B36" s="107" t="s">
        <v>117</v>
      </c>
      <c r="C36" s="108"/>
      <c r="D36" s="108"/>
      <c r="E36" s="109">
        <v>43709</v>
      </c>
      <c r="F36" s="107" t="s">
        <v>76</v>
      </c>
      <c r="G36" s="110">
        <v>1420</v>
      </c>
      <c r="H36" s="104">
        <v>5640</v>
      </c>
      <c r="I36" s="105">
        <f t="shared" si="18"/>
        <v>8008800</v>
      </c>
      <c r="K36" s="112">
        <f>IF(MONTH(E36)&lt;11,VLOOKUP(E36,'Evolución de Tarifa'!$B$3:$C$19,2,FALSE),146.69)</f>
        <v>136.66999999999999</v>
      </c>
      <c r="L36" s="104">
        <f t="shared" si="19"/>
        <v>7708.1900000000005</v>
      </c>
      <c r="M36" s="105">
        <f t="shared" si="20"/>
        <v>10945629.800000001</v>
      </c>
      <c r="N36" s="113">
        <f t="shared" si="21"/>
        <v>2936829.8000000007</v>
      </c>
      <c r="P36" s="112">
        <f t="shared" si="22"/>
        <v>130.72999999999999</v>
      </c>
      <c r="Q36" s="104">
        <f t="shared" si="23"/>
        <v>7373.17</v>
      </c>
      <c r="R36" s="105">
        <f t="shared" si="24"/>
        <v>10469901.4</v>
      </c>
      <c r="S36" s="113">
        <f t="shared" si="25"/>
        <v>2461101.4000000004</v>
      </c>
      <c r="U36" s="112">
        <f>VLOOKUP(E36,'Evolución de Tarifa'!$B$12:$F$19,5,FALSE)</f>
        <v>130.75</v>
      </c>
      <c r="V36" s="104">
        <f t="shared" si="26"/>
        <v>7374.3</v>
      </c>
      <c r="W36" s="105">
        <f t="shared" si="27"/>
        <v>10471506</v>
      </c>
      <c r="X36" s="113">
        <f t="shared" si="28"/>
        <v>2462706</v>
      </c>
    </row>
    <row r="37" spans="2:24" x14ac:dyDescent="0.25">
      <c r="B37" s="107" t="s">
        <v>117</v>
      </c>
      <c r="C37" s="108"/>
      <c r="D37" s="108"/>
      <c r="E37" s="109">
        <v>43709</v>
      </c>
      <c r="F37" s="107" t="s">
        <v>77</v>
      </c>
      <c r="G37" s="110">
        <v>138</v>
      </c>
      <c r="H37" s="104">
        <v>2313</v>
      </c>
      <c r="I37" s="105">
        <f t="shared" si="18"/>
        <v>319194</v>
      </c>
      <c r="K37" s="112">
        <f>IF(MONTH(E37)&lt;11,VLOOKUP(E37,'Evolución de Tarifa'!$B$3:$C$19,2,FALSE),146.69)</f>
        <v>136.66999999999999</v>
      </c>
      <c r="L37" s="104">
        <f t="shared" si="19"/>
        <v>3161.1800000000003</v>
      </c>
      <c r="M37" s="105">
        <f t="shared" si="20"/>
        <v>436242.84</v>
      </c>
      <c r="N37" s="113">
        <f t="shared" si="21"/>
        <v>117048.84000000003</v>
      </c>
      <c r="P37" s="112">
        <f t="shared" si="22"/>
        <v>130.72999999999999</v>
      </c>
      <c r="Q37" s="104">
        <f t="shared" si="23"/>
        <v>3023.78</v>
      </c>
      <c r="R37" s="105">
        <f t="shared" si="24"/>
        <v>417281.64</v>
      </c>
      <c r="S37" s="113">
        <f t="shared" si="25"/>
        <v>98087.640000000014</v>
      </c>
      <c r="U37" s="112">
        <f>VLOOKUP(E37,'Evolución de Tarifa'!$B$12:$F$19,5,FALSE)</f>
        <v>130.75</v>
      </c>
      <c r="V37" s="104">
        <f t="shared" si="26"/>
        <v>3024.25</v>
      </c>
      <c r="W37" s="105">
        <f t="shared" si="27"/>
        <v>417346.5</v>
      </c>
      <c r="X37" s="113">
        <f t="shared" si="28"/>
        <v>98152.5</v>
      </c>
    </row>
    <row r="38" spans="2:24" x14ac:dyDescent="0.25">
      <c r="B38" s="107" t="s">
        <v>117</v>
      </c>
      <c r="C38" s="108"/>
      <c r="D38" s="108"/>
      <c r="E38" s="109">
        <v>43709</v>
      </c>
      <c r="F38" s="107" t="s">
        <v>79</v>
      </c>
      <c r="G38" s="110">
        <v>40</v>
      </c>
      <c r="H38" s="104">
        <v>19649</v>
      </c>
      <c r="I38" s="105">
        <f t="shared" si="18"/>
        <v>785960</v>
      </c>
      <c r="K38" s="112">
        <f>IF(MONTH(E38)&lt;11,VLOOKUP(E38,'Evolución de Tarifa'!$B$3:$C$19,2,FALSE),146.69)</f>
        <v>136.66999999999999</v>
      </c>
      <c r="L38" s="104">
        <f t="shared" si="19"/>
        <v>26854.29</v>
      </c>
      <c r="M38" s="105">
        <f t="shared" si="20"/>
        <v>1074171.6000000001</v>
      </c>
      <c r="N38" s="113">
        <f t="shared" si="21"/>
        <v>288211.60000000009</v>
      </c>
      <c r="P38" s="112">
        <f t="shared" si="22"/>
        <v>130.72999999999999</v>
      </c>
      <c r="Q38" s="104">
        <f t="shared" si="23"/>
        <v>25687.14</v>
      </c>
      <c r="R38" s="105">
        <f t="shared" si="24"/>
        <v>1027485.6</v>
      </c>
      <c r="S38" s="113">
        <f t="shared" si="25"/>
        <v>241525.59999999998</v>
      </c>
      <c r="U38" s="112">
        <f>VLOOKUP(E38,'Evolución de Tarifa'!$B$12:$F$19,5,FALSE)</f>
        <v>130.75</v>
      </c>
      <c r="V38" s="104">
        <f t="shared" si="26"/>
        <v>25691.07</v>
      </c>
      <c r="W38" s="105">
        <f t="shared" si="27"/>
        <v>1027642.8</v>
      </c>
      <c r="X38" s="113">
        <f t="shared" si="28"/>
        <v>241682.80000000005</v>
      </c>
    </row>
    <row r="39" spans="2:24" x14ac:dyDescent="0.25">
      <c r="B39" s="107" t="s">
        <v>117</v>
      </c>
      <c r="C39" s="108"/>
      <c r="D39" s="108"/>
      <c r="E39" s="109">
        <v>43739</v>
      </c>
      <c r="F39" s="107" t="s">
        <v>76</v>
      </c>
      <c r="G39" s="110">
        <v>1331</v>
      </c>
      <c r="H39" s="104">
        <v>5640</v>
      </c>
      <c r="I39" s="105">
        <f t="shared" si="18"/>
        <v>7506840</v>
      </c>
      <c r="K39" s="112">
        <f>IF(MONTH(E39)&lt;11,VLOOKUP(E39,'Evolución de Tarifa'!$B$3:$C$19,2,FALSE),146.69)</f>
        <v>146.69</v>
      </c>
      <c r="L39" s="104">
        <f t="shared" si="19"/>
        <v>8273.32</v>
      </c>
      <c r="M39" s="105">
        <f t="shared" si="20"/>
        <v>11011788.92</v>
      </c>
      <c r="N39" s="113">
        <f t="shared" si="21"/>
        <v>3504948.92</v>
      </c>
      <c r="P39" s="112">
        <f t="shared" si="22"/>
        <v>146.69</v>
      </c>
      <c r="Q39" s="104">
        <f t="shared" si="23"/>
        <v>8273.32</v>
      </c>
      <c r="R39" s="105">
        <f t="shared" si="24"/>
        <v>11011788.92</v>
      </c>
      <c r="S39" s="113">
        <f t="shared" si="25"/>
        <v>3504948.92</v>
      </c>
      <c r="U39" s="112">
        <f>VLOOKUP(E39,'Evolución de Tarifa'!$B$12:$F$19,5,FALSE)</f>
        <v>138.4</v>
      </c>
      <c r="V39" s="104">
        <f t="shared" si="26"/>
        <v>7805.76</v>
      </c>
      <c r="W39" s="105">
        <f t="shared" si="27"/>
        <v>10389466.560000001</v>
      </c>
      <c r="X39" s="113">
        <f t="shared" si="28"/>
        <v>2882626.5600000005</v>
      </c>
    </row>
    <row r="40" spans="2:24" x14ac:dyDescent="0.25">
      <c r="B40" s="107" t="s">
        <v>117</v>
      </c>
      <c r="C40" s="108"/>
      <c r="D40" s="108"/>
      <c r="E40" s="109">
        <v>43739</v>
      </c>
      <c r="F40" s="107" t="s">
        <v>77</v>
      </c>
      <c r="G40" s="110">
        <v>120</v>
      </c>
      <c r="H40" s="104">
        <v>2313</v>
      </c>
      <c r="I40" s="105">
        <f t="shared" si="18"/>
        <v>277560</v>
      </c>
      <c r="K40" s="112">
        <f>IF(MONTH(E40)&lt;11,VLOOKUP(E40,'Evolución de Tarifa'!$B$3:$C$19,2,FALSE),146.69)</f>
        <v>146.69</v>
      </c>
      <c r="L40" s="104">
        <f t="shared" si="19"/>
        <v>3392.94</v>
      </c>
      <c r="M40" s="105">
        <f t="shared" si="20"/>
        <v>407152.8</v>
      </c>
      <c r="N40" s="113">
        <f t="shared" si="21"/>
        <v>129592.79999999999</v>
      </c>
      <c r="P40" s="112">
        <f t="shared" si="22"/>
        <v>146.69</v>
      </c>
      <c r="Q40" s="104">
        <f t="shared" si="23"/>
        <v>3392.94</v>
      </c>
      <c r="R40" s="105">
        <f t="shared" si="24"/>
        <v>407152.8</v>
      </c>
      <c r="S40" s="113">
        <f t="shared" si="25"/>
        <v>129592.79999999999</v>
      </c>
      <c r="U40" s="112">
        <f>VLOOKUP(E40,'Evolución de Tarifa'!$B$12:$F$19,5,FALSE)</f>
        <v>138.4</v>
      </c>
      <c r="V40" s="104">
        <f t="shared" si="26"/>
        <v>3201.19</v>
      </c>
      <c r="W40" s="105">
        <f t="shared" si="27"/>
        <v>384142.8</v>
      </c>
      <c r="X40" s="113">
        <f t="shared" si="28"/>
        <v>106582.79999999999</v>
      </c>
    </row>
    <row r="41" spans="2:24" x14ac:dyDescent="0.25">
      <c r="B41" s="107" t="s">
        <v>117</v>
      </c>
      <c r="C41" s="108"/>
      <c r="D41" s="108"/>
      <c r="E41" s="109">
        <v>43739</v>
      </c>
      <c r="F41" s="107" t="s">
        <v>79</v>
      </c>
      <c r="G41" s="110">
        <v>22</v>
      </c>
      <c r="H41" s="104">
        <v>19649</v>
      </c>
      <c r="I41" s="105">
        <f t="shared" si="18"/>
        <v>432278</v>
      </c>
      <c r="K41" s="112">
        <f>IF(MONTH(E41)&lt;11,VLOOKUP(E41,'Evolución de Tarifa'!$B$3:$C$19,2,FALSE),146.69)</f>
        <v>146.69</v>
      </c>
      <c r="L41" s="104">
        <f t="shared" si="19"/>
        <v>28823.119999999999</v>
      </c>
      <c r="M41" s="105">
        <f t="shared" si="20"/>
        <v>634108.64</v>
      </c>
      <c r="N41" s="113">
        <f t="shared" si="21"/>
        <v>201830.64</v>
      </c>
      <c r="P41" s="112">
        <f t="shared" si="22"/>
        <v>146.69</v>
      </c>
      <c r="Q41" s="104">
        <f t="shared" si="23"/>
        <v>28823.119999999999</v>
      </c>
      <c r="R41" s="105">
        <f t="shared" si="24"/>
        <v>634108.64</v>
      </c>
      <c r="S41" s="113">
        <f t="shared" si="25"/>
        <v>201830.64</v>
      </c>
      <c r="U41" s="112">
        <f>VLOOKUP(E41,'Evolución de Tarifa'!$B$12:$F$19,5,FALSE)</f>
        <v>138.4</v>
      </c>
      <c r="V41" s="104">
        <f t="shared" si="26"/>
        <v>27194.22</v>
      </c>
      <c r="W41" s="105">
        <f t="shared" si="27"/>
        <v>598272.84000000008</v>
      </c>
      <c r="X41" s="113">
        <f t="shared" si="28"/>
        <v>165994.84000000008</v>
      </c>
    </row>
    <row r="42" spans="2:24" x14ac:dyDescent="0.25">
      <c r="B42" s="107" t="s">
        <v>117</v>
      </c>
      <c r="C42" s="108"/>
      <c r="D42" s="108"/>
      <c r="E42" s="109">
        <v>43770</v>
      </c>
      <c r="F42" s="107" t="s">
        <v>76</v>
      </c>
      <c r="G42" s="110">
        <v>1330</v>
      </c>
      <c r="H42" s="104">
        <v>5640</v>
      </c>
      <c r="I42" s="105">
        <f t="shared" si="18"/>
        <v>7501200</v>
      </c>
      <c r="K42" s="112">
        <f>IF(MONTH(E42)&lt;11,VLOOKUP(E42,'Evolución de Tarifa'!$B$3:$C$19,2,FALSE),146.69)</f>
        <v>146.69</v>
      </c>
      <c r="L42" s="104">
        <f t="shared" si="19"/>
        <v>8273.32</v>
      </c>
      <c r="M42" s="105">
        <f t="shared" si="20"/>
        <v>11003515.6</v>
      </c>
      <c r="N42" s="113">
        <f t="shared" si="21"/>
        <v>3502315.5999999996</v>
      </c>
      <c r="P42" s="112">
        <f t="shared" si="22"/>
        <v>146.69</v>
      </c>
      <c r="Q42" s="104">
        <f t="shared" si="23"/>
        <v>8273.32</v>
      </c>
      <c r="R42" s="105">
        <f t="shared" si="24"/>
        <v>11003515.6</v>
      </c>
      <c r="S42" s="113">
        <f t="shared" si="25"/>
        <v>3502315.5999999996</v>
      </c>
      <c r="U42" s="112">
        <f>VLOOKUP(E42,'Evolución de Tarifa'!$B$12:$F$19,5,FALSE)</f>
        <v>138.4</v>
      </c>
      <c r="V42" s="104">
        <f t="shared" si="26"/>
        <v>7805.76</v>
      </c>
      <c r="W42" s="105">
        <f t="shared" si="27"/>
        <v>10381660.800000001</v>
      </c>
      <c r="X42" s="113">
        <f t="shared" si="28"/>
        <v>2880460.8000000007</v>
      </c>
    </row>
    <row r="43" spans="2:24" x14ac:dyDescent="0.25">
      <c r="B43" s="107" t="s">
        <v>117</v>
      </c>
      <c r="C43" s="108"/>
      <c r="D43" s="108"/>
      <c r="E43" s="109">
        <v>43770</v>
      </c>
      <c r="F43" s="107" t="s">
        <v>77</v>
      </c>
      <c r="G43" s="110">
        <v>106</v>
      </c>
      <c r="H43" s="104">
        <v>2313</v>
      </c>
      <c r="I43" s="105">
        <f t="shared" si="18"/>
        <v>245178</v>
      </c>
      <c r="K43" s="112">
        <f>IF(MONTH(E43)&lt;11,VLOOKUP(E43,'Evolución de Tarifa'!$B$3:$C$19,2,FALSE),146.69)</f>
        <v>146.69</v>
      </c>
      <c r="L43" s="104">
        <f t="shared" si="19"/>
        <v>3392.94</v>
      </c>
      <c r="M43" s="105">
        <f t="shared" si="20"/>
        <v>359651.64</v>
      </c>
      <c r="N43" s="113">
        <f t="shared" si="21"/>
        <v>114473.64000000001</v>
      </c>
      <c r="P43" s="112">
        <f t="shared" si="22"/>
        <v>146.69</v>
      </c>
      <c r="Q43" s="104">
        <f t="shared" si="23"/>
        <v>3392.94</v>
      </c>
      <c r="R43" s="105">
        <f t="shared" si="24"/>
        <v>359651.64</v>
      </c>
      <c r="S43" s="113">
        <f t="shared" si="25"/>
        <v>114473.64000000001</v>
      </c>
      <c r="U43" s="112">
        <f>VLOOKUP(E43,'Evolución de Tarifa'!$B$12:$F$19,5,FALSE)</f>
        <v>138.4</v>
      </c>
      <c r="V43" s="104">
        <f t="shared" si="26"/>
        <v>3201.19</v>
      </c>
      <c r="W43" s="105">
        <f t="shared" si="27"/>
        <v>339326.14</v>
      </c>
      <c r="X43" s="113">
        <f t="shared" si="28"/>
        <v>94148.140000000014</v>
      </c>
    </row>
    <row r="44" spans="2:24" x14ac:dyDescent="0.25">
      <c r="B44" s="107" t="s">
        <v>117</v>
      </c>
      <c r="C44" s="108"/>
      <c r="D44" s="108"/>
      <c r="E44" s="109">
        <v>43770</v>
      </c>
      <c r="F44" s="107" t="s">
        <v>79</v>
      </c>
      <c r="G44" s="110">
        <v>23</v>
      </c>
      <c r="H44" s="104">
        <v>19649</v>
      </c>
      <c r="I44" s="105">
        <f t="shared" si="18"/>
        <v>451927</v>
      </c>
      <c r="K44" s="112">
        <f>IF(MONTH(E44)&lt;11,VLOOKUP(E44,'Evolución de Tarifa'!$B$3:$C$19,2,FALSE),146.69)</f>
        <v>146.69</v>
      </c>
      <c r="L44" s="104">
        <f t="shared" si="19"/>
        <v>28823.119999999999</v>
      </c>
      <c r="M44" s="105">
        <f t="shared" si="20"/>
        <v>662931.76</v>
      </c>
      <c r="N44" s="113">
        <f t="shared" si="21"/>
        <v>211004.76</v>
      </c>
      <c r="P44" s="112">
        <f t="shared" si="22"/>
        <v>146.69</v>
      </c>
      <c r="Q44" s="104">
        <f t="shared" si="23"/>
        <v>28823.119999999999</v>
      </c>
      <c r="R44" s="105">
        <f t="shared" si="24"/>
        <v>662931.76</v>
      </c>
      <c r="S44" s="113">
        <f t="shared" si="25"/>
        <v>211004.76</v>
      </c>
      <c r="U44" s="112">
        <f>VLOOKUP(E44,'Evolución de Tarifa'!$B$12:$F$19,5,FALSE)</f>
        <v>138.4</v>
      </c>
      <c r="V44" s="104">
        <f t="shared" si="26"/>
        <v>27194.22</v>
      </c>
      <c r="W44" s="105">
        <f t="shared" si="27"/>
        <v>625467.06000000006</v>
      </c>
      <c r="X44" s="113">
        <f t="shared" si="28"/>
        <v>173540.06000000006</v>
      </c>
    </row>
    <row r="45" spans="2:24" x14ac:dyDescent="0.25">
      <c r="B45" s="107" t="s">
        <v>117</v>
      </c>
      <c r="C45" s="108"/>
      <c r="D45" s="108"/>
      <c r="E45" s="109">
        <v>43800</v>
      </c>
      <c r="F45" s="107" t="s">
        <v>76</v>
      </c>
      <c r="G45" s="110">
        <v>1330</v>
      </c>
      <c r="H45" s="104">
        <v>5640</v>
      </c>
      <c r="I45" s="105">
        <f t="shared" si="18"/>
        <v>7501200</v>
      </c>
      <c r="K45" s="112">
        <f>IF(MONTH(E45)&lt;11,VLOOKUP(E45,'Evolución de Tarifa'!$B$3:$C$19,2,FALSE),146.69)</f>
        <v>146.69</v>
      </c>
      <c r="L45" s="104">
        <f t="shared" si="19"/>
        <v>8273.32</v>
      </c>
      <c r="M45" s="105">
        <f t="shared" si="20"/>
        <v>11003515.6</v>
      </c>
      <c r="N45" s="113">
        <f t="shared" si="21"/>
        <v>3502315.5999999996</v>
      </c>
      <c r="P45" s="112">
        <f t="shared" si="22"/>
        <v>146.69</v>
      </c>
      <c r="Q45" s="104">
        <f t="shared" si="23"/>
        <v>8273.32</v>
      </c>
      <c r="R45" s="105">
        <f t="shared" si="24"/>
        <v>11003515.6</v>
      </c>
      <c r="S45" s="113">
        <f t="shared" si="25"/>
        <v>3502315.5999999996</v>
      </c>
      <c r="U45" s="112">
        <f>VLOOKUP(E45,'Evolución de Tarifa'!$B$12:$F$19,5,FALSE)</f>
        <v>138.4</v>
      </c>
      <c r="V45" s="104">
        <f t="shared" si="26"/>
        <v>7805.76</v>
      </c>
      <c r="W45" s="105">
        <f t="shared" si="27"/>
        <v>10381660.800000001</v>
      </c>
      <c r="X45" s="113">
        <f t="shared" si="28"/>
        <v>2880460.8000000007</v>
      </c>
    </row>
    <row r="46" spans="2:24" x14ac:dyDescent="0.25">
      <c r="B46" s="107" t="s">
        <v>117</v>
      </c>
      <c r="C46" s="108"/>
      <c r="D46" s="108"/>
      <c r="E46" s="109">
        <v>43800</v>
      </c>
      <c r="F46" s="107" t="s">
        <v>77</v>
      </c>
      <c r="G46" s="110">
        <v>106</v>
      </c>
      <c r="H46" s="104">
        <v>2313</v>
      </c>
      <c r="I46" s="105">
        <f t="shared" si="18"/>
        <v>245178</v>
      </c>
      <c r="K46" s="112">
        <f>IF(MONTH(E46)&lt;11,VLOOKUP(E46,'Evolución de Tarifa'!$B$3:$C$19,2,FALSE),146.69)</f>
        <v>146.69</v>
      </c>
      <c r="L46" s="104">
        <f t="shared" si="19"/>
        <v>3392.94</v>
      </c>
      <c r="M46" s="105">
        <f t="shared" si="20"/>
        <v>359651.64</v>
      </c>
      <c r="N46" s="113">
        <f t="shared" si="21"/>
        <v>114473.64000000001</v>
      </c>
      <c r="P46" s="112">
        <f t="shared" si="22"/>
        <v>146.69</v>
      </c>
      <c r="Q46" s="104">
        <f t="shared" si="23"/>
        <v>3392.94</v>
      </c>
      <c r="R46" s="105">
        <f t="shared" si="24"/>
        <v>359651.64</v>
      </c>
      <c r="S46" s="113">
        <f t="shared" si="25"/>
        <v>114473.64000000001</v>
      </c>
      <c r="U46" s="112">
        <f>VLOOKUP(E46,'Evolución de Tarifa'!$B$12:$F$19,5,FALSE)</f>
        <v>138.4</v>
      </c>
      <c r="V46" s="104">
        <f t="shared" si="26"/>
        <v>3201.19</v>
      </c>
      <c r="W46" s="105">
        <f t="shared" si="27"/>
        <v>339326.14</v>
      </c>
      <c r="X46" s="113">
        <f t="shared" si="28"/>
        <v>94148.140000000014</v>
      </c>
    </row>
    <row r="47" spans="2:24" x14ac:dyDescent="0.25">
      <c r="B47" s="107" t="s">
        <v>117</v>
      </c>
      <c r="C47" s="108"/>
      <c r="D47" s="108"/>
      <c r="E47" s="109">
        <v>43800</v>
      </c>
      <c r="F47" s="107" t="s">
        <v>79</v>
      </c>
      <c r="G47" s="110">
        <v>23</v>
      </c>
      <c r="H47" s="104">
        <v>19649</v>
      </c>
      <c r="I47" s="105">
        <f t="shared" si="18"/>
        <v>451927</v>
      </c>
      <c r="K47" s="112">
        <f>IF(MONTH(E47)&lt;11,VLOOKUP(E47,'Evolución de Tarifa'!$B$3:$C$19,2,FALSE),146.69)</f>
        <v>146.69</v>
      </c>
      <c r="L47" s="104">
        <f t="shared" si="19"/>
        <v>28823.119999999999</v>
      </c>
      <c r="M47" s="105">
        <f t="shared" si="20"/>
        <v>662931.76</v>
      </c>
      <c r="N47" s="113">
        <f t="shared" si="21"/>
        <v>211004.76</v>
      </c>
      <c r="P47" s="112">
        <f t="shared" si="22"/>
        <v>146.69</v>
      </c>
      <c r="Q47" s="104">
        <f t="shared" si="23"/>
        <v>28823.119999999999</v>
      </c>
      <c r="R47" s="105">
        <f t="shared" si="24"/>
        <v>662931.76</v>
      </c>
      <c r="S47" s="113">
        <f t="shared" si="25"/>
        <v>211004.76</v>
      </c>
      <c r="U47" s="112">
        <f>VLOOKUP(E47,'Evolución de Tarifa'!$B$12:$F$19,5,FALSE)</f>
        <v>138.4</v>
      </c>
      <c r="V47" s="104">
        <f t="shared" si="26"/>
        <v>27194.22</v>
      </c>
      <c r="W47" s="105">
        <f t="shared" si="27"/>
        <v>625467.06000000006</v>
      </c>
      <c r="X47" s="113">
        <f t="shared" si="28"/>
        <v>173540.06000000006</v>
      </c>
    </row>
    <row r="48" spans="2:24" ht="15.75" x14ac:dyDescent="0.25">
      <c r="B48" s="102"/>
      <c r="F48" s="102"/>
      <c r="I48" s="119">
        <f>SUM(I33:I47)</f>
        <v>41947490</v>
      </c>
      <c r="N48" s="119">
        <f>SUM(N33:N47)</f>
        <v>17360129.790000003</v>
      </c>
      <c r="O48" s="119">
        <f>N48/59.4</f>
        <v>292258.07727272733</v>
      </c>
      <c r="P48" s="119"/>
      <c r="Q48" s="119"/>
      <c r="R48" s="119"/>
      <c r="S48" s="119">
        <f>SUM(S33:S47)</f>
        <v>16818754.190000001</v>
      </c>
      <c r="T48" s="119"/>
      <c r="U48" s="119"/>
      <c r="V48" s="119"/>
      <c r="W48" s="119"/>
      <c r="X48" s="119">
        <f>SUM(X33:X47)</f>
        <v>14781769.980000004</v>
      </c>
    </row>
    <row r="49" spans="2:24" x14ac:dyDescent="0.25">
      <c r="B49" s="102"/>
      <c r="F49" s="102"/>
    </row>
    <row r="50" spans="2:24" x14ac:dyDescent="0.25">
      <c r="B50" s="107" t="s">
        <v>118</v>
      </c>
      <c r="C50" s="108"/>
      <c r="D50" s="108"/>
      <c r="E50" s="109">
        <v>43678</v>
      </c>
      <c r="F50" s="107" t="s">
        <v>74</v>
      </c>
      <c r="G50" s="110">
        <v>206</v>
      </c>
      <c r="H50" s="104">
        <v>7025</v>
      </c>
      <c r="I50" s="105">
        <f t="shared" ref="I50:I60" si="29">H50*G50</f>
        <v>1447150</v>
      </c>
      <c r="K50" s="112">
        <f>IF(MONTH(E50)&lt;11,VLOOKUP(E50,'Evolución de Tarifa'!$B$3:$C$19,2,FALSE),146.69)</f>
        <v>130.72999999999999</v>
      </c>
      <c r="L50" s="104">
        <f t="shared" si="19"/>
        <v>9183.7800000000007</v>
      </c>
      <c r="M50" s="105">
        <f t="shared" si="20"/>
        <v>1891858.6800000002</v>
      </c>
      <c r="N50" s="113">
        <f t="shared" si="21"/>
        <v>444708.68000000017</v>
      </c>
      <c r="P50" s="112">
        <f t="shared" si="22"/>
        <v>130.72999999999999</v>
      </c>
      <c r="Q50" s="104">
        <f t="shared" si="23"/>
        <v>9183.7800000000007</v>
      </c>
      <c r="R50" s="105">
        <f t="shared" si="24"/>
        <v>1891858.6800000002</v>
      </c>
      <c r="S50" s="113">
        <f t="shared" si="25"/>
        <v>444708.68000000017</v>
      </c>
      <c r="U50" s="112">
        <f>VLOOKUP(E50,'Evolución de Tarifa'!$B$12:$F$19,5,FALSE)</f>
        <v>130.75</v>
      </c>
      <c r="V50" s="104">
        <f t="shared" si="26"/>
        <v>9185.19</v>
      </c>
      <c r="W50" s="105">
        <f t="shared" si="27"/>
        <v>1892149.1400000001</v>
      </c>
      <c r="X50" s="113">
        <f t="shared" si="28"/>
        <v>444999.14000000013</v>
      </c>
    </row>
    <row r="51" spans="2:24" x14ac:dyDescent="0.25">
      <c r="B51" s="107" t="s">
        <v>118</v>
      </c>
      <c r="C51" s="108"/>
      <c r="D51" s="108"/>
      <c r="E51" s="109">
        <v>43678</v>
      </c>
      <c r="F51" s="107" t="s">
        <v>77</v>
      </c>
      <c r="G51" s="110">
        <v>117</v>
      </c>
      <c r="H51" s="104">
        <v>1557</v>
      </c>
      <c r="I51" s="105">
        <f t="shared" si="29"/>
        <v>182169</v>
      </c>
      <c r="K51" s="112">
        <f>IF(MONTH(E51)&lt;11,VLOOKUP(E51,'Evolución de Tarifa'!$B$3:$C$19,2,FALSE),146.69)</f>
        <v>130.72999999999999</v>
      </c>
      <c r="L51" s="104">
        <f t="shared" si="19"/>
        <v>2035.47</v>
      </c>
      <c r="M51" s="105">
        <f t="shared" si="20"/>
        <v>238149.99</v>
      </c>
      <c r="N51" s="113">
        <f t="shared" si="21"/>
        <v>55980.989999999991</v>
      </c>
      <c r="P51" s="112">
        <f t="shared" si="22"/>
        <v>130.72999999999999</v>
      </c>
      <c r="Q51" s="104">
        <f t="shared" si="23"/>
        <v>2035.47</v>
      </c>
      <c r="R51" s="105">
        <f t="shared" si="24"/>
        <v>238149.99</v>
      </c>
      <c r="S51" s="113">
        <f t="shared" si="25"/>
        <v>55980.989999999991</v>
      </c>
      <c r="U51" s="112">
        <f>VLOOKUP(E51,'Evolución de Tarifa'!$B$12:$F$19,5,FALSE)</f>
        <v>130.75</v>
      </c>
      <c r="V51" s="104">
        <f t="shared" si="26"/>
        <v>2035.78</v>
      </c>
      <c r="W51" s="105">
        <f t="shared" si="27"/>
        <v>238186.26</v>
      </c>
      <c r="X51" s="113">
        <f t="shared" si="28"/>
        <v>56017.260000000009</v>
      </c>
    </row>
    <row r="52" spans="2:24" x14ac:dyDescent="0.25">
      <c r="B52" s="107" t="s">
        <v>118</v>
      </c>
      <c r="C52" s="108"/>
      <c r="D52" s="108"/>
      <c r="E52" s="109">
        <v>43709</v>
      </c>
      <c r="F52" s="107" t="s">
        <v>73</v>
      </c>
      <c r="G52" s="110">
        <v>179</v>
      </c>
      <c r="H52" s="104">
        <v>7025</v>
      </c>
      <c r="I52" s="105">
        <f t="shared" si="29"/>
        <v>1257475</v>
      </c>
      <c r="K52" s="112">
        <f>IF(MONTH(E52)&lt;11,VLOOKUP(E52,'Evolución de Tarifa'!$B$3:$C$19,2,FALSE),146.69)</f>
        <v>136.66999999999999</v>
      </c>
      <c r="L52" s="104">
        <f t="shared" si="19"/>
        <v>9601.07</v>
      </c>
      <c r="M52" s="105">
        <f t="shared" si="20"/>
        <v>1718591.53</v>
      </c>
      <c r="N52" s="113">
        <f t="shared" si="21"/>
        <v>461116.53</v>
      </c>
      <c r="P52" s="112">
        <f t="shared" si="22"/>
        <v>130.72999999999999</v>
      </c>
      <c r="Q52" s="104">
        <f t="shared" si="23"/>
        <v>9183.7800000000007</v>
      </c>
      <c r="R52" s="105">
        <f t="shared" si="24"/>
        <v>1643896.62</v>
      </c>
      <c r="S52" s="113">
        <f t="shared" si="25"/>
        <v>386421.62000000011</v>
      </c>
      <c r="U52" s="112">
        <f>VLOOKUP(E52,'Evolución de Tarifa'!$B$12:$F$19,5,FALSE)</f>
        <v>130.75</v>
      </c>
      <c r="V52" s="104">
        <f t="shared" si="26"/>
        <v>9185.19</v>
      </c>
      <c r="W52" s="105">
        <f t="shared" si="27"/>
        <v>1644149.01</v>
      </c>
      <c r="X52" s="113">
        <f t="shared" si="28"/>
        <v>386674.01</v>
      </c>
    </row>
    <row r="53" spans="2:24" x14ac:dyDescent="0.25">
      <c r="B53" s="107" t="s">
        <v>118</v>
      </c>
      <c r="C53" s="108"/>
      <c r="D53" s="108"/>
      <c r="E53" s="109">
        <v>43709</v>
      </c>
      <c r="F53" s="107" t="s">
        <v>77</v>
      </c>
      <c r="G53" s="110">
        <v>143</v>
      </c>
      <c r="H53" s="104">
        <v>1557</v>
      </c>
      <c r="I53" s="105">
        <f t="shared" si="29"/>
        <v>222651</v>
      </c>
      <c r="K53" s="112">
        <f>IF(MONTH(E53)&lt;11,VLOOKUP(E53,'Evolución de Tarifa'!$B$3:$C$19,2,FALSE),146.69)</f>
        <v>136.66999999999999</v>
      </c>
      <c r="L53" s="104">
        <f t="shared" si="19"/>
        <v>2127.9499999999998</v>
      </c>
      <c r="M53" s="105">
        <f t="shared" si="20"/>
        <v>304296.84999999998</v>
      </c>
      <c r="N53" s="113">
        <f t="shared" si="21"/>
        <v>81645.849999999977</v>
      </c>
      <c r="P53" s="112">
        <f t="shared" si="22"/>
        <v>130.72999999999999</v>
      </c>
      <c r="Q53" s="104">
        <f t="shared" si="23"/>
        <v>2035.47</v>
      </c>
      <c r="R53" s="105">
        <f t="shared" si="24"/>
        <v>291072.21000000002</v>
      </c>
      <c r="S53" s="113">
        <f t="shared" si="25"/>
        <v>68421.210000000021</v>
      </c>
      <c r="U53" s="112">
        <f>VLOOKUP(E53,'Evolución de Tarifa'!$B$12:$F$19,5,FALSE)</f>
        <v>130.75</v>
      </c>
      <c r="V53" s="104">
        <f t="shared" si="26"/>
        <v>2035.78</v>
      </c>
      <c r="W53" s="105">
        <f t="shared" si="27"/>
        <v>291116.53999999998</v>
      </c>
      <c r="X53" s="113">
        <f t="shared" si="28"/>
        <v>68465.539999999979</v>
      </c>
    </row>
    <row r="54" spans="2:24" x14ac:dyDescent="0.25">
      <c r="B54" s="107" t="s">
        <v>118</v>
      </c>
      <c r="C54" s="108"/>
      <c r="D54" s="108"/>
      <c r="E54" s="109">
        <v>43739</v>
      </c>
      <c r="F54" s="107" t="s">
        <v>73</v>
      </c>
      <c r="G54" s="110">
        <v>195</v>
      </c>
      <c r="H54" s="104">
        <v>8391</v>
      </c>
      <c r="I54" s="105">
        <f t="shared" si="29"/>
        <v>1636245</v>
      </c>
      <c r="K54" s="112">
        <f>IF(MONTH(E54)&lt;11,VLOOKUP(E54,'Evolución de Tarifa'!$B$3:$C$19,2,FALSE),146.69)</f>
        <v>146.69</v>
      </c>
      <c r="L54" s="104">
        <f t="shared" si="19"/>
        <v>12308.76</v>
      </c>
      <c r="M54" s="105">
        <f t="shared" si="20"/>
        <v>2400208.2000000002</v>
      </c>
      <c r="N54" s="113">
        <f t="shared" si="21"/>
        <v>763963.20000000019</v>
      </c>
      <c r="P54" s="112">
        <f t="shared" si="22"/>
        <v>146.69</v>
      </c>
      <c r="Q54" s="104">
        <f t="shared" si="23"/>
        <v>12308.76</v>
      </c>
      <c r="R54" s="105">
        <f t="shared" si="24"/>
        <v>2400208.2000000002</v>
      </c>
      <c r="S54" s="113">
        <f t="shared" si="25"/>
        <v>763963.20000000019</v>
      </c>
      <c r="U54" s="112">
        <f>VLOOKUP(E54,'Evolución de Tarifa'!$B$12:$F$19,5,FALSE)</f>
        <v>138.4</v>
      </c>
      <c r="V54" s="104">
        <f t="shared" si="26"/>
        <v>11613.14</v>
      </c>
      <c r="W54" s="105">
        <f t="shared" si="27"/>
        <v>2264562.2999999998</v>
      </c>
      <c r="X54" s="113">
        <f t="shared" si="28"/>
        <v>628317.29999999981</v>
      </c>
    </row>
    <row r="55" spans="2:24" x14ac:dyDescent="0.25">
      <c r="B55" s="107" t="s">
        <v>118</v>
      </c>
      <c r="C55" s="108"/>
      <c r="D55" s="108"/>
      <c r="E55" s="109">
        <v>43739</v>
      </c>
      <c r="F55" s="107" t="s">
        <v>77</v>
      </c>
      <c r="G55" s="110">
        <v>107</v>
      </c>
      <c r="H55" s="104">
        <v>1557</v>
      </c>
      <c r="I55" s="105">
        <f t="shared" si="29"/>
        <v>166599</v>
      </c>
      <c r="K55" s="112">
        <f>IF(MONTH(E55)&lt;11,VLOOKUP(E55,'Evolución de Tarifa'!$B$3:$C$19,2,FALSE),146.69)</f>
        <v>146.69</v>
      </c>
      <c r="L55" s="104">
        <f t="shared" si="19"/>
        <v>2283.96</v>
      </c>
      <c r="M55" s="105">
        <f t="shared" si="20"/>
        <v>244383.72</v>
      </c>
      <c r="N55" s="113">
        <f t="shared" si="21"/>
        <v>77784.72</v>
      </c>
      <c r="P55" s="112">
        <f t="shared" si="22"/>
        <v>146.69</v>
      </c>
      <c r="Q55" s="104">
        <f t="shared" si="23"/>
        <v>2283.96</v>
      </c>
      <c r="R55" s="105">
        <f t="shared" si="24"/>
        <v>244383.72</v>
      </c>
      <c r="S55" s="113">
        <f t="shared" si="25"/>
        <v>77784.72</v>
      </c>
      <c r="U55" s="112">
        <f>VLOOKUP(E55,'Evolución de Tarifa'!$B$12:$F$19,5,FALSE)</f>
        <v>138.4</v>
      </c>
      <c r="V55" s="104">
        <f t="shared" si="26"/>
        <v>2154.89</v>
      </c>
      <c r="W55" s="105">
        <f t="shared" si="27"/>
        <v>230573.22999999998</v>
      </c>
      <c r="X55" s="113">
        <f t="shared" si="28"/>
        <v>63974.229999999981</v>
      </c>
    </row>
    <row r="56" spans="2:24" x14ac:dyDescent="0.25">
      <c r="B56" s="107" t="s">
        <v>118</v>
      </c>
      <c r="C56" s="108"/>
      <c r="D56" s="108"/>
      <c r="E56" s="109">
        <v>43739</v>
      </c>
      <c r="F56" s="107" t="s">
        <v>79</v>
      </c>
      <c r="G56" s="110">
        <v>7</v>
      </c>
      <c r="H56" s="104">
        <v>19582</v>
      </c>
      <c r="I56" s="105">
        <f t="shared" si="29"/>
        <v>137074</v>
      </c>
      <c r="K56" s="112">
        <f>IF(MONTH(E56)&lt;11,VLOOKUP(E56,'Evolución de Tarifa'!$B$3:$C$19,2,FALSE),146.69)</f>
        <v>146.69</v>
      </c>
      <c r="L56" s="104">
        <f t="shared" si="19"/>
        <v>28724.84</v>
      </c>
      <c r="M56" s="105">
        <f t="shared" si="20"/>
        <v>201073.88</v>
      </c>
      <c r="N56" s="113">
        <f t="shared" si="21"/>
        <v>63999.880000000005</v>
      </c>
      <c r="P56" s="112">
        <f t="shared" si="22"/>
        <v>146.69</v>
      </c>
      <c r="Q56" s="104">
        <f t="shared" si="23"/>
        <v>28724.84</v>
      </c>
      <c r="R56" s="105">
        <f t="shared" si="24"/>
        <v>201073.88</v>
      </c>
      <c r="S56" s="113">
        <f t="shared" si="25"/>
        <v>63999.880000000005</v>
      </c>
      <c r="U56" s="112">
        <f>VLOOKUP(E56,'Evolución de Tarifa'!$B$12:$F$19,5,FALSE)</f>
        <v>138.4</v>
      </c>
      <c r="V56" s="104">
        <f t="shared" si="26"/>
        <v>27101.49</v>
      </c>
      <c r="W56" s="105">
        <f t="shared" si="27"/>
        <v>189710.43000000002</v>
      </c>
      <c r="X56" s="113">
        <f t="shared" si="28"/>
        <v>52636.430000000022</v>
      </c>
    </row>
    <row r="57" spans="2:24" x14ac:dyDescent="0.25">
      <c r="B57" s="107" t="s">
        <v>118</v>
      </c>
      <c r="C57" s="108"/>
      <c r="D57" s="108"/>
      <c r="E57" s="109">
        <v>43770</v>
      </c>
      <c r="F57" s="107" t="s">
        <v>73</v>
      </c>
      <c r="G57" s="110">
        <v>177</v>
      </c>
      <c r="H57" s="104">
        <v>8391</v>
      </c>
      <c r="I57" s="105">
        <f t="shared" si="29"/>
        <v>1485207</v>
      </c>
      <c r="K57" s="112">
        <f>IF(MONTH(E57)&lt;11,VLOOKUP(E57,'Evolución de Tarifa'!$B$3:$C$19,2,FALSE),146.69)</f>
        <v>146.69</v>
      </c>
      <c r="L57" s="104">
        <f t="shared" si="19"/>
        <v>12308.76</v>
      </c>
      <c r="M57" s="105">
        <f t="shared" si="20"/>
        <v>2178650.52</v>
      </c>
      <c r="N57" s="113">
        <f t="shared" si="21"/>
        <v>693443.52</v>
      </c>
      <c r="P57" s="112">
        <f t="shared" si="22"/>
        <v>146.69</v>
      </c>
      <c r="Q57" s="104">
        <f t="shared" si="23"/>
        <v>12308.76</v>
      </c>
      <c r="R57" s="105">
        <f t="shared" si="24"/>
        <v>2178650.52</v>
      </c>
      <c r="S57" s="113">
        <f t="shared" si="25"/>
        <v>693443.52</v>
      </c>
      <c r="U57" s="112">
        <f>VLOOKUP(E57,'Evolución de Tarifa'!$B$12:$F$19,5,FALSE)</f>
        <v>138.4</v>
      </c>
      <c r="V57" s="104">
        <f t="shared" si="26"/>
        <v>11613.14</v>
      </c>
      <c r="W57" s="105">
        <f t="shared" si="27"/>
        <v>2055525.7799999998</v>
      </c>
      <c r="X57" s="113">
        <f t="shared" si="28"/>
        <v>570318.7799999998</v>
      </c>
    </row>
    <row r="58" spans="2:24" x14ac:dyDescent="0.25">
      <c r="B58" s="107" t="s">
        <v>118</v>
      </c>
      <c r="C58" s="108"/>
      <c r="D58" s="108"/>
      <c r="E58" s="109">
        <v>43770</v>
      </c>
      <c r="F58" s="107" t="s">
        <v>77</v>
      </c>
      <c r="G58" s="110">
        <v>125</v>
      </c>
      <c r="H58" s="104">
        <v>1557</v>
      </c>
      <c r="I58" s="105">
        <f t="shared" si="29"/>
        <v>194625</v>
      </c>
      <c r="K58" s="112">
        <f>IF(MONTH(E58)&lt;11,VLOOKUP(E58,'Evolución de Tarifa'!$B$3:$C$19,2,FALSE),146.69)</f>
        <v>146.69</v>
      </c>
      <c r="L58" s="104">
        <f t="shared" si="19"/>
        <v>2283.96</v>
      </c>
      <c r="M58" s="105">
        <f t="shared" si="20"/>
        <v>285495</v>
      </c>
      <c r="N58" s="113">
        <f t="shared" si="21"/>
        <v>90870</v>
      </c>
      <c r="P58" s="112">
        <f t="shared" si="22"/>
        <v>146.69</v>
      </c>
      <c r="Q58" s="104">
        <f t="shared" si="23"/>
        <v>2283.96</v>
      </c>
      <c r="R58" s="105">
        <f t="shared" si="24"/>
        <v>285495</v>
      </c>
      <c r="S58" s="113">
        <f t="shared" si="25"/>
        <v>90870</v>
      </c>
      <c r="U58" s="112">
        <f>VLOOKUP(E58,'Evolución de Tarifa'!$B$12:$F$19,5,FALSE)</f>
        <v>138.4</v>
      </c>
      <c r="V58" s="104">
        <f t="shared" si="26"/>
        <v>2154.89</v>
      </c>
      <c r="W58" s="105">
        <f t="shared" si="27"/>
        <v>269361.25</v>
      </c>
      <c r="X58" s="113">
        <f t="shared" si="28"/>
        <v>74736.25</v>
      </c>
    </row>
    <row r="59" spans="2:24" x14ac:dyDescent="0.25">
      <c r="B59" s="107" t="s">
        <v>118</v>
      </c>
      <c r="C59" s="108"/>
      <c r="D59" s="108"/>
      <c r="E59" s="109">
        <v>43800</v>
      </c>
      <c r="F59" s="107" t="s">
        <v>73</v>
      </c>
      <c r="G59" s="110">
        <v>177</v>
      </c>
      <c r="H59" s="104">
        <v>8391</v>
      </c>
      <c r="I59" s="105">
        <f t="shared" si="29"/>
        <v>1485207</v>
      </c>
      <c r="K59" s="112">
        <f>IF(MONTH(E59)&lt;11,VLOOKUP(E59,'Evolución de Tarifa'!$B$3:$C$19,2,FALSE),146.69)</f>
        <v>146.69</v>
      </c>
      <c r="L59" s="104">
        <f t="shared" si="19"/>
        <v>12308.76</v>
      </c>
      <c r="M59" s="105">
        <f t="shared" si="20"/>
        <v>2178650.52</v>
      </c>
      <c r="N59" s="113">
        <f t="shared" si="21"/>
        <v>693443.52</v>
      </c>
      <c r="P59" s="112">
        <f t="shared" si="22"/>
        <v>146.69</v>
      </c>
      <c r="Q59" s="104">
        <f t="shared" si="23"/>
        <v>12308.76</v>
      </c>
      <c r="R59" s="105">
        <f t="shared" si="24"/>
        <v>2178650.52</v>
      </c>
      <c r="S59" s="113">
        <f t="shared" si="25"/>
        <v>693443.52</v>
      </c>
      <c r="U59" s="112">
        <f>VLOOKUP(E59,'Evolución de Tarifa'!$B$12:$F$19,5,FALSE)</f>
        <v>138.4</v>
      </c>
      <c r="V59" s="104">
        <f t="shared" si="26"/>
        <v>11613.14</v>
      </c>
      <c r="W59" s="105">
        <f t="shared" si="27"/>
        <v>2055525.7799999998</v>
      </c>
      <c r="X59" s="113">
        <f t="shared" si="28"/>
        <v>570318.7799999998</v>
      </c>
    </row>
    <row r="60" spans="2:24" x14ac:dyDescent="0.25">
      <c r="B60" s="107" t="s">
        <v>118</v>
      </c>
      <c r="C60" s="108"/>
      <c r="D60" s="108"/>
      <c r="E60" s="109">
        <v>43800</v>
      </c>
      <c r="F60" s="107" t="s">
        <v>77</v>
      </c>
      <c r="G60" s="110">
        <v>125</v>
      </c>
      <c r="H60" s="104">
        <v>1557</v>
      </c>
      <c r="I60" s="105">
        <f t="shared" si="29"/>
        <v>194625</v>
      </c>
      <c r="K60" s="112">
        <f>IF(MONTH(E60)&lt;11,VLOOKUP(E60,'Evolución de Tarifa'!$B$3:$C$19,2,FALSE),146.69)</f>
        <v>146.69</v>
      </c>
      <c r="L60" s="104">
        <f t="shared" si="19"/>
        <v>2283.96</v>
      </c>
      <c r="M60" s="105">
        <f t="shared" si="20"/>
        <v>285495</v>
      </c>
      <c r="N60" s="113">
        <f t="shared" si="21"/>
        <v>90870</v>
      </c>
      <c r="P60" s="112">
        <f t="shared" si="22"/>
        <v>146.69</v>
      </c>
      <c r="Q60" s="104">
        <f t="shared" si="23"/>
        <v>2283.96</v>
      </c>
      <c r="R60" s="105">
        <f t="shared" si="24"/>
        <v>285495</v>
      </c>
      <c r="S60" s="113">
        <f t="shared" si="25"/>
        <v>90870</v>
      </c>
      <c r="U60" s="112">
        <f>VLOOKUP(E60,'Evolución de Tarifa'!$B$12:$F$19,5,FALSE)</f>
        <v>138.4</v>
      </c>
      <c r="V60" s="104">
        <f t="shared" si="26"/>
        <v>2154.89</v>
      </c>
      <c r="W60" s="105">
        <f t="shared" si="27"/>
        <v>269361.25</v>
      </c>
      <c r="X60" s="113">
        <f t="shared" si="28"/>
        <v>74736.25</v>
      </c>
    </row>
    <row r="61" spans="2:24" ht="15.75" x14ac:dyDescent="0.25">
      <c r="B61" s="102"/>
      <c r="F61" s="102"/>
      <c r="I61" s="119">
        <f>SUM(I50:I60)</f>
        <v>8409027</v>
      </c>
      <c r="N61" s="119">
        <f>SUM(N50:N60)</f>
        <v>3517826.8900000006</v>
      </c>
      <c r="O61" s="119">
        <f>N61/59.4</f>
        <v>59222.674915824929</v>
      </c>
      <c r="P61" s="119"/>
      <c r="Q61" s="119"/>
      <c r="R61" s="119"/>
      <c r="S61" s="119">
        <f>SUM(S50:S60)</f>
        <v>3429907.3400000003</v>
      </c>
      <c r="T61" s="119"/>
      <c r="U61" s="119"/>
      <c r="V61" s="119"/>
      <c r="W61" s="119"/>
      <c r="X61" s="119">
        <f>SUM(X50:X60)</f>
        <v>2991193.9699999993</v>
      </c>
    </row>
    <row r="62" spans="2:24" x14ac:dyDescent="0.25">
      <c r="B62" s="102"/>
      <c r="F62" s="102"/>
    </row>
    <row r="64" spans="2:24" x14ac:dyDescent="0.25">
      <c r="B64" s="63" t="s">
        <v>120</v>
      </c>
      <c r="C64" s="120">
        <v>43754</v>
      </c>
      <c r="D64" s="120">
        <v>43784</v>
      </c>
      <c r="E64" s="121">
        <v>43770</v>
      </c>
      <c r="F64" s="107" t="s">
        <v>75</v>
      </c>
      <c r="G64" s="112">
        <v>50</v>
      </c>
      <c r="H64" s="100">
        <v>5881</v>
      </c>
      <c r="I64" s="105">
        <v>294050</v>
      </c>
      <c r="K64" s="112">
        <f>IF(MONTH(E64)&lt;11,VLOOKUP(E64,'Evolución de Tarifa'!$B$3:$C$19,2,FALSE),146.69)</f>
        <v>146.69</v>
      </c>
      <c r="L64" s="104">
        <f t="shared" ref="L64" si="30">MROUND(H64*K64/100,0.01)</f>
        <v>8626.84</v>
      </c>
      <c r="M64" s="105">
        <f t="shared" ref="M64" si="31">L64*G64</f>
        <v>431342</v>
      </c>
      <c r="N64" s="113">
        <f t="shared" ref="N64" si="32">M64-I64</f>
        <v>137292</v>
      </c>
      <c r="P64" s="112">
        <f t="shared" ref="P64" si="33">IF(MONTH(E64)&lt;10,130.73,146.69)</f>
        <v>146.69</v>
      </c>
      <c r="Q64" s="104">
        <f t="shared" ref="Q64" si="34">MROUND(H64*P64/100,0.01)</f>
        <v>8626.84</v>
      </c>
      <c r="R64" s="105">
        <f t="shared" ref="R64" si="35">Q64*G64</f>
        <v>431342</v>
      </c>
      <c r="S64" s="113">
        <f t="shared" ref="S64" si="36">R64-I64</f>
        <v>137292</v>
      </c>
      <c r="U64" s="112">
        <f>VLOOKUP(E64,'Evolución de Tarifa'!$B$12:$F$19,5,FALSE)</f>
        <v>138.4</v>
      </c>
      <c r="V64" s="104">
        <f t="shared" ref="V64" si="37">MROUND($H64*U64/100,0.01)</f>
        <v>8139.3</v>
      </c>
      <c r="W64" s="105">
        <f t="shared" ref="W64" si="38">V64*$G64</f>
        <v>406965</v>
      </c>
      <c r="X64" s="113">
        <f t="shared" ref="X64" si="39">W64-$I64</f>
        <v>112915</v>
      </c>
    </row>
    <row r="65" spans="2:24" x14ac:dyDescent="0.25">
      <c r="B65" s="63" t="s">
        <v>120</v>
      </c>
      <c r="C65" s="120">
        <v>43754</v>
      </c>
      <c r="D65" s="120">
        <v>43784</v>
      </c>
      <c r="E65" s="121">
        <v>43770</v>
      </c>
      <c r="F65" s="107" t="s">
        <v>77</v>
      </c>
      <c r="G65" s="112">
        <v>29</v>
      </c>
      <c r="H65" s="100">
        <v>1557</v>
      </c>
      <c r="I65" s="105">
        <v>45153</v>
      </c>
      <c r="K65" s="112">
        <f>IF(MONTH(E65)&lt;11,VLOOKUP(E65,'Evolución de Tarifa'!$B$3:$C$19,2,FALSE),146.69)</f>
        <v>146.69</v>
      </c>
      <c r="L65" s="104">
        <f t="shared" ref="L65:L75" si="40">MROUND(H65*K65/100,0.01)</f>
        <v>2283.96</v>
      </c>
      <c r="M65" s="105">
        <f t="shared" ref="M65:M75" si="41">L65*G65</f>
        <v>66234.84</v>
      </c>
      <c r="N65" s="113">
        <f t="shared" ref="N65:N75" si="42">M65-I65</f>
        <v>21081.839999999997</v>
      </c>
      <c r="P65" s="112">
        <f t="shared" ref="P65:P75" si="43">IF(MONTH(E65)&lt;10,130.73,146.69)</f>
        <v>146.69</v>
      </c>
      <c r="Q65" s="104">
        <f t="shared" ref="Q65:Q75" si="44">MROUND(H65*P65/100,0.01)</f>
        <v>2283.96</v>
      </c>
      <c r="R65" s="105">
        <f t="shared" ref="R65:R75" si="45">Q65*G65</f>
        <v>66234.84</v>
      </c>
      <c r="S65" s="113">
        <f t="shared" ref="S65:S75" si="46">R65-I65</f>
        <v>21081.839999999997</v>
      </c>
      <c r="U65" s="112">
        <f>VLOOKUP(E65,'Evolución de Tarifa'!$B$12:$F$19,5,FALSE)</f>
        <v>138.4</v>
      </c>
      <c r="V65" s="104">
        <f t="shared" ref="V65:V75" si="47">MROUND($H65*U65/100,0.01)</f>
        <v>2154.89</v>
      </c>
      <c r="W65" s="105">
        <f t="shared" ref="W65:W75" si="48">V65*$G65</f>
        <v>62491.81</v>
      </c>
      <c r="X65" s="113">
        <f t="shared" ref="X65:X75" si="49">W65-$I65</f>
        <v>17338.809999999998</v>
      </c>
    </row>
    <row r="66" spans="2:24" x14ac:dyDescent="0.25">
      <c r="B66" s="63" t="s">
        <v>120</v>
      </c>
      <c r="C66" s="120">
        <v>43754</v>
      </c>
      <c r="D66" s="120">
        <v>43784</v>
      </c>
      <c r="E66" s="121">
        <v>43770</v>
      </c>
      <c r="F66" s="107" t="s">
        <v>80</v>
      </c>
      <c r="G66" s="112">
        <v>3</v>
      </c>
      <c r="H66" s="100">
        <v>7868</v>
      </c>
      <c r="I66" s="105">
        <v>23604</v>
      </c>
      <c r="K66" s="112">
        <f>IF(MONTH(E66)&lt;11,VLOOKUP(E66,'Evolución de Tarifa'!$B$3:$C$19,2,FALSE),146.69)</f>
        <v>146.69</v>
      </c>
      <c r="L66" s="104">
        <f t="shared" si="40"/>
        <v>11541.57</v>
      </c>
      <c r="M66" s="105">
        <f t="shared" si="41"/>
        <v>34624.71</v>
      </c>
      <c r="N66" s="113">
        <f t="shared" si="42"/>
        <v>11020.71</v>
      </c>
      <c r="P66" s="112">
        <f t="shared" si="43"/>
        <v>146.69</v>
      </c>
      <c r="Q66" s="104">
        <f t="shared" si="44"/>
        <v>11541.57</v>
      </c>
      <c r="R66" s="105">
        <f t="shared" si="45"/>
        <v>34624.71</v>
      </c>
      <c r="S66" s="113">
        <f t="shared" si="46"/>
        <v>11020.71</v>
      </c>
      <c r="U66" s="112">
        <f>VLOOKUP(E66,'Evolución de Tarifa'!$B$12:$F$19,5,FALSE)</f>
        <v>138.4</v>
      </c>
      <c r="V66" s="104">
        <f t="shared" si="47"/>
        <v>10889.31</v>
      </c>
      <c r="W66" s="105">
        <f t="shared" si="48"/>
        <v>32667.93</v>
      </c>
      <c r="X66" s="113">
        <f t="shared" si="49"/>
        <v>9063.93</v>
      </c>
    </row>
    <row r="67" spans="2:24" x14ac:dyDescent="0.25">
      <c r="B67" s="63" t="s">
        <v>120</v>
      </c>
      <c r="C67" s="120">
        <v>43785</v>
      </c>
      <c r="D67" s="120">
        <v>43814</v>
      </c>
      <c r="E67" s="121">
        <v>43800</v>
      </c>
      <c r="F67" s="107" t="s">
        <v>75</v>
      </c>
      <c r="G67" s="112">
        <v>50</v>
      </c>
      <c r="H67" s="100">
        <v>5881</v>
      </c>
      <c r="I67" s="105">
        <v>294050</v>
      </c>
      <c r="K67" s="112">
        <f>IF(MONTH(E67)&lt;11,VLOOKUP(E67,'Evolución de Tarifa'!$B$3:$C$19,2,FALSE),146.69)</f>
        <v>146.69</v>
      </c>
      <c r="L67" s="104">
        <f t="shared" si="40"/>
        <v>8626.84</v>
      </c>
      <c r="M67" s="105">
        <f t="shared" si="41"/>
        <v>431342</v>
      </c>
      <c r="N67" s="113">
        <f t="shared" si="42"/>
        <v>137292</v>
      </c>
      <c r="P67" s="112">
        <f t="shared" si="43"/>
        <v>146.69</v>
      </c>
      <c r="Q67" s="104">
        <f t="shared" si="44"/>
        <v>8626.84</v>
      </c>
      <c r="R67" s="105">
        <f t="shared" si="45"/>
        <v>431342</v>
      </c>
      <c r="S67" s="113">
        <f t="shared" si="46"/>
        <v>137292</v>
      </c>
      <c r="U67" s="112">
        <f>VLOOKUP(E67,'Evolución de Tarifa'!$B$12:$F$19,5,FALSE)</f>
        <v>138.4</v>
      </c>
      <c r="V67" s="104">
        <f t="shared" si="47"/>
        <v>8139.3</v>
      </c>
      <c r="W67" s="105">
        <f t="shared" si="48"/>
        <v>406965</v>
      </c>
      <c r="X67" s="113">
        <f t="shared" si="49"/>
        <v>112915</v>
      </c>
    </row>
    <row r="68" spans="2:24" x14ac:dyDescent="0.25">
      <c r="B68" s="63" t="s">
        <v>120</v>
      </c>
      <c r="C68" s="120">
        <v>43785</v>
      </c>
      <c r="D68" s="120">
        <v>43814</v>
      </c>
      <c r="E68" s="121">
        <v>43800</v>
      </c>
      <c r="F68" s="107" t="s">
        <v>77</v>
      </c>
      <c r="G68" s="112">
        <v>29</v>
      </c>
      <c r="H68" s="100">
        <v>1557</v>
      </c>
      <c r="I68" s="105">
        <v>45153</v>
      </c>
      <c r="K68" s="112">
        <f>IF(MONTH(E68)&lt;11,VLOOKUP(E68,'Evolución de Tarifa'!$B$3:$C$19,2,FALSE),146.69)</f>
        <v>146.69</v>
      </c>
      <c r="L68" s="104">
        <f t="shared" si="40"/>
        <v>2283.96</v>
      </c>
      <c r="M68" s="105">
        <f t="shared" si="41"/>
        <v>66234.84</v>
      </c>
      <c r="N68" s="113">
        <f t="shared" si="42"/>
        <v>21081.839999999997</v>
      </c>
      <c r="P68" s="112">
        <f t="shared" si="43"/>
        <v>146.69</v>
      </c>
      <c r="Q68" s="104">
        <f t="shared" si="44"/>
        <v>2283.96</v>
      </c>
      <c r="R68" s="105">
        <f t="shared" si="45"/>
        <v>66234.84</v>
      </c>
      <c r="S68" s="113">
        <f t="shared" si="46"/>
        <v>21081.839999999997</v>
      </c>
      <c r="U68" s="112">
        <f>VLOOKUP(E68,'Evolución de Tarifa'!$B$12:$F$19,5,FALSE)</f>
        <v>138.4</v>
      </c>
      <c r="V68" s="104">
        <f t="shared" si="47"/>
        <v>2154.89</v>
      </c>
      <c r="W68" s="105">
        <f t="shared" si="48"/>
        <v>62491.81</v>
      </c>
      <c r="X68" s="113">
        <f t="shared" si="49"/>
        <v>17338.809999999998</v>
      </c>
    </row>
    <row r="69" spans="2:24" x14ac:dyDescent="0.25">
      <c r="B69" s="63" t="s">
        <v>120</v>
      </c>
      <c r="C69" s="120">
        <v>43785</v>
      </c>
      <c r="D69" s="120">
        <v>43814</v>
      </c>
      <c r="E69" s="121">
        <v>43800</v>
      </c>
      <c r="F69" s="107" t="s">
        <v>80</v>
      </c>
      <c r="G69" s="112">
        <v>3</v>
      </c>
      <c r="H69" s="100">
        <v>7868</v>
      </c>
      <c r="I69" s="105">
        <v>23604</v>
      </c>
      <c r="K69" s="112">
        <f>IF(MONTH(E69)&lt;11,VLOOKUP(E69,'Evolución de Tarifa'!$B$3:$C$19,2,FALSE),146.69)</f>
        <v>146.69</v>
      </c>
      <c r="L69" s="104">
        <f t="shared" si="40"/>
        <v>11541.57</v>
      </c>
      <c r="M69" s="105">
        <f t="shared" si="41"/>
        <v>34624.71</v>
      </c>
      <c r="N69" s="113">
        <f t="shared" si="42"/>
        <v>11020.71</v>
      </c>
      <c r="P69" s="112">
        <f t="shared" si="43"/>
        <v>146.69</v>
      </c>
      <c r="Q69" s="104">
        <f t="shared" si="44"/>
        <v>11541.57</v>
      </c>
      <c r="R69" s="105">
        <f t="shared" si="45"/>
        <v>34624.71</v>
      </c>
      <c r="S69" s="113">
        <f t="shared" si="46"/>
        <v>11020.71</v>
      </c>
      <c r="U69" s="112">
        <f>VLOOKUP(E69,'Evolución de Tarifa'!$B$12:$F$19,5,FALSE)</f>
        <v>138.4</v>
      </c>
      <c r="V69" s="104">
        <f t="shared" si="47"/>
        <v>10889.31</v>
      </c>
      <c r="W69" s="105">
        <f t="shared" si="48"/>
        <v>32667.93</v>
      </c>
      <c r="X69" s="113">
        <f t="shared" si="49"/>
        <v>9063.93</v>
      </c>
    </row>
    <row r="70" spans="2:24" ht="15.75" x14ac:dyDescent="0.25">
      <c r="B70" s="102"/>
      <c r="F70" s="102"/>
      <c r="I70" s="119">
        <f>SUM(I64:I69)</f>
        <v>725614</v>
      </c>
      <c r="N70" s="119">
        <f>SUM(N64:N69)</f>
        <v>338789.10000000003</v>
      </c>
      <c r="S70" s="119">
        <f>SUM(S64:S69)</f>
        <v>338789.10000000003</v>
      </c>
      <c r="X70" s="119">
        <f>SUM(X64:X69)</f>
        <v>278635.48</v>
      </c>
    </row>
    <row r="71" spans="2:24" x14ac:dyDescent="0.25">
      <c r="B71" s="102"/>
      <c r="F71" s="102"/>
    </row>
    <row r="72" spans="2:24" x14ac:dyDescent="0.25">
      <c r="B72" s="63" t="s">
        <v>119</v>
      </c>
      <c r="C72" s="120">
        <v>43754</v>
      </c>
      <c r="D72" s="120">
        <v>43784</v>
      </c>
      <c r="E72" s="121">
        <v>43770</v>
      </c>
      <c r="F72" s="107" t="s">
        <v>75</v>
      </c>
      <c r="G72" s="122">
        <v>138</v>
      </c>
      <c r="H72" s="100">
        <v>5881</v>
      </c>
      <c r="I72" s="105">
        <v>811578</v>
      </c>
      <c r="K72" s="112">
        <f>IF(MONTH(E72)&lt;11,VLOOKUP(E72,'Evolución de Tarifa'!$B$3:$C$19,2,FALSE),146.69)</f>
        <v>146.69</v>
      </c>
      <c r="L72" s="104">
        <f t="shared" si="40"/>
        <v>8626.84</v>
      </c>
      <c r="M72" s="105">
        <f t="shared" si="41"/>
        <v>1190503.92</v>
      </c>
      <c r="N72" s="113">
        <f t="shared" si="42"/>
        <v>378925.91999999993</v>
      </c>
      <c r="P72" s="112">
        <f t="shared" si="43"/>
        <v>146.69</v>
      </c>
      <c r="Q72" s="104">
        <f t="shared" si="44"/>
        <v>8626.84</v>
      </c>
      <c r="R72" s="105">
        <f t="shared" si="45"/>
        <v>1190503.92</v>
      </c>
      <c r="S72" s="113">
        <f t="shared" si="46"/>
        <v>378925.91999999993</v>
      </c>
      <c r="U72" s="112">
        <f>VLOOKUP(E72,'Evolución de Tarifa'!$B$12:$F$19,5,FALSE)</f>
        <v>138.4</v>
      </c>
      <c r="V72" s="104">
        <f t="shared" si="47"/>
        <v>8139.3</v>
      </c>
      <c r="W72" s="105">
        <f t="shared" si="48"/>
        <v>1123223.4000000001</v>
      </c>
      <c r="X72" s="113">
        <f t="shared" si="49"/>
        <v>311645.40000000014</v>
      </c>
    </row>
    <row r="73" spans="2:24" x14ac:dyDescent="0.25">
      <c r="B73" s="63" t="s">
        <v>119</v>
      </c>
      <c r="C73" s="120">
        <v>43754</v>
      </c>
      <c r="D73" s="120">
        <v>43784</v>
      </c>
      <c r="E73" s="121">
        <v>43770</v>
      </c>
      <c r="F73" s="107" t="s">
        <v>77</v>
      </c>
      <c r="G73" s="122">
        <v>32</v>
      </c>
      <c r="H73" s="100">
        <v>1557</v>
      </c>
      <c r="I73" s="105">
        <v>49824</v>
      </c>
      <c r="K73" s="112">
        <f>IF(MONTH(E73)&lt;11,VLOOKUP(E73,'Evolución de Tarifa'!$B$3:$C$19,2,FALSE),146.69)</f>
        <v>146.69</v>
      </c>
      <c r="L73" s="104">
        <f t="shared" si="40"/>
        <v>2283.96</v>
      </c>
      <c r="M73" s="105">
        <f t="shared" si="41"/>
        <v>73086.720000000001</v>
      </c>
      <c r="N73" s="113">
        <f t="shared" si="42"/>
        <v>23262.720000000001</v>
      </c>
      <c r="P73" s="112">
        <f t="shared" si="43"/>
        <v>146.69</v>
      </c>
      <c r="Q73" s="104">
        <f t="shared" si="44"/>
        <v>2283.96</v>
      </c>
      <c r="R73" s="105">
        <f t="shared" si="45"/>
        <v>73086.720000000001</v>
      </c>
      <c r="S73" s="113">
        <f t="shared" si="46"/>
        <v>23262.720000000001</v>
      </c>
      <c r="U73" s="112">
        <f>VLOOKUP(E73,'Evolución de Tarifa'!$B$12:$F$19,5,FALSE)</f>
        <v>138.4</v>
      </c>
      <c r="V73" s="104">
        <f t="shared" si="47"/>
        <v>2154.89</v>
      </c>
      <c r="W73" s="105">
        <f t="shared" si="48"/>
        <v>68956.479999999996</v>
      </c>
      <c r="X73" s="113">
        <f t="shared" si="49"/>
        <v>19132.479999999996</v>
      </c>
    </row>
    <row r="74" spans="2:24" x14ac:dyDescent="0.25">
      <c r="B74" s="63" t="s">
        <v>119</v>
      </c>
      <c r="C74" s="120">
        <v>43785</v>
      </c>
      <c r="D74" s="120">
        <v>43814</v>
      </c>
      <c r="E74" s="121">
        <v>43800</v>
      </c>
      <c r="F74" s="107" t="s">
        <v>75</v>
      </c>
      <c r="G74" s="122">
        <v>138</v>
      </c>
      <c r="H74" s="100">
        <v>5881</v>
      </c>
      <c r="I74" s="105">
        <v>811578</v>
      </c>
      <c r="K74" s="112">
        <f>IF(MONTH(E74)&lt;11,VLOOKUP(E74,'Evolución de Tarifa'!$B$3:$C$19,2,FALSE),146.69)</f>
        <v>146.69</v>
      </c>
      <c r="L74" s="104">
        <f t="shared" si="40"/>
        <v>8626.84</v>
      </c>
      <c r="M74" s="105">
        <f t="shared" si="41"/>
        <v>1190503.92</v>
      </c>
      <c r="N74" s="113">
        <f t="shared" si="42"/>
        <v>378925.91999999993</v>
      </c>
      <c r="P74" s="112">
        <f t="shared" si="43"/>
        <v>146.69</v>
      </c>
      <c r="Q74" s="104">
        <f t="shared" si="44"/>
        <v>8626.84</v>
      </c>
      <c r="R74" s="105">
        <f t="shared" si="45"/>
        <v>1190503.92</v>
      </c>
      <c r="S74" s="113">
        <f t="shared" si="46"/>
        <v>378925.91999999993</v>
      </c>
      <c r="U74" s="112">
        <f>VLOOKUP(E74,'Evolución de Tarifa'!$B$12:$F$19,5,FALSE)</f>
        <v>138.4</v>
      </c>
      <c r="V74" s="104">
        <f t="shared" si="47"/>
        <v>8139.3</v>
      </c>
      <c r="W74" s="105">
        <f t="shared" si="48"/>
        <v>1123223.4000000001</v>
      </c>
      <c r="X74" s="113">
        <f t="shared" si="49"/>
        <v>311645.40000000014</v>
      </c>
    </row>
    <row r="75" spans="2:24" x14ac:dyDescent="0.25">
      <c r="B75" s="63" t="s">
        <v>119</v>
      </c>
      <c r="C75" s="120">
        <v>43785</v>
      </c>
      <c r="D75" s="120">
        <v>43814</v>
      </c>
      <c r="E75" s="121">
        <v>43800</v>
      </c>
      <c r="F75" s="107" t="s">
        <v>77</v>
      </c>
      <c r="G75" s="122">
        <v>32</v>
      </c>
      <c r="H75" s="100">
        <v>1557</v>
      </c>
      <c r="I75" s="105">
        <v>49824</v>
      </c>
      <c r="K75" s="112">
        <f>IF(MONTH(E75)&lt;11,VLOOKUP(E75,'Evolución de Tarifa'!$B$3:$C$19,2,FALSE),146.69)</f>
        <v>146.69</v>
      </c>
      <c r="L75" s="104">
        <f t="shared" si="40"/>
        <v>2283.96</v>
      </c>
      <c r="M75" s="105">
        <f t="shared" si="41"/>
        <v>73086.720000000001</v>
      </c>
      <c r="N75" s="113">
        <f t="shared" si="42"/>
        <v>23262.720000000001</v>
      </c>
      <c r="P75" s="112">
        <f t="shared" si="43"/>
        <v>146.69</v>
      </c>
      <c r="Q75" s="104">
        <f t="shared" si="44"/>
        <v>2283.96</v>
      </c>
      <c r="R75" s="105">
        <f t="shared" si="45"/>
        <v>73086.720000000001</v>
      </c>
      <c r="S75" s="113">
        <f t="shared" si="46"/>
        <v>23262.720000000001</v>
      </c>
      <c r="U75" s="112">
        <f>VLOOKUP(E75,'Evolución de Tarifa'!$B$12:$F$19,5,FALSE)</f>
        <v>138.4</v>
      </c>
      <c r="V75" s="104">
        <f t="shared" si="47"/>
        <v>2154.89</v>
      </c>
      <c r="W75" s="105">
        <f t="shared" si="48"/>
        <v>68956.479999999996</v>
      </c>
      <c r="X75" s="113">
        <f t="shared" si="49"/>
        <v>19132.479999999996</v>
      </c>
    </row>
    <row r="76" spans="2:24" ht="15.75" x14ac:dyDescent="0.25">
      <c r="I76" s="119">
        <f>SUM(I72:I75)</f>
        <v>1722804</v>
      </c>
      <c r="N76" s="119">
        <f>SUM(N72:N75)</f>
        <v>804377.2799999998</v>
      </c>
      <c r="S76" s="119">
        <f>SUM(S72:S75)</f>
        <v>804377.2799999998</v>
      </c>
      <c r="X76" s="119">
        <f>SUM(X72:X75)</f>
        <v>661555.76000000024</v>
      </c>
    </row>
    <row r="78" spans="2:24" x14ac:dyDescent="0.25">
      <c r="B78" s="63" t="s">
        <v>119</v>
      </c>
      <c r="C78" s="157"/>
      <c r="E78" s="158">
        <v>43831</v>
      </c>
      <c r="F78" s="102"/>
      <c r="G78" s="159"/>
      <c r="I78" s="160">
        <v>1773046</v>
      </c>
    </row>
    <row r="79" spans="2:24" x14ac:dyDescent="0.25">
      <c r="B79" s="63" t="s">
        <v>119</v>
      </c>
      <c r="E79" s="158">
        <v>43862</v>
      </c>
      <c r="F79" s="102"/>
      <c r="G79" s="159"/>
      <c r="I79" s="160">
        <v>1503414</v>
      </c>
    </row>
    <row r="80" spans="2:24" x14ac:dyDescent="0.25">
      <c r="F80" s="102"/>
      <c r="G80" s="159"/>
      <c r="I80" s="160"/>
    </row>
    <row r="81" spans="2:12" x14ac:dyDescent="0.25">
      <c r="B81" s="63" t="s">
        <v>120</v>
      </c>
      <c r="E81" s="158">
        <v>43831</v>
      </c>
      <c r="F81" s="102"/>
      <c r="G81" s="159"/>
      <c r="I81" s="160">
        <v>1410492</v>
      </c>
    </row>
    <row r="82" spans="2:12" x14ac:dyDescent="0.25">
      <c r="B82" s="63" t="s">
        <v>120</v>
      </c>
      <c r="E82" s="158">
        <v>43862</v>
      </c>
      <c r="F82" s="102"/>
      <c r="I82" s="160">
        <v>846902</v>
      </c>
    </row>
    <row r="83" spans="2:12" x14ac:dyDescent="0.25">
      <c r="F83" s="102"/>
      <c r="I83" s="160"/>
    </row>
    <row r="84" spans="2:12" x14ac:dyDescent="0.25">
      <c r="B84" s="107" t="s">
        <v>117</v>
      </c>
      <c r="E84" s="158">
        <v>43831</v>
      </c>
      <c r="F84" s="102"/>
      <c r="I84" s="160">
        <v>5500561</v>
      </c>
      <c r="J84" s="161"/>
      <c r="K84" s="161"/>
      <c r="L84" s="161"/>
    </row>
    <row r="85" spans="2:12" x14ac:dyDescent="0.25">
      <c r="B85" s="107" t="s">
        <v>117</v>
      </c>
      <c r="E85" s="158">
        <v>43862</v>
      </c>
      <c r="I85" s="160">
        <v>9359476</v>
      </c>
      <c r="J85" s="161"/>
      <c r="K85" s="161"/>
      <c r="L85" s="161"/>
    </row>
    <row r="86" spans="2:12" x14ac:dyDescent="0.25">
      <c r="I86" s="160"/>
    </row>
    <row r="87" spans="2:12" x14ac:dyDescent="0.25">
      <c r="B87" s="107" t="s">
        <v>118</v>
      </c>
      <c r="E87" s="158">
        <v>43831</v>
      </c>
      <c r="I87" s="160">
        <v>1603946</v>
      </c>
    </row>
    <row r="88" spans="2:12" x14ac:dyDescent="0.25">
      <c r="B88" s="107" t="s">
        <v>118</v>
      </c>
      <c r="E88" s="158">
        <v>43862</v>
      </c>
      <c r="I88" s="160">
        <v>1692527</v>
      </c>
    </row>
  </sheetData>
  <mergeCells count="3">
    <mergeCell ref="B4:I5"/>
    <mergeCell ref="B6:I7"/>
    <mergeCell ref="B8:I9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K16" sqref="K16"/>
    </sheetView>
  </sheetViews>
  <sheetFormatPr baseColWidth="10" defaultRowHeight="15" x14ac:dyDescent="0.25"/>
  <cols>
    <col min="1" max="1" width="3.5703125" customWidth="1"/>
    <col min="2" max="2" width="16.7109375" customWidth="1"/>
    <col min="3" max="3" width="13.7109375" customWidth="1"/>
    <col min="4" max="4" width="13" bestFit="1" customWidth="1"/>
    <col min="5" max="5" width="13" customWidth="1"/>
    <col min="6" max="6" width="13" bestFit="1" customWidth="1"/>
    <col min="7" max="7" width="13" customWidth="1"/>
    <col min="8" max="8" width="13" bestFit="1" customWidth="1"/>
  </cols>
  <sheetData>
    <row r="2" spans="2:9" x14ac:dyDescent="0.25">
      <c r="B2" s="103" t="s">
        <v>121</v>
      </c>
    </row>
    <row r="4" spans="2:9" ht="29.25" customHeight="1" x14ac:dyDescent="0.25">
      <c r="B4" s="230" t="s">
        <v>96</v>
      </c>
      <c r="C4" s="230" t="s">
        <v>108</v>
      </c>
      <c r="D4" s="232" t="s">
        <v>126</v>
      </c>
      <c r="E4" s="232"/>
      <c r="F4" s="232"/>
      <c r="G4" s="232"/>
      <c r="H4" s="232"/>
      <c r="I4" s="232"/>
    </row>
    <row r="5" spans="2:9" x14ac:dyDescent="0.25">
      <c r="B5" s="230"/>
      <c r="C5" s="230"/>
      <c r="D5" s="231" t="s">
        <v>123</v>
      </c>
      <c r="E5" s="231"/>
      <c r="F5" s="231" t="s">
        <v>124</v>
      </c>
      <c r="G5" s="231"/>
      <c r="H5" s="231" t="s">
        <v>125</v>
      </c>
      <c r="I5" s="231"/>
    </row>
    <row r="6" spans="2:9" x14ac:dyDescent="0.25">
      <c r="B6" s="123" t="s">
        <v>122</v>
      </c>
      <c r="C6" s="125">
        <f>'Cálculo de Retroactivos'!I31</f>
        <v>10725350</v>
      </c>
      <c r="D6" s="125">
        <f>'Cálculo de Retroactivos'!N31</f>
        <v>4434586.4300000016</v>
      </c>
      <c r="E6" s="126">
        <f>D6/$C6</f>
        <v>0.41346775909410899</v>
      </c>
      <c r="F6" s="125">
        <f>'Cálculo de Retroactivos'!S31</f>
        <v>4299592.2799999993</v>
      </c>
      <c r="G6" s="126">
        <f>F6/$C6</f>
        <v>0.4008813027080701</v>
      </c>
      <c r="H6" s="125">
        <f>'Cálculo de Retroactivos'!X31</f>
        <v>3779147.54</v>
      </c>
      <c r="I6" s="126">
        <f>H6/$C6</f>
        <v>0.3523565701818589</v>
      </c>
    </row>
    <row r="7" spans="2:9" x14ac:dyDescent="0.25">
      <c r="B7" s="123" t="s">
        <v>127</v>
      </c>
      <c r="C7" s="125">
        <f>'Cálculo de Retroactivos'!I48</f>
        <v>41947490</v>
      </c>
      <c r="D7" s="125">
        <f>'Cálculo de Retroactivos'!N48</f>
        <v>17360129.790000003</v>
      </c>
      <c r="E7" s="126">
        <f t="shared" ref="E7:E10" si="0">D7/$C7</f>
        <v>0.41385383940731624</v>
      </c>
      <c r="F7" s="125">
        <f>'Cálculo de Retroactivos'!S48</f>
        <v>16818754.190000001</v>
      </c>
      <c r="G7" s="126">
        <f t="shared" ref="G7:G10" si="1">F7/$C7</f>
        <v>0.40094780855779455</v>
      </c>
      <c r="H7" s="125">
        <f>'Cálculo de Retroactivos'!X48</f>
        <v>14781769.980000004</v>
      </c>
      <c r="I7" s="126">
        <f t="shared" ref="I7:I10" si="2">H7/$C7</f>
        <v>0.35238747252815378</v>
      </c>
    </row>
    <row r="8" spans="2:9" x14ac:dyDescent="0.25">
      <c r="B8" s="123" t="s">
        <v>128</v>
      </c>
      <c r="C8" s="125">
        <f>'Cálculo de Retroactivos'!I61</f>
        <v>8409027</v>
      </c>
      <c r="D8" s="125">
        <f>'Cálculo de Retroactivos'!N61</f>
        <v>3517826.8900000006</v>
      </c>
      <c r="E8" s="126">
        <f t="shared" si="0"/>
        <v>0.41833935008176337</v>
      </c>
      <c r="F8" s="125">
        <f>'Cálculo de Retroactivos'!S61</f>
        <v>3429907.3400000003</v>
      </c>
      <c r="G8" s="126">
        <f t="shared" si="1"/>
        <v>0.40788397278305805</v>
      </c>
      <c r="H8" s="125">
        <f>'Cálculo de Retroactivos'!X61</f>
        <v>2991193.9699999993</v>
      </c>
      <c r="I8" s="126">
        <f t="shared" si="2"/>
        <v>0.35571225660233929</v>
      </c>
    </row>
    <row r="9" spans="2:9" x14ac:dyDescent="0.25">
      <c r="B9" s="123" t="s">
        <v>129</v>
      </c>
      <c r="C9" s="125">
        <f>'Cálculo de Retroactivos'!I70</f>
        <v>725614</v>
      </c>
      <c r="D9" s="125">
        <f>'Cálculo de Retroactivos'!N70</f>
        <v>338789.10000000003</v>
      </c>
      <c r="E9" s="126">
        <f t="shared" si="0"/>
        <v>0.46689989443423091</v>
      </c>
      <c r="F9" s="125">
        <f>'Cálculo de Retroactivos'!S70</f>
        <v>338789.10000000003</v>
      </c>
      <c r="G9" s="126">
        <f t="shared" si="1"/>
        <v>0.46689989443423091</v>
      </c>
      <c r="H9" s="125">
        <f>'Cálculo de Retroactivos'!X70</f>
        <v>278635.48</v>
      </c>
      <c r="I9" s="126">
        <f t="shared" si="2"/>
        <v>0.38399959206961276</v>
      </c>
    </row>
    <row r="10" spans="2:9" x14ac:dyDescent="0.25">
      <c r="B10" s="123" t="s">
        <v>130</v>
      </c>
      <c r="C10" s="125">
        <f>'Cálculo de Retroactivos'!I76</f>
        <v>1722804</v>
      </c>
      <c r="D10" s="125">
        <f>'Cálculo de Retroactivos'!N76</f>
        <v>804377.2799999998</v>
      </c>
      <c r="E10" s="126">
        <f t="shared" si="0"/>
        <v>0.46690005363349507</v>
      </c>
      <c r="F10" s="125">
        <f>'Cálculo de Retroactivos'!S76</f>
        <v>804377.2799999998</v>
      </c>
      <c r="G10" s="126">
        <f t="shared" si="1"/>
        <v>0.46690005363349507</v>
      </c>
      <c r="H10" s="125">
        <f>'Cálculo de Retroactivos'!X76</f>
        <v>661555.76000000024</v>
      </c>
      <c r="I10" s="126">
        <f t="shared" si="2"/>
        <v>0.38399943348169624</v>
      </c>
    </row>
    <row r="14" spans="2:9" x14ac:dyDescent="0.25">
      <c r="B14" s="229" t="s">
        <v>112</v>
      </c>
      <c r="C14" s="229"/>
      <c r="D14" s="229"/>
      <c r="E14" s="229"/>
      <c r="F14" s="229"/>
      <c r="G14" s="229"/>
      <c r="H14" s="229"/>
      <c r="I14" s="229"/>
    </row>
    <row r="15" spans="2:9" x14ac:dyDescent="0.25">
      <c r="B15" s="229"/>
      <c r="C15" s="229"/>
      <c r="D15" s="229"/>
      <c r="E15" s="229"/>
      <c r="F15" s="229"/>
      <c r="G15" s="229"/>
      <c r="H15" s="229"/>
      <c r="I15" s="229"/>
    </row>
    <row r="16" spans="2:9" x14ac:dyDescent="0.25">
      <c r="B16" s="229" t="s">
        <v>113</v>
      </c>
      <c r="C16" s="229"/>
      <c r="D16" s="229"/>
      <c r="E16" s="229"/>
      <c r="F16" s="229"/>
      <c r="G16" s="229"/>
      <c r="H16" s="229"/>
      <c r="I16" s="229"/>
    </row>
    <row r="17" spans="2:9" x14ac:dyDescent="0.25">
      <c r="B17" s="229"/>
      <c r="C17" s="229"/>
      <c r="D17" s="229"/>
      <c r="E17" s="229"/>
      <c r="F17" s="229"/>
      <c r="G17" s="229"/>
      <c r="H17" s="229"/>
      <c r="I17" s="229"/>
    </row>
    <row r="18" spans="2:9" x14ac:dyDescent="0.25">
      <c r="B18" s="229" t="s">
        <v>114</v>
      </c>
      <c r="C18" s="229"/>
      <c r="D18" s="229"/>
      <c r="E18" s="229"/>
      <c r="F18" s="229"/>
      <c r="G18" s="229"/>
      <c r="H18" s="229"/>
      <c r="I18" s="229"/>
    </row>
    <row r="19" spans="2:9" x14ac:dyDescent="0.25">
      <c r="B19" s="229"/>
      <c r="C19" s="229"/>
      <c r="D19" s="229"/>
      <c r="E19" s="229"/>
      <c r="F19" s="229"/>
      <c r="G19" s="229"/>
      <c r="H19" s="229"/>
      <c r="I19" s="229"/>
    </row>
  </sheetData>
  <mergeCells count="9">
    <mergeCell ref="B14:I15"/>
    <mergeCell ref="B16:I17"/>
    <mergeCell ref="B18:I19"/>
    <mergeCell ref="B4:B5"/>
    <mergeCell ref="C4:C5"/>
    <mergeCell ref="D5:E5"/>
    <mergeCell ref="F5:G5"/>
    <mergeCell ref="H5:I5"/>
    <mergeCell ref="D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3"/>
  <sheetViews>
    <sheetView zoomScale="85" zoomScaleNormal="85" workbookViewId="0">
      <selection activeCell="G16" sqref="G16"/>
    </sheetView>
  </sheetViews>
  <sheetFormatPr baseColWidth="10" defaultRowHeight="15" x14ac:dyDescent="0.25"/>
  <cols>
    <col min="1" max="2" width="2.85546875" customWidth="1"/>
    <col min="3" max="3" width="34.7109375" customWidth="1"/>
    <col min="4" max="4" width="10.28515625" bestFit="1" customWidth="1"/>
    <col min="5" max="5" width="10" bestFit="1" customWidth="1"/>
    <col min="6" max="7" width="10.28515625" bestFit="1" customWidth="1"/>
    <col min="8" max="8" width="11.28515625" bestFit="1" customWidth="1"/>
    <col min="9" max="9" width="10.7109375" bestFit="1" customWidth="1"/>
    <col min="10" max="10" width="11" bestFit="1" customWidth="1"/>
    <col min="11" max="11" width="10.5703125" bestFit="1" customWidth="1"/>
    <col min="12" max="12" width="11" bestFit="1" customWidth="1"/>
    <col min="13" max="13" width="10.5703125" bestFit="1" customWidth="1"/>
    <col min="14" max="20" width="12.7109375" bestFit="1" customWidth="1"/>
    <col min="21" max="21" width="11.28515625" bestFit="1" customWidth="1"/>
    <col min="22" max="23" width="13.7109375" bestFit="1" customWidth="1"/>
  </cols>
  <sheetData>
    <row r="2" spans="2:21" ht="18.75" x14ac:dyDescent="0.3">
      <c r="C2" s="147" t="s">
        <v>156</v>
      </c>
      <c r="E2" s="141"/>
    </row>
    <row r="3" spans="2:21" x14ac:dyDescent="0.25">
      <c r="C3" s="142"/>
      <c r="E3" s="141"/>
    </row>
    <row r="4" spans="2:21" ht="30" customHeight="1" x14ac:dyDescent="0.25">
      <c r="B4" s="133"/>
      <c r="C4" s="221" t="s">
        <v>165</v>
      </c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128"/>
    </row>
    <row r="5" spans="2:21" ht="45" customHeight="1" x14ac:dyDescent="0.25">
      <c r="B5" s="143"/>
      <c r="C5" s="221" t="s">
        <v>157</v>
      </c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128"/>
    </row>
    <row r="6" spans="2:21" ht="30" customHeight="1" x14ac:dyDescent="0.25">
      <c r="B6" s="144"/>
      <c r="C6" s="221" t="s">
        <v>171</v>
      </c>
      <c r="D6" s="221"/>
      <c r="E6" s="221"/>
      <c r="F6" s="221"/>
      <c r="G6" s="221"/>
      <c r="H6" s="221"/>
      <c r="I6" s="221"/>
      <c r="J6" s="221"/>
      <c r="K6" s="221"/>
      <c r="L6" s="221"/>
      <c r="M6" s="221"/>
      <c r="N6" s="128"/>
    </row>
    <row r="7" spans="2:21" ht="30" customHeight="1" x14ac:dyDescent="0.25">
      <c r="B7" s="145"/>
      <c r="C7" s="221" t="s">
        <v>166</v>
      </c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128"/>
    </row>
    <row r="8" spans="2:21" ht="30" customHeight="1" x14ac:dyDescent="0.25">
      <c r="B8" s="149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28"/>
    </row>
    <row r="9" spans="2:21" ht="18.75" x14ac:dyDescent="0.3">
      <c r="B9" s="149"/>
      <c r="C9" s="147" t="s">
        <v>158</v>
      </c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28"/>
    </row>
    <row r="10" spans="2:21" ht="14.25" customHeight="1" x14ac:dyDescent="0.25"/>
    <row r="11" spans="2:21" x14ac:dyDescent="0.25">
      <c r="C11" s="103" t="s">
        <v>150</v>
      </c>
      <c r="D11" s="146">
        <v>43374</v>
      </c>
      <c r="E11" s="146">
        <v>43405</v>
      </c>
      <c r="F11" s="146">
        <v>43435</v>
      </c>
      <c r="G11" s="146">
        <v>43466</v>
      </c>
      <c r="H11" s="146">
        <v>43497</v>
      </c>
      <c r="I11" s="146">
        <v>43525</v>
      </c>
      <c r="J11" s="146">
        <v>43556</v>
      </c>
      <c r="K11" s="146">
        <v>43586</v>
      </c>
      <c r="L11" s="146">
        <v>43617</v>
      </c>
      <c r="M11" s="146">
        <v>43647</v>
      </c>
      <c r="N11" s="146">
        <v>43678</v>
      </c>
      <c r="O11" s="146">
        <v>43709</v>
      </c>
      <c r="P11" s="146">
        <v>43739</v>
      </c>
      <c r="Q11" s="146">
        <v>43770</v>
      </c>
      <c r="R11" s="146">
        <v>43800</v>
      </c>
      <c r="S11" s="146">
        <v>43831</v>
      </c>
      <c r="T11" s="146">
        <v>43862</v>
      </c>
      <c r="U11" s="146">
        <v>43891</v>
      </c>
    </row>
    <row r="12" spans="2:21" x14ac:dyDescent="0.25">
      <c r="C12" t="s">
        <v>151</v>
      </c>
      <c r="D12" s="163" t="s">
        <v>132</v>
      </c>
      <c r="E12" s="163" t="s">
        <v>133</v>
      </c>
      <c r="F12" s="163" t="s">
        <v>134</v>
      </c>
      <c r="G12" s="163" t="s">
        <v>135</v>
      </c>
      <c r="H12" s="163" t="s">
        <v>136</v>
      </c>
      <c r="I12" s="163" t="s">
        <v>137</v>
      </c>
      <c r="J12" s="163" t="s">
        <v>138</v>
      </c>
      <c r="K12" s="163" t="s">
        <v>139</v>
      </c>
      <c r="L12" s="163" t="s">
        <v>140</v>
      </c>
      <c r="M12" s="163" t="s">
        <v>141</v>
      </c>
      <c r="N12" s="163" t="s">
        <v>142</v>
      </c>
      <c r="O12" s="163" t="s">
        <v>143</v>
      </c>
      <c r="P12" s="163" t="s">
        <v>144</v>
      </c>
      <c r="Q12" s="163" t="s">
        <v>145</v>
      </c>
      <c r="R12" s="163" t="s">
        <v>146</v>
      </c>
      <c r="S12" s="163" t="s">
        <v>147</v>
      </c>
      <c r="T12" s="163" t="s">
        <v>148</v>
      </c>
      <c r="U12" s="163" t="s">
        <v>149</v>
      </c>
    </row>
    <row r="13" spans="2:21" x14ac:dyDescent="0.25">
      <c r="C13" s="133" t="s">
        <v>159</v>
      </c>
      <c r="D13" s="140">
        <v>1</v>
      </c>
      <c r="E13" s="140">
        <v>1</v>
      </c>
      <c r="F13" s="140">
        <v>1</v>
      </c>
      <c r="G13" s="140">
        <v>1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1.3074673767733704</v>
      </c>
      <c r="N13" s="140">
        <v>1.3072680014126772</v>
      </c>
      <c r="O13" s="140">
        <v>1.3072680014126772</v>
      </c>
      <c r="P13" s="140">
        <v>1.4668686514064861</v>
      </c>
      <c r="Q13" s="140">
        <v>1.4668686514064861</v>
      </c>
      <c r="R13" s="140">
        <v>1.4668686514064861</v>
      </c>
      <c r="S13" s="140">
        <f>0.609203154697869+1</f>
        <v>1.6092031546978691</v>
      </c>
      <c r="T13" s="140">
        <f>0.609203154697869+1</f>
        <v>1.6092031546978691</v>
      </c>
      <c r="U13" s="140"/>
    </row>
    <row r="14" spans="2:21" x14ac:dyDescent="0.25">
      <c r="C14" s="143" t="s">
        <v>160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1.2210000000000001</v>
      </c>
      <c r="K14" s="140">
        <v>1.2210000000000001</v>
      </c>
      <c r="L14" s="140">
        <v>1.2210000000000001</v>
      </c>
      <c r="M14" s="140">
        <v>1.2210000000000001</v>
      </c>
      <c r="N14" s="140">
        <v>1.2210000000000001</v>
      </c>
      <c r="O14" s="140">
        <v>1.2210000000000001</v>
      </c>
      <c r="P14" s="140">
        <f>1.221*1.1547</f>
        <v>1.4098887000000002</v>
      </c>
      <c r="Q14" s="140">
        <f>P14</f>
        <v>1.4098887000000002</v>
      </c>
      <c r="R14" s="140">
        <f t="shared" ref="R14:U14" si="0">Q14</f>
        <v>1.4098887000000002</v>
      </c>
      <c r="S14" s="140">
        <f t="shared" si="0"/>
        <v>1.4098887000000002</v>
      </c>
      <c r="T14" s="140">
        <f t="shared" si="0"/>
        <v>1.4098887000000002</v>
      </c>
      <c r="U14" s="140">
        <f t="shared" si="0"/>
        <v>1.4098887000000002</v>
      </c>
    </row>
    <row r="15" spans="2:21" x14ac:dyDescent="0.25">
      <c r="C15" s="144" t="s">
        <v>161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40">
        <v>1</v>
      </c>
      <c r="J15" s="140">
        <v>1.1941251178712924</v>
      </c>
      <c r="K15" s="140">
        <v>1.1941251178712924</v>
      </c>
      <c r="L15" s="140">
        <v>1.2521376178712922</v>
      </c>
      <c r="M15" s="140">
        <v>1.2521376178712922</v>
      </c>
      <c r="N15" s="140">
        <v>1.2521376178712922</v>
      </c>
      <c r="O15" s="140">
        <v>1.2521376178712922</v>
      </c>
      <c r="P15" s="140">
        <v>1.4668686514064861</v>
      </c>
      <c r="Q15" s="140">
        <v>1.4668686514064861</v>
      </c>
      <c r="R15" s="140">
        <v>1.4668686514064861</v>
      </c>
      <c r="S15" s="140">
        <v>1.5190799014064862</v>
      </c>
      <c r="T15" s="140">
        <v>1.5190799014064862</v>
      </c>
      <c r="U15" s="140"/>
    </row>
    <row r="16" spans="2:21" x14ac:dyDescent="0.25">
      <c r="C16" s="145" t="s">
        <v>162</v>
      </c>
      <c r="D16" s="140">
        <v>1</v>
      </c>
      <c r="E16" s="140">
        <v>1.0512844996599049</v>
      </c>
      <c r="F16" s="140">
        <v>1.0547233471772095</v>
      </c>
      <c r="G16" s="140">
        <v>1.057770055075741</v>
      </c>
      <c r="H16" s="140">
        <v>1.0987529685682809</v>
      </c>
      <c r="I16" s="140">
        <v>1.1727707773578027</v>
      </c>
      <c r="J16" s="140">
        <v>1.1941251178712924</v>
      </c>
      <c r="K16" s="140">
        <v>1.2149349137146896</v>
      </c>
      <c r="L16" s="140">
        <v>1.2978205223651156</v>
      </c>
      <c r="M16" s="140">
        <v>1.3074673767733704</v>
      </c>
      <c r="N16" s="140">
        <v>1.3072680014126772</v>
      </c>
      <c r="O16" s="140">
        <v>1.3666913761833086</v>
      </c>
      <c r="P16" s="140">
        <v>1.4668686514064861</v>
      </c>
      <c r="Q16" s="140">
        <v>1.4951555334652098</v>
      </c>
      <c r="R16" s="140">
        <v>1.5333356064167716</v>
      </c>
      <c r="S16" s="140">
        <v>1.6092031546978687</v>
      </c>
      <c r="T16" s="140">
        <v>1.6210219202543299</v>
      </c>
      <c r="U16" s="140" t="s">
        <v>41</v>
      </c>
    </row>
    <row r="17" spans="3:21" x14ac:dyDescent="0.25">
      <c r="C17" s="192" t="s">
        <v>174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1.3074673767733704</v>
      </c>
      <c r="N17" s="140">
        <v>1.3074673767733704</v>
      </c>
      <c r="O17" s="140">
        <v>1.3074673767733704</v>
      </c>
      <c r="P17" s="140">
        <v>1.3840438767733703</v>
      </c>
      <c r="Q17" s="140">
        <v>1.3840438767733703</v>
      </c>
      <c r="R17" s="140">
        <v>1.3840438767733703</v>
      </c>
      <c r="S17" s="140">
        <v>1.6092031546978687</v>
      </c>
      <c r="T17" s="140">
        <v>1.6092031546978687</v>
      </c>
      <c r="U17" s="140"/>
    </row>
    <row r="37" spans="3:9" x14ac:dyDescent="0.25">
      <c r="C37" s="150"/>
      <c r="D37" s="150"/>
      <c r="E37" s="150"/>
      <c r="F37" s="150"/>
      <c r="G37" s="150"/>
      <c r="H37" s="150"/>
    </row>
    <row r="38" spans="3:9" hidden="1" x14ac:dyDescent="0.25">
      <c r="C38" s="151"/>
      <c r="D38" s="151"/>
      <c r="E38" s="151"/>
      <c r="F38" s="151"/>
      <c r="G38" s="222" t="s">
        <v>155</v>
      </c>
      <c r="H38" s="222"/>
      <c r="I38" s="25"/>
    </row>
    <row r="39" spans="3:9" hidden="1" x14ac:dyDescent="0.25">
      <c r="C39" s="151"/>
      <c r="D39" s="151"/>
      <c r="E39" s="151"/>
      <c r="F39" s="151"/>
      <c r="G39" s="152">
        <v>43617</v>
      </c>
      <c r="H39" s="152">
        <v>43831</v>
      </c>
      <c r="I39" s="25"/>
    </row>
    <row r="40" spans="3:9" hidden="1" x14ac:dyDescent="0.25">
      <c r="C40" s="153" t="s">
        <v>37</v>
      </c>
      <c r="D40" s="154">
        <v>0.26471399999999984</v>
      </c>
      <c r="E40" s="151"/>
      <c r="F40" s="153" t="s">
        <v>37</v>
      </c>
      <c r="G40" s="154">
        <v>0.18813749999999996</v>
      </c>
      <c r="H40" s="154">
        <v>0.31692524999999988</v>
      </c>
      <c r="I40" s="25"/>
    </row>
    <row r="41" spans="3:9" hidden="1" x14ac:dyDescent="0.25">
      <c r="C41" s="153" t="s">
        <v>153</v>
      </c>
      <c r="D41" s="154">
        <v>1.4508062257432081E-2</v>
      </c>
      <c r="E41" s="151"/>
      <c r="F41" s="153" t="s">
        <v>153</v>
      </c>
      <c r="G41" s="154">
        <v>1.1613251710478936E-2</v>
      </c>
      <c r="H41" s="154">
        <v>1.6630656583843478E-2</v>
      </c>
      <c r="I41" s="25"/>
    </row>
    <row r="42" spans="3:9" hidden="1" x14ac:dyDescent="0.25">
      <c r="C42" s="153" t="s">
        <v>154</v>
      </c>
      <c r="D42" s="154">
        <v>0.10482181451593836</v>
      </c>
      <c r="E42" s="151"/>
      <c r="F42" s="153" t="s">
        <v>154</v>
      </c>
      <c r="G42" s="154">
        <v>5.2386866160813388E-2</v>
      </c>
      <c r="H42" s="154">
        <v>0.18552399482264281</v>
      </c>
      <c r="I42" s="25"/>
    </row>
    <row r="43" spans="3:9" hidden="1" x14ac:dyDescent="0.25">
      <c r="C43" s="151"/>
      <c r="D43" s="155">
        <f>SUM(D40:D42)</f>
        <v>0.38404387677337026</v>
      </c>
      <c r="E43" s="151"/>
      <c r="F43" s="153"/>
      <c r="G43" s="155">
        <f>SUM(G40:G42)</f>
        <v>0.2521376178712923</v>
      </c>
      <c r="H43" s="155">
        <f>SUM(H40:H42)</f>
        <v>0.51907990140648619</v>
      </c>
      <c r="I43" s="25"/>
    </row>
    <row r="44" spans="3:9" hidden="1" x14ac:dyDescent="0.25">
      <c r="C44" s="151"/>
      <c r="D44" s="156">
        <f>1+D43</f>
        <v>1.3840438767733703</v>
      </c>
      <c r="E44" s="151"/>
      <c r="F44" s="153"/>
      <c r="G44" s="156">
        <f>1+G43</f>
        <v>1.2521376178712922</v>
      </c>
      <c r="H44" s="156">
        <f>1+H43</f>
        <v>1.5190799014064862</v>
      </c>
      <c r="I44" s="25"/>
    </row>
    <row r="45" spans="3:9" hidden="1" x14ac:dyDescent="0.25">
      <c r="C45" s="25"/>
      <c r="D45" s="25"/>
      <c r="E45" s="25"/>
      <c r="F45" s="25"/>
      <c r="G45" s="25"/>
      <c r="H45" s="25"/>
      <c r="I45" s="25"/>
    </row>
    <row r="46" spans="3:9" hidden="1" x14ac:dyDescent="0.25">
      <c r="C46" s="25"/>
      <c r="D46" s="25"/>
      <c r="E46" s="25"/>
      <c r="F46" s="25"/>
      <c r="G46" s="25"/>
      <c r="H46" s="25"/>
      <c r="I46" s="25"/>
    </row>
    <row r="48" spans="3:9" ht="18.75" x14ac:dyDescent="0.3">
      <c r="C48" s="147" t="s">
        <v>99</v>
      </c>
    </row>
    <row r="49" spans="2:23" ht="18.75" x14ac:dyDescent="0.3">
      <c r="C49" s="147"/>
    </row>
    <row r="50" spans="2:23" x14ac:dyDescent="0.25">
      <c r="C50" s="103" t="s">
        <v>150</v>
      </c>
      <c r="D50" s="146">
        <v>43374</v>
      </c>
      <c r="E50" s="146">
        <v>43405</v>
      </c>
      <c r="F50" s="146">
        <v>43435</v>
      </c>
      <c r="G50" s="146">
        <v>43466</v>
      </c>
      <c r="H50" s="146">
        <v>43497</v>
      </c>
      <c r="I50" s="146">
        <v>43525</v>
      </c>
      <c r="J50" s="146">
        <v>43556</v>
      </c>
      <c r="K50" s="146">
        <v>43586</v>
      </c>
      <c r="L50" s="146">
        <v>43617</v>
      </c>
      <c r="M50" s="146">
        <v>43647</v>
      </c>
      <c r="N50" s="146">
        <v>43678</v>
      </c>
      <c r="O50" s="146">
        <v>43709</v>
      </c>
      <c r="P50" s="146">
        <v>43739</v>
      </c>
      <c r="Q50" s="146">
        <v>43770</v>
      </c>
      <c r="R50" s="146">
        <v>43800</v>
      </c>
      <c r="S50" s="146">
        <v>43831</v>
      </c>
      <c r="T50" s="146">
        <v>43862</v>
      </c>
      <c r="U50" s="146">
        <v>43891</v>
      </c>
    </row>
    <row r="52" spans="2:23" x14ac:dyDescent="0.25">
      <c r="C52" s="63" t="s">
        <v>119</v>
      </c>
      <c r="N52" s="4"/>
      <c r="O52" s="4"/>
      <c r="P52" s="4"/>
      <c r="Q52" s="164">
        <f>SUM('Cálculo de Retroactivos'!I72:I73)</f>
        <v>861402</v>
      </c>
      <c r="R52" s="164">
        <f>SUM('Cálculo de Retroactivos'!I72:I73)</f>
        <v>861402</v>
      </c>
      <c r="S52" s="164">
        <f>'Cálculo de Retroactivos'!I78</f>
        <v>1773046</v>
      </c>
      <c r="T52" s="164">
        <f>'Cálculo de Retroactivos'!I79</f>
        <v>1503414</v>
      </c>
    </row>
    <row r="53" spans="2:23" x14ac:dyDescent="0.25">
      <c r="C53" s="63" t="s">
        <v>120</v>
      </c>
      <c r="N53" s="4"/>
      <c r="O53" s="4"/>
      <c r="P53" s="4"/>
      <c r="Q53" s="164">
        <f>SUM('Cálculo de Retroactivos'!I64:I66)</f>
        <v>362807</v>
      </c>
      <c r="R53" s="164">
        <f>SUM('Cálculo de Retroactivos'!I67:I69)</f>
        <v>362807</v>
      </c>
      <c r="S53" s="164">
        <f>'Cálculo de Retroactivos'!I81</f>
        <v>1410492</v>
      </c>
      <c r="T53" s="164">
        <f>'Cálculo de Retroactivos'!I82</f>
        <v>846902</v>
      </c>
    </row>
    <row r="54" spans="2:23" x14ac:dyDescent="0.25">
      <c r="C54" s="107" t="s">
        <v>117</v>
      </c>
      <c r="N54" s="164">
        <f>SUM('Cálculo de Retroactivos'!I33:I35)</f>
        <v>8220248</v>
      </c>
      <c r="O54" s="164">
        <f>SUM('Cálculo de Retroactivos'!I36:I38)</f>
        <v>9113954</v>
      </c>
      <c r="P54" s="164">
        <f>SUM('Cálculo de Retroactivos'!I39:I41)</f>
        <v>8216678</v>
      </c>
      <c r="Q54" s="164">
        <f>SUM('Cálculo de Retroactivos'!I42:I44)</f>
        <v>8198305</v>
      </c>
      <c r="R54" s="164">
        <f>SUM('Cálculo de Retroactivos'!I45:I47)</f>
        <v>8198305</v>
      </c>
      <c r="S54" s="164">
        <f>SUM('Cálculo de Retroactivos'!I84)</f>
        <v>5500561</v>
      </c>
      <c r="T54" s="164">
        <f>SUM('Cálculo de Retroactivos'!I85)</f>
        <v>9359476</v>
      </c>
    </row>
    <row r="55" spans="2:23" x14ac:dyDescent="0.25">
      <c r="C55" s="107" t="s">
        <v>118</v>
      </c>
      <c r="N55" s="164">
        <f>SUM('Cálculo de Retroactivos'!I50:I51)</f>
        <v>1629319</v>
      </c>
      <c r="O55" s="164">
        <f>SUM('Cálculo de Retroactivos'!I52:I53)</f>
        <v>1480126</v>
      </c>
      <c r="P55" s="164">
        <f>SUM('Cálculo de Retroactivos'!I54:I56)</f>
        <v>1939918</v>
      </c>
      <c r="Q55" s="164">
        <f>SUM('Cálculo de Retroactivos'!I57:I58)</f>
        <v>1679832</v>
      </c>
      <c r="R55" s="164">
        <f>SUM('Cálculo de Retroactivos'!I59:I60)</f>
        <v>1679832</v>
      </c>
      <c r="S55" s="164">
        <f>'Cálculo de Retroactivos'!I87</f>
        <v>1603946</v>
      </c>
      <c r="T55" s="164">
        <f>'Cálculo de Retroactivos'!I88</f>
        <v>1692527</v>
      </c>
    </row>
    <row r="56" spans="2:23" x14ac:dyDescent="0.25">
      <c r="B56" s="103" t="s">
        <v>163</v>
      </c>
      <c r="N56" s="164">
        <f>SUM(N52:N55)</f>
        <v>9849567</v>
      </c>
      <c r="O56" s="164">
        <f t="shared" ref="O56:T56" si="1">SUM(O52:O55)</f>
        <v>10594080</v>
      </c>
      <c r="P56" s="164">
        <f t="shared" si="1"/>
        <v>10156596</v>
      </c>
      <c r="Q56" s="164">
        <f t="shared" si="1"/>
        <v>11102346</v>
      </c>
      <c r="R56" s="164">
        <f t="shared" si="1"/>
        <v>11102346</v>
      </c>
      <c r="S56" s="164">
        <f t="shared" si="1"/>
        <v>10288045</v>
      </c>
      <c r="T56" s="164">
        <f t="shared" si="1"/>
        <v>13402319</v>
      </c>
      <c r="V56" s="162">
        <f>SUM(N56:T56)</f>
        <v>76495299</v>
      </c>
    </row>
    <row r="57" spans="2:23" x14ac:dyDescent="0.25">
      <c r="C57" s="82"/>
      <c r="N57" s="4"/>
      <c r="O57" s="4"/>
      <c r="P57" s="4"/>
      <c r="Q57" s="4"/>
      <c r="R57" s="4"/>
      <c r="S57" s="4"/>
      <c r="T57" s="4"/>
    </row>
    <row r="58" spans="2:23" x14ac:dyDescent="0.25">
      <c r="B58" s="103" t="s">
        <v>164</v>
      </c>
      <c r="C58" s="63"/>
    </row>
    <row r="59" spans="2:23" x14ac:dyDescent="0.25">
      <c r="C59" s="133" t="s">
        <v>159</v>
      </c>
      <c r="N59" s="164">
        <f>N$56*N13</f>
        <v>12876023.766870258</v>
      </c>
      <c r="O59" s="164">
        <f t="shared" ref="O59:T59" si="2">O$56*O13</f>
        <v>13849301.788406014</v>
      </c>
      <c r="P59" s="164">
        <f t="shared" si="2"/>
        <v>14898392.277400512</v>
      </c>
      <c r="Q59" s="164">
        <f t="shared" si="2"/>
        <v>16285683.304468196</v>
      </c>
      <c r="R59" s="164">
        <f t="shared" si="2"/>
        <v>16285683.304468196</v>
      </c>
      <c r="S59" s="164">
        <f t="shared" si="2"/>
        <v>16555554.469673639</v>
      </c>
      <c r="T59" s="164">
        <f t="shared" si="2"/>
        <v>21567054.01506719</v>
      </c>
      <c r="V59" s="162">
        <f>SUM(N59:T59)</f>
        <v>112317692.92635401</v>
      </c>
      <c r="W59" s="162">
        <f>V59*0.9</f>
        <v>101085923.63371861</v>
      </c>
    </row>
    <row r="60" spans="2:23" x14ac:dyDescent="0.25">
      <c r="C60" s="143" t="s">
        <v>160</v>
      </c>
      <c r="N60" s="164">
        <f>N$56*N14</f>
        <v>12026321.307</v>
      </c>
      <c r="O60" s="164">
        <f t="shared" ref="O60:T62" si="3">O$56*O14</f>
        <v>12935371.680000002</v>
      </c>
      <c r="P60" s="164">
        <f t="shared" si="3"/>
        <v>14319669.930865202</v>
      </c>
      <c r="Q60" s="164">
        <f t="shared" si="3"/>
        <v>15653072.168890202</v>
      </c>
      <c r="R60" s="164">
        <f t="shared" si="3"/>
        <v>15653072.168890202</v>
      </c>
      <c r="S60" s="164">
        <f t="shared" si="3"/>
        <v>14504998.390591502</v>
      </c>
      <c r="T60" s="164">
        <f t="shared" si="3"/>
        <v>18895778.111895304</v>
      </c>
      <c r="V60" s="162">
        <f t="shared" ref="V60:V63" si="4">SUM(N60:T60)</f>
        <v>103988283.75813241</v>
      </c>
    </row>
    <row r="61" spans="2:23" x14ac:dyDescent="0.25">
      <c r="C61" s="144" t="s">
        <v>161</v>
      </c>
      <c r="N61" s="164">
        <f>N$56*N15</f>
        <v>12333013.360443689</v>
      </c>
      <c r="O61" s="164">
        <f t="shared" si="3"/>
        <v>13265246.094737899</v>
      </c>
      <c r="P61" s="164">
        <f t="shared" si="3"/>
        <v>14898392.277400512</v>
      </c>
      <c r="Q61" s="164">
        <f t="shared" si="3"/>
        <v>16285683.304468196</v>
      </c>
      <c r="R61" s="164">
        <f t="shared" si="3"/>
        <v>16285683.304468196</v>
      </c>
      <c r="S61" s="164">
        <f t="shared" si="3"/>
        <v>15628362.384265494</v>
      </c>
      <c r="T61" s="164">
        <f t="shared" si="3"/>
        <v>20359193.425138276</v>
      </c>
      <c r="V61" s="162">
        <f t="shared" si="4"/>
        <v>109055574.15092227</v>
      </c>
    </row>
    <row r="62" spans="2:23" x14ac:dyDescent="0.25">
      <c r="C62" s="145" t="s">
        <v>162</v>
      </c>
      <c r="N62" s="164">
        <f>N$56*N16</f>
        <v>12876023.766870258</v>
      </c>
      <c r="O62" s="164">
        <f t="shared" si="3"/>
        <v>14478837.774596065</v>
      </c>
      <c r="P62" s="164">
        <f t="shared" si="3"/>
        <v>14898392.277400512</v>
      </c>
      <c r="Q62" s="164">
        <f t="shared" si="3"/>
        <v>16599734.056345338</v>
      </c>
      <c r="R62" s="164">
        <f t="shared" si="3"/>
        <v>17023622.436558817</v>
      </c>
      <c r="S62" s="164">
        <f t="shared" si="3"/>
        <v>16555554.469673634</v>
      </c>
      <c r="T62" s="164">
        <f t="shared" si="3"/>
        <v>21725452.881241091</v>
      </c>
      <c r="V62" s="162">
        <f t="shared" si="4"/>
        <v>114157617.66268572</v>
      </c>
    </row>
    <row r="63" spans="2:23" x14ac:dyDescent="0.25">
      <c r="C63" s="184" t="s">
        <v>172</v>
      </c>
      <c r="N63" s="164">
        <f>N$56*N17</f>
        <v>12877987.527843555</v>
      </c>
      <c r="O63" s="164">
        <f t="shared" ref="O63:T63" si="5">O$56*O17</f>
        <v>13851413.986927228</v>
      </c>
      <c r="P63" s="164">
        <f t="shared" si="5"/>
        <v>14057174.502660906</v>
      </c>
      <c r="Q63" s="164">
        <f t="shared" si="5"/>
        <v>15366133.999119321</v>
      </c>
      <c r="R63" s="164">
        <f t="shared" si="5"/>
        <v>15366133.999119321</v>
      </c>
      <c r="S63" s="164">
        <f t="shared" si="5"/>
        <v>16555554.469673634</v>
      </c>
      <c r="T63" s="164">
        <f t="shared" si="5"/>
        <v>21567054.015067186</v>
      </c>
      <c r="V63" s="162">
        <f t="shared" si="4"/>
        <v>109641452.50041115</v>
      </c>
    </row>
  </sheetData>
  <mergeCells count="5">
    <mergeCell ref="C7:M7"/>
    <mergeCell ref="C4:M4"/>
    <mergeCell ref="G38:H38"/>
    <mergeCell ref="C5:M5"/>
    <mergeCell ref="C6:M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7"/>
  <sheetViews>
    <sheetView topLeftCell="A52" workbookViewId="0">
      <selection activeCell="K58" sqref="K58"/>
    </sheetView>
  </sheetViews>
  <sheetFormatPr baseColWidth="10" defaultRowHeight="15" x14ac:dyDescent="0.25"/>
  <cols>
    <col min="1" max="1" width="2.7109375" customWidth="1"/>
    <col min="2" max="2" width="38.7109375" customWidth="1"/>
    <col min="3" max="9" width="12.7109375" bestFit="1" customWidth="1"/>
    <col min="10" max="11" width="13.7109375" bestFit="1" customWidth="1"/>
  </cols>
  <sheetData>
    <row r="2" spans="2:13" ht="18.75" x14ac:dyDescent="0.3">
      <c r="B2" s="147" t="s">
        <v>99</v>
      </c>
      <c r="H2" s="162"/>
    </row>
    <row r="3" spans="2:13" ht="18.75" x14ac:dyDescent="0.3">
      <c r="B3" s="147"/>
      <c r="H3" s="162"/>
    </row>
    <row r="4" spans="2:13" x14ac:dyDescent="0.25">
      <c r="B4" s="166" t="s">
        <v>150</v>
      </c>
      <c r="C4" s="167">
        <v>43678</v>
      </c>
      <c r="D4" s="167">
        <v>43709</v>
      </c>
      <c r="E4" s="167">
        <v>43739</v>
      </c>
      <c r="F4" s="167">
        <v>43770</v>
      </c>
      <c r="G4" s="167">
        <v>43800</v>
      </c>
      <c r="H4" s="167">
        <v>43831</v>
      </c>
      <c r="I4" s="167">
        <v>43862</v>
      </c>
      <c r="J4" s="65" t="s">
        <v>42</v>
      </c>
      <c r="K4" s="65" t="s">
        <v>168</v>
      </c>
    </row>
    <row r="5" spans="2:13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</row>
    <row r="6" spans="2:13" x14ac:dyDescent="0.25">
      <c r="B6" s="166" t="s">
        <v>163</v>
      </c>
      <c r="C6" s="168">
        <v>9849567</v>
      </c>
      <c r="D6" s="168">
        <v>10594080</v>
      </c>
      <c r="E6" s="168">
        <v>10156596</v>
      </c>
      <c r="F6" s="168">
        <v>11102346</v>
      </c>
      <c r="G6" s="168">
        <v>11102346</v>
      </c>
      <c r="H6" s="168">
        <v>10288045</v>
      </c>
      <c r="I6" s="168">
        <v>13402319</v>
      </c>
      <c r="J6" s="169">
        <f>SUM(C6:I6)</f>
        <v>76495299</v>
      </c>
      <c r="K6" s="170">
        <v>0</v>
      </c>
    </row>
    <row r="7" spans="2:13" x14ac:dyDescent="0.25">
      <c r="B7" s="123"/>
      <c r="C7" s="168"/>
      <c r="D7" s="168"/>
      <c r="E7" s="168"/>
      <c r="F7" s="168"/>
      <c r="G7" s="168"/>
      <c r="H7" s="168">
        <f>H6/62</f>
        <v>165936.20967741936</v>
      </c>
      <c r="I7" s="168">
        <f>I6/62</f>
        <v>216166.43548387097</v>
      </c>
      <c r="J7" s="170"/>
      <c r="K7" s="170"/>
    </row>
    <row r="8" spans="2:13" x14ac:dyDescent="0.25">
      <c r="B8" s="166" t="s">
        <v>164</v>
      </c>
      <c r="C8" s="170"/>
      <c r="D8" s="170"/>
      <c r="E8" s="170"/>
      <c r="F8" s="170"/>
      <c r="G8" s="170"/>
      <c r="H8" s="170"/>
      <c r="I8" s="170"/>
      <c r="J8" s="170"/>
      <c r="K8" s="170"/>
    </row>
    <row r="9" spans="2:13" x14ac:dyDescent="0.25">
      <c r="B9" s="171" t="s">
        <v>159</v>
      </c>
      <c r="C9" s="168">
        <v>12876023.766870258</v>
      </c>
      <c r="D9" s="168">
        <v>13849301.788406014</v>
      </c>
      <c r="E9" s="168">
        <v>14898392.277400512</v>
      </c>
      <c r="F9" s="168">
        <v>16285683.304468196</v>
      </c>
      <c r="G9" s="168">
        <v>16285683.304468196</v>
      </c>
      <c r="H9" s="168">
        <v>16555554.469673639</v>
      </c>
      <c r="I9" s="168">
        <v>21567054.01506719</v>
      </c>
      <c r="J9" s="172">
        <f>SUM(C9:I9)*0.9</f>
        <v>101085923.63371861</v>
      </c>
      <c r="K9" s="170">
        <f>J9-$J$6</f>
        <v>24590624.63371861</v>
      </c>
      <c r="L9" s="172">
        <f>J9/62</f>
        <v>1630418.1231244938</v>
      </c>
      <c r="M9" s="172">
        <f>(SUM(H9:I9)-SUM($H$6:$I$6))/62</f>
        <v>232778.13685065857</v>
      </c>
    </row>
    <row r="10" spans="2:13" x14ac:dyDescent="0.25">
      <c r="B10" s="173" t="s">
        <v>160</v>
      </c>
      <c r="C10" s="168">
        <v>12026321.307</v>
      </c>
      <c r="D10" s="168">
        <v>12935371.680000002</v>
      </c>
      <c r="E10" s="168">
        <v>14319669.930865202</v>
      </c>
      <c r="F10" s="168">
        <v>15653072.168890202</v>
      </c>
      <c r="G10" s="168">
        <v>15653072.168890202</v>
      </c>
      <c r="H10" s="168">
        <v>14504998.390591502</v>
      </c>
      <c r="I10" s="168">
        <v>18895778.111895304</v>
      </c>
      <c r="J10" s="169">
        <f t="shared" ref="J10:J12" si="0">SUM(C10:I10)</f>
        <v>103988283.75813241</v>
      </c>
      <c r="K10" s="170">
        <f t="shared" ref="K10:K12" si="1">J10-$J$6</f>
        <v>27492984.758132413</v>
      </c>
      <c r="L10" s="172">
        <f t="shared" ref="L10:L12" si="2">J10/62</f>
        <v>1677230.3831956841</v>
      </c>
      <c r="M10" s="172">
        <f t="shared" ref="M10:M12" si="3">(SUM(H10:I10)-SUM($H$6:$I$6))/62</f>
        <v>156619.55649172267</v>
      </c>
    </row>
    <row r="11" spans="2:13" x14ac:dyDescent="0.25">
      <c r="B11" s="174" t="s">
        <v>161</v>
      </c>
      <c r="C11" s="168">
        <v>12333013.360443689</v>
      </c>
      <c r="D11" s="168">
        <v>13265246.094737899</v>
      </c>
      <c r="E11" s="168">
        <v>14898392.277400512</v>
      </c>
      <c r="F11" s="168">
        <v>16285683.304468196</v>
      </c>
      <c r="G11" s="168">
        <v>16285683.304468196</v>
      </c>
      <c r="H11" s="168">
        <v>15628362.384265494</v>
      </c>
      <c r="I11" s="168">
        <v>20359193.425138276</v>
      </c>
      <c r="J11" s="169">
        <f t="shared" si="0"/>
        <v>109055574.15092227</v>
      </c>
      <c r="K11" s="170">
        <f t="shared" si="1"/>
        <v>32560275.150922269</v>
      </c>
      <c r="L11" s="172">
        <f t="shared" si="2"/>
        <v>1758960.873401972</v>
      </c>
      <c r="M11" s="172">
        <f t="shared" si="3"/>
        <v>198341.80337748016</v>
      </c>
    </row>
    <row r="12" spans="2:13" x14ac:dyDescent="0.25">
      <c r="B12" s="175" t="s">
        <v>162</v>
      </c>
      <c r="C12" s="168">
        <v>12876023.766870258</v>
      </c>
      <c r="D12" s="168">
        <v>14478837.774596065</v>
      </c>
      <c r="E12" s="168">
        <v>14898392.277400512</v>
      </c>
      <c r="F12" s="168">
        <v>16599734.056345338</v>
      </c>
      <c r="G12" s="168">
        <v>17023622.436558817</v>
      </c>
      <c r="H12" s="168">
        <v>16555554.469673634</v>
      </c>
      <c r="I12" s="168">
        <v>21725452.881241091</v>
      </c>
      <c r="J12" s="169">
        <f t="shared" si="0"/>
        <v>114157617.66268572</v>
      </c>
      <c r="K12" s="170">
        <f t="shared" si="1"/>
        <v>37662318.662685722</v>
      </c>
      <c r="L12" s="172">
        <f t="shared" si="2"/>
        <v>1841251.8977852536</v>
      </c>
      <c r="M12" s="172">
        <f t="shared" si="3"/>
        <v>235332.95727281814</v>
      </c>
    </row>
    <row r="13" spans="2:13" x14ac:dyDescent="0.25">
      <c r="B13" s="192" t="s">
        <v>174</v>
      </c>
      <c r="C13" s="185">
        <v>12877987.527843555</v>
      </c>
      <c r="D13" s="185">
        <v>13851413.986927228</v>
      </c>
      <c r="E13" s="185">
        <v>14057174.502660906</v>
      </c>
      <c r="F13" s="185">
        <v>15366133.999119321</v>
      </c>
      <c r="G13" s="185">
        <v>15366133.999119321</v>
      </c>
      <c r="H13" s="185">
        <v>16555554.469673634</v>
      </c>
      <c r="I13" s="185">
        <v>21567054.015067186</v>
      </c>
    </row>
    <row r="14" spans="2:13" x14ac:dyDescent="0.25">
      <c r="F14" s="165" t="s">
        <v>167</v>
      </c>
    </row>
    <row r="17" spans="2:11" ht="30" customHeight="1" x14ac:dyDescent="0.25">
      <c r="B17" s="176" t="s">
        <v>169</v>
      </c>
      <c r="C17" s="177">
        <v>43678</v>
      </c>
      <c r="D17" s="177">
        <v>43709</v>
      </c>
      <c r="E17" s="177">
        <v>43739</v>
      </c>
      <c r="F17" s="177">
        <v>43770</v>
      </c>
      <c r="G17" s="177">
        <v>43800</v>
      </c>
      <c r="H17" s="177">
        <v>43831</v>
      </c>
      <c r="I17" s="177">
        <v>43862</v>
      </c>
      <c r="J17" s="178" t="s">
        <v>170</v>
      </c>
    </row>
    <row r="18" spans="2:11" x14ac:dyDescent="0.25">
      <c r="B18" s="179" t="s">
        <v>159</v>
      </c>
      <c r="C18" s="180">
        <f t="shared" ref="C18:I18" si="4">(C9-C$6)*0.9/62</f>
        <v>43932.436938439234</v>
      </c>
      <c r="D18" s="180">
        <f t="shared" si="4"/>
        <v>47253.219509119568</v>
      </c>
      <c r="E18" s="180">
        <f t="shared" si="4"/>
        <v>68832.5266074268</v>
      </c>
      <c r="F18" s="180">
        <f t="shared" si="4"/>
        <v>75241.99312937705</v>
      </c>
      <c r="G18" s="180">
        <f t="shared" si="4"/>
        <v>75241.99312937705</v>
      </c>
      <c r="H18" s="180">
        <f t="shared" si="4"/>
        <v>90979.976172681869</v>
      </c>
      <c r="I18" s="180">
        <f t="shared" si="4"/>
        <v>118520.34699291083</v>
      </c>
      <c r="J18" s="180">
        <f>SUM(C18:I18)</f>
        <v>520002.49247933237</v>
      </c>
    </row>
    <row r="19" spans="2:11" x14ac:dyDescent="0.25">
      <c r="B19" s="181" t="s">
        <v>160</v>
      </c>
      <c r="C19" s="180">
        <f t="shared" ref="C19:I22" si="5">(C10-C$6)/62</f>
        <v>35108.94043548387</v>
      </c>
      <c r="D19" s="180">
        <f t="shared" si="5"/>
        <v>37762.769032258089</v>
      </c>
      <c r="E19" s="180">
        <f t="shared" si="5"/>
        <v>67146.353723632288</v>
      </c>
      <c r="F19" s="180">
        <f t="shared" si="5"/>
        <v>73398.809175648421</v>
      </c>
      <c r="G19" s="180">
        <f t="shared" si="5"/>
        <v>73398.809175648421</v>
      </c>
      <c r="H19" s="180">
        <f t="shared" si="5"/>
        <v>68015.377267604868</v>
      </c>
      <c r="I19" s="180">
        <f t="shared" si="5"/>
        <v>88604.179224117805</v>
      </c>
      <c r="J19" s="180">
        <f t="shared" ref="J19:J22" si="6">SUM(C19:I19)</f>
        <v>443435.23803439375</v>
      </c>
    </row>
    <row r="20" spans="2:11" x14ac:dyDescent="0.25">
      <c r="B20" s="182" t="s">
        <v>161</v>
      </c>
      <c r="C20" s="180">
        <f t="shared" si="5"/>
        <v>40055.586458769176</v>
      </c>
      <c r="D20" s="180">
        <f t="shared" si="5"/>
        <v>43083.324108675784</v>
      </c>
      <c r="E20" s="180">
        <f t="shared" si="5"/>
        <v>76480.585119363095</v>
      </c>
      <c r="F20" s="180">
        <f t="shared" si="5"/>
        <v>83602.214588196701</v>
      </c>
      <c r="G20" s="180">
        <f t="shared" si="5"/>
        <v>83602.214588196701</v>
      </c>
      <c r="H20" s="180">
        <f t="shared" si="5"/>
        <v>86134.151359120864</v>
      </c>
      <c r="I20" s="180">
        <f t="shared" si="5"/>
        <v>112207.65201835929</v>
      </c>
      <c r="J20" s="180">
        <f>SUM(C20:I20)</f>
        <v>525165.72824068158</v>
      </c>
    </row>
    <row r="21" spans="2:11" x14ac:dyDescent="0.25">
      <c r="B21" s="183" t="s">
        <v>162</v>
      </c>
      <c r="C21" s="180">
        <f t="shared" si="5"/>
        <v>48813.818820488035</v>
      </c>
      <c r="D21" s="180">
        <f t="shared" si="5"/>
        <v>62657.383461226862</v>
      </c>
      <c r="E21" s="180">
        <f t="shared" si="5"/>
        <v>76480.585119363095</v>
      </c>
      <c r="F21" s="180">
        <f t="shared" si="5"/>
        <v>88667.549295892546</v>
      </c>
      <c r="G21" s="180">
        <f t="shared" si="5"/>
        <v>95504.458654174465</v>
      </c>
      <c r="H21" s="180">
        <f t="shared" si="5"/>
        <v>101088.86241409087</v>
      </c>
      <c r="I21" s="180">
        <f t="shared" si="5"/>
        <v>134244.09485872727</v>
      </c>
      <c r="J21" s="180">
        <f t="shared" si="6"/>
        <v>607456.75262396317</v>
      </c>
    </row>
    <row r="22" spans="2:11" x14ac:dyDescent="0.25">
      <c r="B22" s="190" t="s">
        <v>174</v>
      </c>
      <c r="C22" s="180">
        <f t="shared" si="5"/>
        <v>48845.492384573474</v>
      </c>
      <c r="D22" s="180">
        <f t="shared" si="5"/>
        <v>52537.644950439164</v>
      </c>
      <c r="E22" s="180">
        <f t="shared" si="5"/>
        <v>62912.556494530741</v>
      </c>
      <c r="F22" s="180">
        <f t="shared" si="5"/>
        <v>68770.774179343891</v>
      </c>
      <c r="G22" s="180">
        <f t="shared" si="5"/>
        <v>68770.774179343891</v>
      </c>
      <c r="H22" s="180">
        <f t="shared" si="5"/>
        <v>101088.86241409087</v>
      </c>
      <c r="I22" s="180">
        <f t="shared" si="5"/>
        <v>131689.27443656753</v>
      </c>
      <c r="J22" s="180">
        <f t="shared" si="6"/>
        <v>534615.37903888954</v>
      </c>
    </row>
    <row r="25" spans="2:11" x14ac:dyDescent="0.25">
      <c r="B25" s="188" t="s">
        <v>169</v>
      </c>
      <c r="C25" s="189">
        <v>43678</v>
      </c>
      <c r="D25" s="189">
        <v>43709</v>
      </c>
      <c r="E25" s="189">
        <v>43739</v>
      </c>
      <c r="F25" s="189">
        <v>43770</v>
      </c>
      <c r="G25" s="189">
        <v>43800</v>
      </c>
      <c r="H25" s="189">
        <v>43831</v>
      </c>
      <c r="I25" s="189">
        <v>43862</v>
      </c>
      <c r="J25" s="191" t="s">
        <v>42</v>
      </c>
    </row>
    <row r="26" spans="2:11" x14ac:dyDescent="0.25">
      <c r="B26" s="61" t="s">
        <v>173</v>
      </c>
      <c r="C26" s="223">
        <f>21391827.91/62</f>
        <v>345029.48241935484</v>
      </c>
      <c r="D26" s="223"/>
      <c r="E26" s="223"/>
      <c r="F26" s="223"/>
      <c r="G26" s="223"/>
      <c r="H26" s="67">
        <v>0</v>
      </c>
      <c r="I26" s="67">
        <v>0</v>
      </c>
      <c r="J26" s="186">
        <f t="shared" ref="J26:J27" si="7">SUM(C26:I26)</f>
        <v>345029.48241935484</v>
      </c>
    </row>
    <row r="27" spans="2:11" x14ac:dyDescent="0.25">
      <c r="B27" s="181" t="s">
        <v>160</v>
      </c>
      <c r="C27" s="223">
        <f>SUM(C19:G19)</f>
        <v>286815.68154267111</v>
      </c>
      <c r="D27" s="223"/>
      <c r="E27" s="223"/>
      <c r="F27" s="223"/>
      <c r="G27" s="223"/>
      <c r="H27" s="168">
        <f>H19</f>
        <v>68015.377267604868</v>
      </c>
      <c r="I27" s="168">
        <f>I19</f>
        <v>88604.179224117805</v>
      </c>
      <c r="J27" s="186">
        <f t="shared" si="7"/>
        <v>443435.23803439375</v>
      </c>
      <c r="K27" s="186"/>
    </row>
    <row r="28" spans="2:11" x14ac:dyDescent="0.25">
      <c r="B28" s="190" t="s">
        <v>174</v>
      </c>
      <c r="C28" s="223">
        <f>SUM(C22:G22)</f>
        <v>301837.24218823115</v>
      </c>
      <c r="D28" s="223"/>
      <c r="E28" s="223"/>
      <c r="F28" s="223"/>
      <c r="G28" s="223"/>
      <c r="H28" s="168">
        <f>H22</f>
        <v>101088.86241409087</v>
      </c>
      <c r="I28" s="168">
        <f>I22</f>
        <v>131689.27443656753</v>
      </c>
      <c r="J28" s="186">
        <f>SUM(C28:I28)</f>
        <v>534615.37903888954</v>
      </c>
      <c r="K28" s="186"/>
    </row>
    <row r="32" spans="2:11" x14ac:dyDescent="0.25">
      <c r="B32" s="103" t="s">
        <v>177</v>
      </c>
    </row>
    <row r="34" spans="2:13" x14ac:dyDescent="0.25">
      <c r="B34" s="188" t="s">
        <v>169</v>
      </c>
      <c r="C34" s="189">
        <v>43678</v>
      </c>
      <c r="D34" s="189">
        <v>43709</v>
      </c>
      <c r="E34" s="189">
        <v>43739</v>
      </c>
      <c r="F34" s="189">
        <v>43770</v>
      </c>
      <c r="G34" s="189">
        <v>43800</v>
      </c>
      <c r="H34" s="189">
        <v>43831</v>
      </c>
      <c r="I34" s="189">
        <v>43862</v>
      </c>
    </row>
    <row r="35" spans="2:13" x14ac:dyDescent="0.25">
      <c r="B35" s="199" t="s">
        <v>182</v>
      </c>
      <c r="C35" s="223">
        <f>21391827.91/62</f>
        <v>345029.48241935484</v>
      </c>
      <c r="D35" s="223"/>
      <c r="E35" s="223"/>
      <c r="F35" s="223"/>
      <c r="G35" s="223"/>
      <c r="H35" s="67">
        <v>0</v>
      </c>
      <c r="I35" s="67">
        <v>0</v>
      </c>
    </row>
    <row r="36" spans="2:13" x14ac:dyDescent="0.25">
      <c r="B36" s="123" t="s">
        <v>178</v>
      </c>
      <c r="C36" s="187">
        <f t="shared" ref="C36:G39" si="8">(C94-C56)/62</f>
        <v>40739.018936718661</v>
      </c>
      <c r="D36" s="187">
        <f t="shared" si="8"/>
        <v>45168.168234630248</v>
      </c>
      <c r="E36" s="187">
        <f t="shared" si="8"/>
        <v>61872.731885505542</v>
      </c>
      <c r="F36" s="187">
        <f t="shared" si="8"/>
        <v>61734.380631758919</v>
      </c>
      <c r="G36" s="187">
        <f t="shared" si="8"/>
        <v>61734.380631758919</v>
      </c>
      <c r="H36" s="67">
        <v>0</v>
      </c>
      <c r="I36" s="67">
        <v>0</v>
      </c>
      <c r="J36" s="186">
        <f>SUM(C36:G36)</f>
        <v>271248.68032037228</v>
      </c>
    </row>
    <row r="37" spans="2:13" x14ac:dyDescent="0.25">
      <c r="B37" s="123" t="s">
        <v>179</v>
      </c>
      <c r="C37" s="187">
        <f t="shared" si="8"/>
        <v>8074.7998837693822</v>
      </c>
      <c r="D37" s="187">
        <f t="shared" si="8"/>
        <v>7335.4089977248432</v>
      </c>
      <c r="E37" s="187">
        <f t="shared" si="8"/>
        <v>14607.853233857546</v>
      </c>
      <c r="F37" s="187">
        <f t="shared" si="8"/>
        <v>12649.369361765488</v>
      </c>
      <c r="G37" s="187">
        <f t="shared" si="8"/>
        <v>12649.369361765488</v>
      </c>
      <c r="H37" s="67">
        <v>0</v>
      </c>
      <c r="I37" s="67">
        <v>0</v>
      </c>
      <c r="J37" s="186">
        <f t="shared" ref="J37:J39" si="9">SUM(C37:G37)</f>
        <v>55316.800838882744</v>
      </c>
    </row>
    <row r="38" spans="2:13" x14ac:dyDescent="0.25">
      <c r="B38" s="123" t="s">
        <v>180</v>
      </c>
      <c r="C38" s="187">
        <f t="shared" si="8"/>
        <v>0</v>
      </c>
      <c r="D38" s="187">
        <f t="shared" si="8"/>
        <v>0</v>
      </c>
      <c r="E38" s="187">
        <f t="shared" si="8"/>
        <v>0</v>
      </c>
      <c r="F38" s="187">
        <f t="shared" si="8"/>
        <v>6486.4772590137081</v>
      </c>
      <c r="G38" s="187">
        <f t="shared" si="8"/>
        <v>6486.4772590137081</v>
      </c>
      <c r="H38" s="67">
        <v>0</v>
      </c>
      <c r="I38" s="67">
        <v>0</v>
      </c>
      <c r="J38" s="186">
        <f t="shared" si="9"/>
        <v>12972.954518027416</v>
      </c>
    </row>
    <row r="39" spans="2:13" x14ac:dyDescent="0.25">
      <c r="B39" s="123" t="s">
        <v>181</v>
      </c>
      <c r="C39" s="187">
        <f t="shared" si="8"/>
        <v>0</v>
      </c>
      <c r="D39" s="187">
        <f t="shared" si="8"/>
        <v>0</v>
      </c>
      <c r="E39" s="187">
        <f t="shared" si="8"/>
        <v>0</v>
      </c>
      <c r="F39" s="187">
        <f t="shared" si="8"/>
        <v>2731.9873356585967</v>
      </c>
      <c r="G39" s="187">
        <f t="shared" si="8"/>
        <v>2731.9873356585967</v>
      </c>
      <c r="H39" s="67">
        <v>0</v>
      </c>
      <c r="I39" s="67">
        <v>0</v>
      </c>
      <c r="J39" s="186">
        <f t="shared" si="9"/>
        <v>5463.9746713171935</v>
      </c>
    </row>
    <row r="40" spans="2:13" s="25" customFormat="1" ht="6" customHeight="1" x14ac:dyDescent="0.25">
      <c r="B40" s="194"/>
      <c r="C40" s="193"/>
      <c r="D40" s="193"/>
      <c r="E40" s="193"/>
      <c r="F40" s="193"/>
      <c r="G40" s="193"/>
      <c r="H40" s="24"/>
      <c r="I40" s="24"/>
    </row>
    <row r="41" spans="2:13" x14ac:dyDescent="0.25">
      <c r="B41" s="200" t="s">
        <v>183</v>
      </c>
      <c r="C41" s="223">
        <f>SUM(C19:G19)</f>
        <v>286815.68154267111</v>
      </c>
      <c r="D41" s="223"/>
      <c r="E41" s="223"/>
      <c r="F41" s="223"/>
      <c r="G41" s="223"/>
      <c r="H41" s="187">
        <f>H19</f>
        <v>68015.377267604868</v>
      </c>
      <c r="I41" s="187">
        <f>I19</f>
        <v>88604.179224117805</v>
      </c>
    </row>
    <row r="42" spans="2:13" x14ac:dyDescent="0.25">
      <c r="B42" s="123" t="s">
        <v>178</v>
      </c>
      <c r="C42" s="187">
        <f>(C66-C56)/62</f>
        <v>29301.206580645165</v>
      </c>
      <c r="D42" s="187">
        <f t="shared" ref="D42:I42" si="10">(D66-D56)/62</f>
        <v>32486.836032258077</v>
      </c>
      <c r="E42" s="187">
        <f t="shared" si="10"/>
        <v>54321.346189332282</v>
      </c>
      <c r="F42" s="187">
        <f t="shared" si="10"/>
        <v>54199.880300862926</v>
      </c>
      <c r="G42" s="187">
        <f t="shared" si="10"/>
        <v>54199.880300862926</v>
      </c>
      <c r="H42" s="187">
        <f t="shared" si="10"/>
        <v>36364.803186462923</v>
      </c>
      <c r="I42" s="187">
        <f t="shared" si="10"/>
        <v>61876.507263245185</v>
      </c>
      <c r="J42" s="186">
        <f>SUM(C42:I42)</f>
        <v>322750.45985366951</v>
      </c>
      <c r="L42" s="123" t="s">
        <v>178</v>
      </c>
      <c r="M42" s="186">
        <f>J42-J36</f>
        <v>51501.779533297231</v>
      </c>
    </row>
    <row r="43" spans="2:13" x14ac:dyDescent="0.25">
      <c r="B43" s="123" t="s">
        <v>179</v>
      </c>
      <c r="C43" s="187">
        <f>(C67-C57)/62</f>
        <v>5807.7338548387106</v>
      </c>
      <c r="D43" s="187">
        <f t="shared" ref="D43:I45" si="11">(D67-D57)/62</f>
        <v>5275.9330000000018</v>
      </c>
      <c r="E43" s="187">
        <f t="shared" si="11"/>
        <v>12825.007534300008</v>
      </c>
      <c r="F43" s="187">
        <f t="shared" si="11"/>
        <v>11105.550882232263</v>
      </c>
      <c r="G43" s="187">
        <f t="shared" si="11"/>
        <v>11105.550882232263</v>
      </c>
      <c r="H43" s="187">
        <f t="shared" si="11"/>
        <v>10603.860335648391</v>
      </c>
      <c r="I43" s="187">
        <f t="shared" si="11"/>
        <v>11189.478899111295</v>
      </c>
      <c r="J43" s="186">
        <f t="shared" ref="J43:J45" si="12">SUM(C43:I43)</f>
        <v>67913.11538836293</v>
      </c>
      <c r="L43" s="123" t="s">
        <v>179</v>
      </c>
      <c r="M43" s="186">
        <f>J43-J37</f>
        <v>12596.314549480187</v>
      </c>
    </row>
    <row r="44" spans="2:13" x14ac:dyDescent="0.25">
      <c r="B44" s="123" t="s">
        <v>180</v>
      </c>
      <c r="C44" s="187">
        <f>(C68-C58)/62</f>
        <v>0</v>
      </c>
      <c r="D44" s="187">
        <f t="shared" si="11"/>
        <v>0</v>
      </c>
      <c r="E44" s="187">
        <f t="shared" si="11"/>
        <v>0</v>
      </c>
      <c r="F44" s="187">
        <f t="shared" si="11"/>
        <v>5694.8217089903246</v>
      </c>
      <c r="G44" s="187">
        <f t="shared" si="11"/>
        <v>5694.8217089903246</v>
      </c>
      <c r="H44" s="187">
        <f t="shared" si="11"/>
        <v>11721.798709358074</v>
      </c>
      <c r="I44" s="187">
        <f t="shared" si="11"/>
        <v>9939.2324197064609</v>
      </c>
      <c r="J44" s="186">
        <f t="shared" si="12"/>
        <v>33050.674547045186</v>
      </c>
      <c r="L44" s="123" t="s">
        <v>180</v>
      </c>
      <c r="M44" s="186">
        <f>J44-J38</f>
        <v>20077.720029017772</v>
      </c>
    </row>
    <row r="45" spans="2:13" x14ac:dyDescent="0.25">
      <c r="B45" s="123" t="s">
        <v>181</v>
      </c>
      <c r="C45" s="187">
        <f>(C69-C59)/62</f>
        <v>0</v>
      </c>
      <c r="D45" s="187">
        <f t="shared" si="11"/>
        <v>0</v>
      </c>
      <c r="E45" s="187">
        <f t="shared" si="11"/>
        <v>0</v>
      </c>
      <c r="F45" s="187">
        <f t="shared" si="11"/>
        <v>2398.5562835629044</v>
      </c>
      <c r="G45" s="187">
        <f t="shared" si="11"/>
        <v>2398.5562835629044</v>
      </c>
      <c r="H45" s="187">
        <f t="shared" si="11"/>
        <v>9324.9150361354878</v>
      </c>
      <c r="I45" s="187">
        <f t="shared" si="11"/>
        <v>5598.9606420548425</v>
      </c>
      <c r="J45" s="186">
        <f t="shared" si="12"/>
        <v>19720.988245316141</v>
      </c>
      <c r="L45" s="123" t="s">
        <v>181</v>
      </c>
      <c r="M45" s="186">
        <f>J45-J39</f>
        <v>14257.013573998947</v>
      </c>
    </row>
    <row r="46" spans="2:13" ht="6" customHeight="1" x14ac:dyDescent="0.25"/>
    <row r="47" spans="2:13" x14ac:dyDescent="0.25">
      <c r="B47" s="201" t="s">
        <v>184</v>
      </c>
      <c r="C47" s="223">
        <f>SUM(C22:G22)</f>
        <v>301837.24218823115</v>
      </c>
      <c r="D47" s="223"/>
      <c r="E47" s="223"/>
      <c r="F47" s="223"/>
      <c r="G47" s="223"/>
      <c r="H47" s="187">
        <f>H22</f>
        <v>101088.86241409087</v>
      </c>
      <c r="I47" s="187">
        <f>I22</f>
        <v>131689.27443656753</v>
      </c>
      <c r="L47" t="s">
        <v>42</v>
      </c>
      <c r="M47" s="186">
        <f>SUM(M42:M45)</f>
        <v>98432.827685794138</v>
      </c>
    </row>
    <row r="48" spans="2:13" x14ac:dyDescent="0.25">
      <c r="C48" s="193"/>
      <c r="D48" s="193"/>
      <c r="E48" s="193"/>
      <c r="F48" s="193"/>
      <c r="G48" s="193"/>
      <c r="H48" s="193"/>
      <c r="I48" s="193"/>
      <c r="M48" s="186"/>
    </row>
    <row r="49" spans="1:13" x14ac:dyDescent="0.25">
      <c r="C49" s="193"/>
      <c r="D49" s="193"/>
      <c r="E49" s="193"/>
      <c r="F49" s="193"/>
      <c r="G49" s="193"/>
      <c r="H49" s="193"/>
      <c r="I49" s="193"/>
      <c r="M49" s="186"/>
    </row>
    <row r="50" spans="1:13" x14ac:dyDescent="0.25">
      <c r="C50" s="193"/>
      <c r="D50" s="193"/>
      <c r="E50" s="193"/>
      <c r="F50" s="193"/>
      <c r="G50" s="193"/>
      <c r="H50" s="193"/>
      <c r="I50" s="193"/>
      <c r="M50" s="186"/>
    </row>
    <row r="51" spans="1:13" x14ac:dyDescent="0.25">
      <c r="C51" s="193"/>
      <c r="D51" s="193"/>
      <c r="E51" s="193"/>
      <c r="F51" s="193"/>
      <c r="G51" s="193"/>
      <c r="H51" s="193"/>
      <c r="I51" s="193"/>
      <c r="M51" s="186"/>
    </row>
    <row r="52" spans="1:13" ht="21" x14ac:dyDescent="0.35">
      <c r="B52" s="214" t="s">
        <v>192</v>
      </c>
      <c r="C52" s="193"/>
      <c r="D52" s="193"/>
      <c r="E52" s="193"/>
      <c r="F52" s="193"/>
      <c r="G52" s="193"/>
      <c r="H52" s="193"/>
      <c r="I52" s="193"/>
      <c r="M52" s="186"/>
    </row>
    <row r="54" spans="1:13" x14ac:dyDescent="0.25">
      <c r="A54" s="191">
        <v>1</v>
      </c>
      <c r="B54" s="209" t="s">
        <v>163</v>
      </c>
    </row>
    <row r="55" spans="1:13" x14ac:dyDescent="0.25">
      <c r="C55" s="202">
        <v>43678</v>
      </c>
      <c r="D55" s="202">
        <v>43709</v>
      </c>
      <c r="E55" s="202">
        <v>43739</v>
      </c>
      <c r="F55" s="202">
        <v>43770</v>
      </c>
      <c r="G55" s="202">
        <v>43800</v>
      </c>
      <c r="H55" s="202">
        <v>43831</v>
      </c>
      <c r="I55" s="202">
        <v>43862</v>
      </c>
    </row>
    <row r="56" spans="1:13" x14ac:dyDescent="0.25">
      <c r="A56" s="4"/>
      <c r="B56" s="203" t="s">
        <v>175</v>
      </c>
      <c r="C56" s="206">
        <f>SUMIF('Cálculo de Retroactivos'!$E$33:$E$47,'Resumen - Suc Sur'!C55,'Cálculo de Retroactivos'!$I$33:$I$47)</f>
        <v>8220248</v>
      </c>
      <c r="D56" s="206">
        <f>SUMIF('Cálculo de Retroactivos'!$E$33:$E$47,'Resumen - Suc Sur'!D55,'Cálculo de Retroactivos'!$I$33:$I$47)</f>
        <v>9113954</v>
      </c>
      <c r="E56" s="206">
        <f>SUMIF('Cálculo de Retroactivos'!$E$33:$E$47,'Resumen - Suc Sur'!E55,'Cálculo de Retroactivos'!$I$33:$I$47)</f>
        <v>8216678</v>
      </c>
      <c r="F56" s="206">
        <f>SUMIF('Cálculo de Retroactivos'!$E$33:$E$47,'Resumen - Suc Sur'!F55,'Cálculo de Retroactivos'!$I$33:$I$47)</f>
        <v>8198305</v>
      </c>
      <c r="G56" s="206">
        <f>SUMIF('Cálculo de Retroactivos'!$E$33:$E$47,'Resumen - Suc Sur'!G55,'Cálculo de Retroactivos'!$I$33:$I$47)</f>
        <v>8198305</v>
      </c>
      <c r="H56" s="206">
        <f>'Cálculo de Retroactivos'!I84</f>
        <v>5500561</v>
      </c>
      <c r="I56" s="206">
        <f>'Cálculo de Retroactivos'!I85</f>
        <v>9359476</v>
      </c>
    </row>
    <row r="57" spans="1:13" x14ac:dyDescent="0.25">
      <c r="A57" s="4"/>
      <c r="B57" s="203" t="s">
        <v>128</v>
      </c>
      <c r="C57" s="206">
        <f>SUMIF('Cálculo de Retroactivos'!$E$50:$E$60,'Resumen - Suc Sur'!C55,'Cálculo de Retroactivos'!$I$50:$I$60)</f>
        <v>1629319</v>
      </c>
      <c r="D57" s="206">
        <f>SUMIF('Cálculo de Retroactivos'!$E$50:$E$60,'Resumen - Suc Sur'!D55,'Cálculo de Retroactivos'!$I$50:$I$60)</f>
        <v>1480126</v>
      </c>
      <c r="E57" s="206">
        <f>SUMIF('Cálculo de Retroactivos'!$E$50:$E$60,'Resumen - Suc Sur'!E55,'Cálculo de Retroactivos'!$I$50:$I$60)</f>
        <v>1939918</v>
      </c>
      <c r="F57" s="206">
        <f>SUMIF('Cálculo de Retroactivos'!$E$50:$E$60,'Resumen - Suc Sur'!F55,'Cálculo de Retroactivos'!$I$50:$I$60)</f>
        <v>1679832</v>
      </c>
      <c r="G57" s="206">
        <f>SUMIF('Cálculo de Retroactivos'!$E$50:$E$60,'Resumen - Suc Sur'!G55,'Cálculo de Retroactivos'!$I$50:$I$60)</f>
        <v>1679832</v>
      </c>
      <c r="H57" s="206">
        <f>'Cálculo de Retroactivos'!I87</f>
        <v>1603946</v>
      </c>
      <c r="I57" s="206">
        <f>'Cálculo de Retroactivos'!I88</f>
        <v>1692527</v>
      </c>
    </row>
    <row r="58" spans="1:13" x14ac:dyDescent="0.25">
      <c r="A58" s="4"/>
      <c r="B58" s="203" t="s">
        <v>130</v>
      </c>
      <c r="C58" s="206">
        <f>SUMIF('Cálculo de Retroactivos'!$E$72:$E$75,'Resumen - Suc Sur'!C55,'Cálculo de Retroactivos'!$I$72:$I$75)</f>
        <v>0</v>
      </c>
      <c r="D58" s="206">
        <f>SUMIF('Cálculo de Retroactivos'!$E$72:$E$75,'Resumen - Suc Sur'!D55,'Cálculo de Retroactivos'!$I$72:$I$75)</f>
        <v>0</v>
      </c>
      <c r="E58" s="206">
        <f>SUMIF('Cálculo de Retroactivos'!$E$72:$E$75,'Resumen - Suc Sur'!E55,'Cálculo de Retroactivos'!$I$72:$I$75)</f>
        <v>0</v>
      </c>
      <c r="F58" s="206">
        <f>SUMIF('Cálculo de Retroactivos'!$E$72:$E$75,'Resumen - Suc Sur'!F55,'Cálculo de Retroactivos'!$I$72:$I$75)</f>
        <v>861402</v>
      </c>
      <c r="G58" s="206">
        <f>SUMIF('Cálculo de Retroactivos'!$E$72:$E$75,'Resumen - Suc Sur'!G55,'Cálculo de Retroactivos'!$I$72:$I$75)</f>
        <v>861402</v>
      </c>
      <c r="H58" s="206">
        <f>'Cálculo de Retroactivos'!I78</f>
        <v>1773046</v>
      </c>
      <c r="I58" s="206">
        <f>'Cálculo de Retroactivos'!I79</f>
        <v>1503414</v>
      </c>
    </row>
    <row r="59" spans="1:13" x14ac:dyDescent="0.25">
      <c r="A59" s="4"/>
      <c r="B59" s="203" t="s">
        <v>176</v>
      </c>
      <c r="C59" s="206">
        <f>SUMIF('Cálculo de Retroactivos'!$E$64:$E$69,'Resumen - Suc Sur'!C55,'Cálculo de Retroactivos'!$I$64:$I$69)</f>
        <v>0</v>
      </c>
      <c r="D59" s="206">
        <f>SUMIF('Cálculo de Retroactivos'!$E$64:$E$69,'Resumen - Suc Sur'!D55,'Cálculo de Retroactivos'!$I$64:$I$69)</f>
        <v>0</v>
      </c>
      <c r="E59" s="206">
        <f>SUMIF('Cálculo de Retroactivos'!$E$64:$E$69,'Resumen - Suc Sur'!E55,'Cálculo de Retroactivos'!$I$64:$I$69)</f>
        <v>0</v>
      </c>
      <c r="F59" s="206">
        <f>SUMIF('Cálculo de Retroactivos'!$E$64:$E$69,'Resumen - Suc Sur'!F55,'Cálculo de Retroactivos'!$I$64:$I$69)</f>
        <v>362807</v>
      </c>
      <c r="G59" s="206">
        <f>SUMIF('Cálculo de Retroactivos'!$E$64:$E$69,'Resumen - Suc Sur'!G55,'Cálculo de Retroactivos'!$I$64:$I$69)</f>
        <v>362807</v>
      </c>
      <c r="H59" s="206">
        <f>'Cálculo de Retroactivos'!I81</f>
        <v>1410492</v>
      </c>
      <c r="I59" s="206">
        <f>'Cálculo de Retroactivos'!I82</f>
        <v>846902</v>
      </c>
    </row>
    <row r="60" spans="1:13" x14ac:dyDescent="0.25">
      <c r="A60" s="4"/>
      <c r="B60" s="203"/>
      <c r="C60" s="206"/>
      <c r="D60" s="206"/>
      <c r="E60" s="206"/>
      <c r="F60" s="206"/>
      <c r="G60" s="206"/>
      <c r="H60" s="206"/>
      <c r="I60" s="206"/>
    </row>
    <row r="61" spans="1:13" x14ac:dyDescent="0.25">
      <c r="A61" s="4"/>
      <c r="B61" s="203"/>
      <c r="C61" s="206"/>
      <c r="D61" s="206"/>
      <c r="E61" s="206"/>
      <c r="F61" s="206"/>
      <c r="G61" s="206"/>
      <c r="H61" s="206"/>
      <c r="I61" s="206"/>
    </row>
    <row r="62" spans="1:13" x14ac:dyDescent="0.25">
      <c r="A62" s="191">
        <v>2</v>
      </c>
      <c r="B62" s="209" t="s">
        <v>164</v>
      </c>
      <c r="C62" s="206"/>
      <c r="D62" s="206"/>
      <c r="E62" s="206"/>
      <c r="F62" s="206"/>
      <c r="G62" s="206"/>
      <c r="H62" s="206"/>
      <c r="I62" s="206"/>
    </row>
    <row r="63" spans="1:13" s="25" customFormat="1" x14ac:dyDescent="0.25">
      <c r="A63" s="208"/>
      <c r="B63" s="209"/>
      <c r="C63" s="210"/>
      <c r="D63" s="210"/>
      <c r="E63" s="210"/>
      <c r="F63" s="210"/>
      <c r="G63" s="210"/>
      <c r="H63" s="210"/>
      <c r="I63" s="210"/>
    </row>
    <row r="64" spans="1:13" x14ac:dyDescent="0.25">
      <c r="A64" s="4" t="s">
        <v>186</v>
      </c>
      <c r="B64" s="204" t="s">
        <v>188</v>
      </c>
      <c r="C64" s="202">
        <v>43678</v>
      </c>
      <c r="D64" s="202">
        <v>43709</v>
      </c>
      <c r="E64" s="202">
        <v>43739</v>
      </c>
      <c r="F64" s="202">
        <v>43770</v>
      </c>
      <c r="G64" s="202">
        <v>43800</v>
      </c>
      <c r="H64" s="202">
        <v>43831</v>
      </c>
      <c r="I64" s="202">
        <v>43862</v>
      </c>
    </row>
    <row r="65" spans="1:12" x14ac:dyDescent="0.25">
      <c r="A65" s="4"/>
      <c r="B65" s="211" t="s">
        <v>185</v>
      </c>
      <c r="C65" s="212">
        <f>'Ajuste Tarifario'!N14</f>
        <v>1.2210000000000001</v>
      </c>
      <c r="D65" s="212">
        <f>'Ajuste Tarifario'!O14</f>
        <v>1.2210000000000001</v>
      </c>
      <c r="E65" s="212">
        <f>'Ajuste Tarifario'!P14</f>
        <v>1.4098887000000002</v>
      </c>
      <c r="F65" s="212">
        <f>'Ajuste Tarifario'!Q14</f>
        <v>1.4098887000000002</v>
      </c>
      <c r="G65" s="212">
        <f>'Ajuste Tarifario'!R14</f>
        <v>1.4098887000000002</v>
      </c>
      <c r="H65" s="212">
        <f>'Ajuste Tarifario'!S14</f>
        <v>1.4098887000000002</v>
      </c>
      <c r="I65" s="212">
        <f>'Ajuste Tarifario'!T14</f>
        <v>1.4098887000000002</v>
      </c>
    </row>
    <row r="66" spans="1:12" x14ac:dyDescent="0.25">
      <c r="A66" s="4"/>
      <c r="B66" s="203" t="s">
        <v>175</v>
      </c>
      <c r="C66" s="206">
        <f t="shared" ref="C66:I69" si="13">C56*C$65</f>
        <v>10036922.808</v>
      </c>
      <c r="D66" s="206">
        <f t="shared" si="13"/>
        <v>11128137.834000001</v>
      </c>
      <c r="E66" s="206">
        <f t="shared" si="13"/>
        <v>11584601.463738602</v>
      </c>
      <c r="F66" s="206">
        <f t="shared" si="13"/>
        <v>11558697.578653501</v>
      </c>
      <c r="G66" s="206">
        <f t="shared" si="13"/>
        <v>11558697.578653501</v>
      </c>
      <c r="H66" s="206">
        <f t="shared" si="13"/>
        <v>7755178.7975607011</v>
      </c>
      <c r="I66" s="206">
        <f t="shared" si="13"/>
        <v>13195819.450321201</v>
      </c>
    </row>
    <row r="67" spans="1:12" x14ac:dyDescent="0.25">
      <c r="A67" s="4"/>
      <c r="B67" s="203" t="s">
        <v>128</v>
      </c>
      <c r="C67" s="206">
        <f t="shared" si="13"/>
        <v>1989398.4990000001</v>
      </c>
      <c r="D67" s="206">
        <f t="shared" si="13"/>
        <v>1807233.8460000001</v>
      </c>
      <c r="E67" s="206">
        <f t="shared" si="13"/>
        <v>2735068.4671266004</v>
      </c>
      <c r="F67" s="206">
        <f t="shared" si="13"/>
        <v>2368376.1546984003</v>
      </c>
      <c r="G67" s="206">
        <f t="shared" si="13"/>
        <v>2368376.1546984003</v>
      </c>
      <c r="H67" s="206">
        <f t="shared" si="13"/>
        <v>2261385.3408102002</v>
      </c>
      <c r="I67" s="206">
        <f t="shared" si="13"/>
        <v>2386274.6917449003</v>
      </c>
    </row>
    <row r="68" spans="1:12" x14ac:dyDescent="0.25">
      <c r="A68" s="4"/>
      <c r="B68" s="203" t="s">
        <v>130</v>
      </c>
      <c r="C68" s="206">
        <f t="shared" si="13"/>
        <v>0</v>
      </c>
      <c r="D68" s="206">
        <f t="shared" si="13"/>
        <v>0</v>
      </c>
      <c r="E68" s="206">
        <f t="shared" si="13"/>
        <v>0</v>
      </c>
      <c r="F68" s="206">
        <f t="shared" si="13"/>
        <v>1214480.9459574001</v>
      </c>
      <c r="G68" s="206">
        <f t="shared" si="13"/>
        <v>1214480.9459574001</v>
      </c>
      <c r="H68" s="206">
        <f t="shared" si="13"/>
        <v>2499797.5199802006</v>
      </c>
      <c r="I68" s="206">
        <f t="shared" si="13"/>
        <v>2119646.4100218005</v>
      </c>
    </row>
    <row r="69" spans="1:12" x14ac:dyDescent="0.25">
      <c r="A69" s="4"/>
      <c r="B69" s="203" t="s">
        <v>176</v>
      </c>
      <c r="C69" s="206">
        <f t="shared" si="13"/>
        <v>0</v>
      </c>
      <c r="D69" s="206">
        <f t="shared" si="13"/>
        <v>0</v>
      </c>
      <c r="E69" s="206">
        <f t="shared" si="13"/>
        <v>0</v>
      </c>
      <c r="F69" s="206">
        <f t="shared" si="13"/>
        <v>511517.48958090006</v>
      </c>
      <c r="G69" s="206">
        <f t="shared" si="13"/>
        <v>511517.48958090006</v>
      </c>
      <c r="H69" s="206">
        <f t="shared" si="13"/>
        <v>1988636.7322404003</v>
      </c>
      <c r="I69" s="206">
        <f t="shared" si="13"/>
        <v>1194037.5598074002</v>
      </c>
    </row>
    <row r="70" spans="1:12" x14ac:dyDescent="0.25">
      <c r="A70" s="4"/>
      <c r="B70" s="203"/>
      <c r="C70" s="207"/>
      <c r="D70" s="207"/>
      <c r="E70" s="207"/>
      <c r="F70" s="207"/>
      <c r="G70" s="207"/>
      <c r="H70" s="207"/>
      <c r="I70" s="207"/>
    </row>
    <row r="71" spans="1:12" x14ac:dyDescent="0.25">
      <c r="A71" s="4" t="s">
        <v>187</v>
      </c>
      <c r="B71" s="205" t="s">
        <v>189</v>
      </c>
      <c r="C71" s="202">
        <v>43678</v>
      </c>
      <c r="D71" s="202">
        <v>43709</v>
      </c>
      <c r="E71" s="202">
        <v>43739</v>
      </c>
      <c r="F71" s="202">
        <v>43770</v>
      </c>
      <c r="G71" s="202">
        <v>43800</v>
      </c>
      <c r="H71" s="202">
        <v>43831</v>
      </c>
      <c r="I71" s="202">
        <v>43862</v>
      </c>
    </row>
    <row r="72" spans="1:12" x14ac:dyDescent="0.25">
      <c r="A72" s="4"/>
      <c r="B72" s="211" t="s">
        <v>185</v>
      </c>
      <c r="C72" s="213">
        <v>1.3074673767733704</v>
      </c>
      <c r="D72" s="213">
        <v>1.3074673767733704</v>
      </c>
      <c r="E72" s="213">
        <v>1.3840438767733703</v>
      </c>
      <c r="F72" s="213">
        <v>1.3840438767733703</v>
      </c>
      <c r="G72" s="213">
        <v>1.3840438767733703</v>
      </c>
      <c r="H72" s="213">
        <v>1.6092031546978687</v>
      </c>
      <c r="I72" s="213">
        <v>1.6092031546978687</v>
      </c>
    </row>
    <row r="73" spans="1:12" x14ac:dyDescent="0.25">
      <c r="A73" s="4"/>
      <c r="B73" s="203" t="s">
        <v>175</v>
      </c>
      <c r="C73" s="206">
        <f t="shared" ref="C73:I76" si="14">C$72*C56</f>
        <v>10747706.088986544</v>
      </c>
      <c r="D73" s="206">
        <f t="shared" si="14"/>
        <v>11916197.528413167</v>
      </c>
      <c r="E73" s="206">
        <f t="shared" si="14"/>
        <v>11372242.873318462</v>
      </c>
      <c r="F73" s="206">
        <f t="shared" si="14"/>
        <v>11346813.835170506</v>
      </c>
      <c r="G73" s="206">
        <f t="shared" si="14"/>
        <v>11346813.835170506</v>
      </c>
      <c r="H73" s="206">
        <f t="shared" si="14"/>
        <v>8851520.1138080638</v>
      </c>
      <c r="I73" s="206">
        <f t="shared" si="14"/>
        <v>15061298.305518989</v>
      </c>
    </row>
    <row r="74" spans="1:12" x14ac:dyDescent="0.25">
      <c r="A74" s="4"/>
      <c r="B74" s="203" t="s">
        <v>128</v>
      </c>
      <c r="C74" s="206">
        <f t="shared" si="14"/>
        <v>2130281.438857011</v>
      </c>
      <c r="D74" s="206">
        <f t="shared" si="14"/>
        <v>1935216.4585140618</v>
      </c>
      <c r="E74" s="206">
        <f t="shared" si="14"/>
        <v>2684931.6293424428</v>
      </c>
      <c r="F74" s="206">
        <f t="shared" si="14"/>
        <v>2324961.1936079641</v>
      </c>
      <c r="G74" s="206">
        <f t="shared" si="14"/>
        <v>2324961.1936079641</v>
      </c>
      <c r="H74" s="206">
        <f t="shared" si="14"/>
        <v>2581074.9631650276</v>
      </c>
      <c r="I74" s="206">
        <f t="shared" si="14"/>
        <v>2723619.7878113198</v>
      </c>
    </row>
    <row r="75" spans="1:12" x14ac:dyDescent="0.25">
      <c r="A75" s="4"/>
      <c r="B75" s="203" t="s">
        <v>130</v>
      </c>
      <c r="C75" s="206">
        <f t="shared" si="14"/>
        <v>0</v>
      </c>
      <c r="D75" s="206">
        <f t="shared" si="14"/>
        <v>0</v>
      </c>
      <c r="E75" s="206">
        <f t="shared" si="14"/>
        <v>0</v>
      </c>
      <c r="F75" s="206">
        <f t="shared" si="14"/>
        <v>1192218.1635403347</v>
      </c>
      <c r="G75" s="206">
        <f t="shared" si="14"/>
        <v>1192218.1635403347</v>
      </c>
      <c r="H75" s="206">
        <f t="shared" si="14"/>
        <v>2853191.2166244374</v>
      </c>
      <c r="I75" s="206">
        <f t="shared" si="14"/>
        <v>2419298.5516169416</v>
      </c>
    </row>
    <row r="76" spans="1:12" x14ac:dyDescent="0.25">
      <c r="A76" s="4"/>
      <c r="B76" s="203" t="s">
        <v>176</v>
      </c>
      <c r="C76" s="206">
        <f t="shared" si="14"/>
        <v>0</v>
      </c>
      <c r="D76" s="206">
        <f t="shared" si="14"/>
        <v>0</v>
      </c>
      <c r="E76" s="206">
        <f t="shared" si="14"/>
        <v>0</v>
      </c>
      <c r="F76" s="206">
        <f t="shared" si="14"/>
        <v>502140.80680051615</v>
      </c>
      <c r="G76" s="206">
        <f t="shared" si="14"/>
        <v>502140.80680051615</v>
      </c>
      <c r="H76" s="206">
        <f t="shared" si="14"/>
        <v>2269768.1760761063</v>
      </c>
      <c r="I76" s="206">
        <f t="shared" si="14"/>
        <v>1362837.3701199344</v>
      </c>
    </row>
    <row r="77" spans="1:12" x14ac:dyDescent="0.25">
      <c r="A77" s="4"/>
      <c r="B77" s="203"/>
      <c r="C77" s="206"/>
      <c r="D77" s="206"/>
      <c r="E77" s="206"/>
      <c r="F77" s="206"/>
      <c r="G77" s="206"/>
      <c r="H77" s="206"/>
      <c r="I77" s="206"/>
    </row>
    <row r="78" spans="1:12" x14ac:dyDescent="0.25">
      <c r="A78" s="4"/>
      <c r="B78" s="203"/>
      <c r="C78" s="206"/>
      <c r="D78" s="206"/>
      <c r="E78" s="206"/>
      <c r="F78" s="206"/>
      <c r="G78" s="206"/>
      <c r="H78" s="206"/>
      <c r="I78" s="206"/>
      <c r="L78">
        <v>62</v>
      </c>
    </row>
    <row r="79" spans="1:12" x14ac:dyDescent="0.25">
      <c r="A79" s="191">
        <v>3</v>
      </c>
      <c r="B79" s="209" t="s">
        <v>190</v>
      </c>
      <c r="C79" s="206"/>
      <c r="D79" s="206"/>
      <c r="E79" s="206"/>
      <c r="F79" s="206"/>
      <c r="G79" s="206"/>
      <c r="H79" s="206"/>
      <c r="I79" s="206"/>
    </row>
    <row r="80" spans="1:12" x14ac:dyDescent="0.25">
      <c r="A80" s="4"/>
      <c r="B80" s="203"/>
      <c r="C80" s="202">
        <v>43678</v>
      </c>
      <c r="D80" s="202">
        <v>43709</v>
      </c>
      <c r="E80" s="202">
        <v>43739</v>
      </c>
      <c r="F80" s="202">
        <v>43770</v>
      </c>
      <c r="G80" s="202">
        <v>43800</v>
      </c>
      <c r="H80" s="202">
        <v>43831</v>
      </c>
      <c r="I80" s="202">
        <v>43862</v>
      </c>
      <c r="J80" s="191" t="s">
        <v>42</v>
      </c>
      <c r="K80" s="103" t="s">
        <v>191</v>
      </c>
    </row>
    <row r="81" spans="1:11" x14ac:dyDescent="0.25">
      <c r="A81" s="4" t="s">
        <v>186</v>
      </c>
      <c r="B81" s="204" t="s">
        <v>188</v>
      </c>
      <c r="C81" s="206">
        <f>SUM(C66:C69)-SUM(C56:C59)</f>
        <v>2176754.307</v>
      </c>
      <c r="D81" s="206">
        <f t="shared" ref="D81:I81" si="15">SUM(D66:D69)-SUM(D56:D59)</f>
        <v>2341291.6800000016</v>
      </c>
      <c r="E81" s="206">
        <f t="shared" si="15"/>
        <v>4163073.9308652021</v>
      </c>
      <c r="F81" s="206">
        <f t="shared" si="15"/>
        <v>4550726.1688902006</v>
      </c>
      <c r="G81" s="206">
        <f t="shared" si="15"/>
        <v>4550726.1688902006</v>
      </c>
      <c r="H81" s="206">
        <f t="shared" si="15"/>
        <v>4216953.3905915022</v>
      </c>
      <c r="I81" s="206">
        <f t="shared" si="15"/>
        <v>5493459.1118953042</v>
      </c>
      <c r="J81" s="185">
        <f>SUM(C81:I81)</f>
        <v>27492984.758132409</v>
      </c>
      <c r="K81" s="206">
        <f>J81/L78</f>
        <v>443435.2380343937</v>
      </c>
    </row>
    <row r="82" spans="1:11" x14ac:dyDescent="0.25">
      <c r="A82" s="4" t="s">
        <v>187</v>
      </c>
      <c r="B82" s="205" t="s">
        <v>189</v>
      </c>
      <c r="C82" s="206">
        <f>SUM(C73:C76)-SUM(C56:C59)</f>
        <v>3028420.5278435554</v>
      </c>
      <c r="D82" s="206">
        <f t="shared" ref="D82:I82" si="16">SUM(D73:D76)-SUM(D56:D59)</f>
        <v>3257333.9869272299</v>
      </c>
      <c r="E82" s="206">
        <f t="shared" si="16"/>
        <v>3900578.5026609041</v>
      </c>
      <c r="F82" s="206">
        <f t="shared" si="16"/>
        <v>4263787.9991193209</v>
      </c>
      <c r="G82" s="206">
        <f t="shared" si="16"/>
        <v>4263787.9991193209</v>
      </c>
      <c r="H82" s="206">
        <f t="shared" si="16"/>
        <v>6267509.4696736354</v>
      </c>
      <c r="I82" s="206">
        <f t="shared" si="16"/>
        <v>8164735.0150671825</v>
      </c>
      <c r="J82" s="185">
        <f>SUM(C82:I82)</f>
        <v>33146153.500411145</v>
      </c>
      <c r="K82" s="206">
        <f>J82/L78</f>
        <v>534615.37903888943</v>
      </c>
    </row>
    <row r="83" spans="1:11" x14ac:dyDescent="0.25">
      <c r="A83" s="4"/>
      <c r="B83" s="203"/>
      <c r="C83" s="206"/>
      <c r="D83" s="206"/>
      <c r="E83" s="206"/>
      <c r="F83" s="206"/>
      <c r="G83" s="206"/>
      <c r="H83" s="206"/>
      <c r="I83" s="206"/>
    </row>
    <row r="84" spans="1:11" x14ac:dyDescent="0.25">
      <c r="A84" s="4"/>
      <c r="B84" s="203"/>
      <c r="C84" s="206"/>
      <c r="D84" s="206"/>
      <c r="E84" s="206"/>
      <c r="F84" s="206"/>
      <c r="G84" s="206"/>
      <c r="H84" s="206"/>
      <c r="I84" s="206"/>
    </row>
    <row r="85" spans="1:11" x14ac:dyDescent="0.25">
      <c r="A85" s="4"/>
      <c r="B85" s="203"/>
      <c r="C85" s="206"/>
      <c r="D85" s="206"/>
      <c r="E85" s="206"/>
      <c r="F85" s="206"/>
      <c r="G85" s="206"/>
      <c r="H85" s="206"/>
      <c r="I85" s="206"/>
    </row>
    <row r="86" spans="1:11" x14ac:dyDescent="0.25">
      <c r="A86" s="4"/>
      <c r="B86" s="203"/>
      <c r="C86" s="206"/>
      <c r="D86" s="206"/>
      <c r="E86" s="206"/>
      <c r="F86" s="206"/>
      <c r="G86" s="206"/>
      <c r="H86" s="206"/>
      <c r="I86" s="206"/>
    </row>
    <row r="87" spans="1:11" x14ac:dyDescent="0.25">
      <c r="A87" s="4"/>
      <c r="B87" s="203"/>
      <c r="C87" s="206"/>
      <c r="D87" s="206"/>
      <c r="E87" s="206"/>
      <c r="F87" s="206"/>
      <c r="G87" s="206"/>
      <c r="H87" s="206"/>
      <c r="I87" s="206"/>
    </row>
    <row r="88" spans="1:11" x14ac:dyDescent="0.25">
      <c r="A88" s="4"/>
      <c r="B88" s="203"/>
      <c r="C88" s="206"/>
      <c r="D88" s="206"/>
      <c r="E88" s="206"/>
      <c r="F88" s="206"/>
      <c r="G88" s="206"/>
      <c r="H88" s="206"/>
      <c r="I88" s="206"/>
    </row>
    <row r="89" spans="1:11" x14ac:dyDescent="0.25">
      <c r="A89" s="4"/>
      <c r="B89" s="203"/>
      <c r="C89" s="206"/>
      <c r="D89" s="206"/>
      <c r="E89" s="206"/>
      <c r="F89" s="206"/>
      <c r="G89" s="206"/>
      <c r="H89" s="206"/>
      <c r="I89" s="206"/>
    </row>
    <row r="90" spans="1:11" x14ac:dyDescent="0.25">
      <c r="A90" s="4"/>
      <c r="B90" s="203"/>
      <c r="C90" s="206"/>
      <c r="D90" s="206"/>
      <c r="E90" s="206"/>
      <c r="F90" s="206"/>
      <c r="G90" s="206"/>
      <c r="H90" s="206"/>
      <c r="I90" s="206"/>
    </row>
    <row r="91" spans="1:11" x14ac:dyDescent="0.25">
      <c r="A91" s="4"/>
      <c r="B91" s="203"/>
      <c r="C91" s="206"/>
      <c r="D91" s="206"/>
      <c r="E91" s="206"/>
      <c r="F91" s="206"/>
      <c r="G91" s="206"/>
      <c r="H91" s="206"/>
      <c r="I91" s="206"/>
    </row>
    <row r="92" spans="1:11" x14ac:dyDescent="0.25">
      <c r="A92" s="4"/>
      <c r="B92" s="195" t="s">
        <v>193</v>
      </c>
    </row>
    <row r="93" spans="1:11" x14ac:dyDescent="0.25">
      <c r="B93" s="198" t="s">
        <v>159</v>
      </c>
      <c r="C93" s="197">
        <v>1.3072680014126772</v>
      </c>
      <c r="D93" s="197">
        <v>1.3072680014126772</v>
      </c>
      <c r="E93" s="197">
        <v>1.4668686514064861</v>
      </c>
      <c r="F93" s="197">
        <v>1.4668686514064861</v>
      </c>
      <c r="G93" s="197">
        <v>1.4668686514064861</v>
      </c>
      <c r="H93" s="197">
        <f>0.609203154697869+1</f>
        <v>1.6092031546978691</v>
      </c>
      <c r="I93" s="197">
        <f>0.609203154697869+1</f>
        <v>1.6092031546978691</v>
      </c>
    </row>
    <row r="94" spans="1:11" x14ac:dyDescent="0.25">
      <c r="B94" s="195" t="s">
        <v>175</v>
      </c>
      <c r="C94" s="196">
        <f t="shared" ref="C94:I97" si="17">C56*C$93</f>
        <v>10746067.174076557</v>
      </c>
      <c r="D94" s="196">
        <f t="shared" si="17"/>
        <v>11914380.430547075</v>
      </c>
      <c r="E94" s="196">
        <f t="shared" si="17"/>
        <v>12052787.376901343</v>
      </c>
      <c r="F94" s="196">
        <f t="shared" si="17"/>
        <v>12025836.599169053</v>
      </c>
      <c r="G94" s="196">
        <f t="shared" si="17"/>
        <v>12025836.599169053</v>
      </c>
      <c r="H94" s="196">
        <f t="shared" si="17"/>
        <v>8851520.1138080657</v>
      </c>
      <c r="I94" s="196">
        <f t="shared" si="17"/>
        <v>15061298.305518994</v>
      </c>
    </row>
    <row r="95" spans="1:11" x14ac:dyDescent="0.25">
      <c r="B95" s="195" t="s">
        <v>128</v>
      </c>
      <c r="C95" s="196">
        <f t="shared" si="17"/>
        <v>2129956.5927937017</v>
      </c>
      <c r="D95" s="196">
        <f t="shared" si="17"/>
        <v>1934921.3578589403</v>
      </c>
      <c r="E95" s="196">
        <f t="shared" si="17"/>
        <v>2845604.9004991679</v>
      </c>
      <c r="F95" s="196">
        <f t="shared" si="17"/>
        <v>2464092.9004294602</v>
      </c>
      <c r="G95" s="196">
        <f t="shared" si="17"/>
        <v>2464092.9004294602</v>
      </c>
      <c r="H95" s="196">
        <f t="shared" si="17"/>
        <v>2581074.9631650285</v>
      </c>
      <c r="I95" s="196">
        <f t="shared" si="17"/>
        <v>2723619.7878113203</v>
      </c>
    </row>
    <row r="96" spans="1:11" x14ac:dyDescent="0.25">
      <c r="B96" s="195" t="s">
        <v>130</v>
      </c>
      <c r="C96" s="196">
        <f t="shared" si="17"/>
        <v>0</v>
      </c>
      <c r="D96" s="196">
        <f t="shared" si="17"/>
        <v>0</v>
      </c>
      <c r="E96" s="196">
        <f t="shared" si="17"/>
        <v>0</v>
      </c>
      <c r="F96" s="196">
        <f t="shared" si="17"/>
        <v>1263563.5900588499</v>
      </c>
      <c r="G96" s="196">
        <f t="shared" si="17"/>
        <v>1263563.5900588499</v>
      </c>
      <c r="H96" s="196">
        <f t="shared" si="17"/>
        <v>2853191.2166244378</v>
      </c>
      <c r="I96" s="196">
        <f t="shared" si="17"/>
        <v>2419298.551616942</v>
      </c>
    </row>
    <row r="97" spans="2:9" x14ac:dyDescent="0.25">
      <c r="B97" s="195" t="s">
        <v>176</v>
      </c>
      <c r="C97" s="196">
        <f t="shared" si="17"/>
        <v>0</v>
      </c>
      <c r="D97" s="196">
        <f t="shared" si="17"/>
        <v>0</v>
      </c>
      <c r="E97" s="196">
        <f t="shared" si="17"/>
        <v>0</v>
      </c>
      <c r="F97" s="196">
        <f t="shared" si="17"/>
        <v>532190.21481083299</v>
      </c>
      <c r="G97" s="196">
        <f t="shared" si="17"/>
        <v>532190.21481083299</v>
      </c>
      <c r="H97" s="196">
        <f t="shared" si="17"/>
        <v>2269768.1760761067</v>
      </c>
      <c r="I97" s="196">
        <f t="shared" si="17"/>
        <v>1362837.3701199347</v>
      </c>
    </row>
  </sheetData>
  <mergeCells count="6">
    <mergeCell ref="C47:G47"/>
    <mergeCell ref="C26:G26"/>
    <mergeCell ref="C27:G27"/>
    <mergeCell ref="C28:G28"/>
    <mergeCell ref="C35:G35"/>
    <mergeCell ref="C41:G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E15" sqref="E15"/>
    </sheetView>
  </sheetViews>
  <sheetFormatPr baseColWidth="10" defaultRowHeight="15" x14ac:dyDescent="0.25"/>
  <sheetData>
    <row r="2" spans="2:2" x14ac:dyDescent="0.25">
      <c r="B2" t="s">
        <v>47</v>
      </c>
    </row>
    <row r="3" spans="2:2" x14ac:dyDescent="0.25">
      <c r="B3" t="s">
        <v>48</v>
      </c>
    </row>
    <row r="4" spans="2:2" x14ac:dyDescent="0.25">
      <c r="B4" t="s">
        <v>49</v>
      </c>
    </row>
    <row r="5" spans="2:2" x14ac:dyDescent="0.25">
      <c r="B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27"/>
  <sheetViews>
    <sheetView workbookViewId="0">
      <selection sqref="A1:F27"/>
    </sheetView>
  </sheetViews>
  <sheetFormatPr baseColWidth="10" defaultRowHeight="15" x14ac:dyDescent="0.25"/>
  <cols>
    <col min="2" max="2" width="11.42578125" style="4"/>
    <col min="3" max="3" width="13.85546875" style="4" bestFit="1" customWidth="1"/>
    <col min="259" max="259" width="13.85546875" bestFit="1" customWidth="1"/>
    <col min="515" max="515" width="13.85546875" bestFit="1" customWidth="1"/>
    <col min="771" max="771" width="13.85546875" bestFit="1" customWidth="1"/>
    <col min="1027" max="1027" width="13.85546875" bestFit="1" customWidth="1"/>
    <col min="1283" max="1283" width="13.85546875" bestFit="1" customWidth="1"/>
    <col min="1539" max="1539" width="13.85546875" bestFit="1" customWidth="1"/>
    <col min="1795" max="1795" width="13.85546875" bestFit="1" customWidth="1"/>
    <col min="2051" max="2051" width="13.85546875" bestFit="1" customWidth="1"/>
    <col min="2307" max="2307" width="13.85546875" bestFit="1" customWidth="1"/>
    <col min="2563" max="2563" width="13.85546875" bestFit="1" customWidth="1"/>
    <col min="2819" max="2819" width="13.85546875" bestFit="1" customWidth="1"/>
    <col min="3075" max="3075" width="13.85546875" bestFit="1" customWidth="1"/>
    <col min="3331" max="3331" width="13.85546875" bestFit="1" customWidth="1"/>
    <col min="3587" max="3587" width="13.85546875" bestFit="1" customWidth="1"/>
    <col min="3843" max="3843" width="13.85546875" bestFit="1" customWidth="1"/>
    <col min="4099" max="4099" width="13.85546875" bestFit="1" customWidth="1"/>
    <col min="4355" max="4355" width="13.85546875" bestFit="1" customWidth="1"/>
    <col min="4611" max="4611" width="13.85546875" bestFit="1" customWidth="1"/>
    <col min="4867" max="4867" width="13.85546875" bestFit="1" customWidth="1"/>
    <col min="5123" max="5123" width="13.85546875" bestFit="1" customWidth="1"/>
    <col min="5379" max="5379" width="13.85546875" bestFit="1" customWidth="1"/>
    <col min="5635" max="5635" width="13.85546875" bestFit="1" customWidth="1"/>
    <col min="5891" max="5891" width="13.85546875" bestFit="1" customWidth="1"/>
    <col min="6147" max="6147" width="13.85546875" bestFit="1" customWidth="1"/>
    <col min="6403" max="6403" width="13.85546875" bestFit="1" customWidth="1"/>
    <col min="6659" max="6659" width="13.85546875" bestFit="1" customWidth="1"/>
    <col min="6915" max="6915" width="13.85546875" bestFit="1" customWidth="1"/>
    <col min="7171" max="7171" width="13.85546875" bestFit="1" customWidth="1"/>
    <col min="7427" max="7427" width="13.85546875" bestFit="1" customWidth="1"/>
    <col min="7683" max="7683" width="13.85546875" bestFit="1" customWidth="1"/>
    <col min="7939" max="7939" width="13.85546875" bestFit="1" customWidth="1"/>
    <col min="8195" max="8195" width="13.85546875" bestFit="1" customWidth="1"/>
    <col min="8451" max="8451" width="13.85546875" bestFit="1" customWidth="1"/>
    <col min="8707" max="8707" width="13.85546875" bestFit="1" customWidth="1"/>
    <col min="8963" max="8963" width="13.85546875" bestFit="1" customWidth="1"/>
    <col min="9219" max="9219" width="13.85546875" bestFit="1" customWidth="1"/>
    <col min="9475" max="9475" width="13.85546875" bestFit="1" customWidth="1"/>
    <col min="9731" max="9731" width="13.85546875" bestFit="1" customWidth="1"/>
    <col min="9987" max="9987" width="13.85546875" bestFit="1" customWidth="1"/>
    <col min="10243" max="10243" width="13.85546875" bestFit="1" customWidth="1"/>
    <col min="10499" max="10499" width="13.85546875" bestFit="1" customWidth="1"/>
    <col min="10755" max="10755" width="13.85546875" bestFit="1" customWidth="1"/>
    <col min="11011" max="11011" width="13.85546875" bestFit="1" customWidth="1"/>
    <col min="11267" max="11267" width="13.85546875" bestFit="1" customWidth="1"/>
    <col min="11523" max="11523" width="13.85546875" bestFit="1" customWidth="1"/>
    <col min="11779" max="11779" width="13.85546875" bestFit="1" customWidth="1"/>
    <col min="12035" max="12035" width="13.85546875" bestFit="1" customWidth="1"/>
    <col min="12291" max="12291" width="13.85546875" bestFit="1" customWidth="1"/>
    <col min="12547" max="12547" width="13.85546875" bestFit="1" customWidth="1"/>
    <col min="12803" max="12803" width="13.85546875" bestFit="1" customWidth="1"/>
    <col min="13059" max="13059" width="13.85546875" bestFit="1" customWidth="1"/>
    <col min="13315" max="13315" width="13.85546875" bestFit="1" customWidth="1"/>
    <col min="13571" max="13571" width="13.85546875" bestFit="1" customWidth="1"/>
    <col min="13827" max="13827" width="13.85546875" bestFit="1" customWidth="1"/>
    <col min="14083" max="14083" width="13.85546875" bestFit="1" customWidth="1"/>
    <col min="14339" max="14339" width="13.85546875" bestFit="1" customWidth="1"/>
    <col min="14595" max="14595" width="13.85546875" bestFit="1" customWidth="1"/>
    <col min="14851" max="14851" width="13.85546875" bestFit="1" customWidth="1"/>
    <col min="15107" max="15107" width="13.85546875" bestFit="1" customWidth="1"/>
    <col min="15363" max="15363" width="13.85546875" bestFit="1" customWidth="1"/>
    <col min="15619" max="15619" width="13.85546875" bestFit="1" customWidth="1"/>
    <col min="15875" max="15875" width="13.85546875" bestFit="1" customWidth="1"/>
    <col min="16131" max="16131" width="13.85546875" bestFit="1" customWidth="1"/>
  </cols>
  <sheetData>
    <row r="1" spans="1:14" x14ac:dyDescent="0.25">
      <c r="A1" t="s">
        <v>25</v>
      </c>
    </row>
    <row r="2" spans="1:14" ht="15.75" thickBot="1" x14ac:dyDescent="0.3">
      <c r="A2" t="s">
        <v>26</v>
      </c>
      <c r="B2" s="4" t="s">
        <v>27</v>
      </c>
      <c r="C2" s="4" t="s">
        <v>28</v>
      </c>
    </row>
    <row r="3" spans="1:14" x14ac:dyDescent="0.25">
      <c r="A3" s="15">
        <v>201803</v>
      </c>
      <c r="B3" s="16">
        <v>100</v>
      </c>
      <c r="C3" s="17">
        <v>100</v>
      </c>
      <c r="D3" s="18"/>
      <c r="E3" s="19"/>
      <c r="F3" s="20"/>
    </row>
    <row r="4" spans="1:14" x14ac:dyDescent="0.25">
      <c r="A4" s="21">
        <v>201804</v>
      </c>
      <c r="B4" s="22">
        <v>107.5</v>
      </c>
      <c r="C4" s="23">
        <f>C3*D4</f>
        <v>107.5</v>
      </c>
      <c r="D4" s="24">
        <v>1.075</v>
      </c>
      <c r="E4" s="25">
        <f>C4/C3</f>
        <v>1.075</v>
      </c>
      <c r="F4" s="26"/>
      <c r="J4" s="27"/>
    </row>
    <row r="5" spans="1:14" x14ac:dyDescent="0.25">
      <c r="A5" s="21">
        <v>201805</v>
      </c>
      <c r="B5" s="22">
        <v>107.5</v>
      </c>
      <c r="C5" s="23">
        <f>C4</f>
        <v>107.5</v>
      </c>
      <c r="D5" s="24"/>
      <c r="E5" s="25"/>
      <c r="F5" s="26"/>
    </row>
    <row r="6" spans="1:14" x14ac:dyDescent="0.25">
      <c r="A6" s="21">
        <v>201806</v>
      </c>
      <c r="B6" s="22">
        <v>107.5</v>
      </c>
      <c r="C6" s="23">
        <f>C5</f>
        <v>107.5</v>
      </c>
      <c r="D6" s="24"/>
      <c r="E6" s="25"/>
      <c r="F6" s="26"/>
    </row>
    <row r="7" spans="1:14" x14ac:dyDescent="0.25">
      <c r="A7" s="21">
        <v>201807</v>
      </c>
      <c r="B7" s="22">
        <v>112.5</v>
      </c>
      <c r="C7" s="23">
        <f>C3*D7</f>
        <v>112.5</v>
      </c>
      <c r="D7" s="24">
        <f>1.075+0.05</f>
        <v>1.125</v>
      </c>
      <c r="E7" s="25">
        <f>C7/C6</f>
        <v>1.0465116279069768</v>
      </c>
      <c r="F7" s="26"/>
    </row>
    <row r="8" spans="1:14" x14ac:dyDescent="0.25">
      <c r="A8" s="21">
        <v>201808</v>
      </c>
      <c r="B8" s="22">
        <v>112.5</v>
      </c>
      <c r="C8" s="23">
        <f>C7</f>
        <v>112.5</v>
      </c>
      <c r="D8" s="24"/>
      <c r="E8" s="25"/>
      <c r="F8" s="26"/>
    </row>
    <row r="9" spans="1:14" x14ac:dyDescent="0.25">
      <c r="A9" s="21">
        <v>201809</v>
      </c>
      <c r="B9" s="22">
        <v>112.5</v>
      </c>
      <c r="C9" s="23">
        <f>C8</f>
        <v>112.5</v>
      </c>
      <c r="D9" s="24"/>
      <c r="E9" s="25"/>
      <c r="F9" s="26"/>
    </row>
    <row r="10" spans="1:14" x14ac:dyDescent="0.25">
      <c r="A10" s="21">
        <v>201810</v>
      </c>
      <c r="B10" s="22">
        <v>120</v>
      </c>
      <c r="C10" s="23">
        <f>C3*D10</f>
        <v>120</v>
      </c>
      <c r="D10" s="24">
        <v>1.2</v>
      </c>
      <c r="E10" s="25">
        <f>C10/C7</f>
        <v>1.0666666666666667</v>
      </c>
      <c r="F10" s="26"/>
      <c r="I10" s="28"/>
      <c r="J10" s="29"/>
    </row>
    <row r="11" spans="1:14" x14ac:dyDescent="0.25">
      <c r="A11" s="21">
        <v>201811</v>
      </c>
      <c r="B11" s="22">
        <f>C11</f>
        <v>130</v>
      </c>
      <c r="C11" s="23">
        <f>C3*D11</f>
        <v>130</v>
      </c>
      <c r="D11" s="30">
        <v>1.3</v>
      </c>
      <c r="E11" s="25">
        <f>C11/C10</f>
        <v>1.0833333333333333</v>
      </c>
      <c r="F11" s="26"/>
    </row>
    <row r="12" spans="1:14" x14ac:dyDescent="0.25">
      <c r="A12" s="21">
        <v>201812</v>
      </c>
      <c r="B12" s="22">
        <f>B11</f>
        <v>130</v>
      </c>
      <c r="C12" s="23">
        <f>C11</f>
        <v>130</v>
      </c>
      <c r="D12" s="24"/>
      <c r="E12" s="25"/>
      <c r="F12" s="26"/>
    </row>
    <row r="13" spans="1:14" x14ac:dyDescent="0.25">
      <c r="A13" s="21">
        <v>201901</v>
      </c>
      <c r="B13" s="22">
        <f>B12</f>
        <v>130</v>
      </c>
      <c r="C13" s="23">
        <f>C12</f>
        <v>130</v>
      </c>
      <c r="D13" s="24"/>
      <c r="E13" s="25"/>
      <c r="F13" s="26"/>
    </row>
    <row r="14" spans="1:14" ht="15.75" thickBot="1" x14ac:dyDescent="0.3">
      <c r="A14" s="21">
        <v>201902</v>
      </c>
      <c r="B14" s="22">
        <f>C14</f>
        <v>140</v>
      </c>
      <c r="C14" s="23">
        <f>C3*D14</f>
        <v>140</v>
      </c>
      <c r="D14" s="30">
        <v>1.4</v>
      </c>
      <c r="E14" s="25">
        <f>C14/C13</f>
        <v>1.0769230769230769</v>
      </c>
      <c r="F14" s="26"/>
    </row>
    <row r="15" spans="1:14" ht="15.75" thickBot="1" x14ac:dyDescent="0.3">
      <c r="A15" s="31">
        <v>201903</v>
      </c>
      <c r="B15" s="32">
        <f>C15</f>
        <v>154.69999999999999</v>
      </c>
      <c r="C15" s="33">
        <f>C3*D15</f>
        <v>154.69999999999999</v>
      </c>
      <c r="D15" s="34">
        <v>1.5469999999999999</v>
      </c>
      <c r="E15" s="35" t="s">
        <v>29</v>
      </c>
      <c r="F15" s="36"/>
      <c r="G15" s="37">
        <v>0.14699999999999999</v>
      </c>
      <c r="H15" s="38">
        <f>C15/C14</f>
        <v>1.105</v>
      </c>
      <c r="M15" s="39">
        <v>100</v>
      </c>
      <c r="N15" s="1">
        <v>43525</v>
      </c>
    </row>
    <row r="16" spans="1:14" x14ac:dyDescent="0.25">
      <c r="A16" s="40">
        <v>201904</v>
      </c>
      <c r="B16" s="41">
        <f>C16</f>
        <v>154.69999999999999</v>
      </c>
      <c r="C16" s="42">
        <f>C15</f>
        <v>154.69999999999999</v>
      </c>
      <c r="I16" s="43" t="s">
        <v>30</v>
      </c>
      <c r="J16" s="44">
        <v>0.28000000000000003</v>
      </c>
      <c r="K16" s="45">
        <v>0.1</v>
      </c>
      <c r="L16" s="46">
        <v>43617</v>
      </c>
      <c r="M16" s="39">
        <f>M15*(1+K16)</f>
        <v>110.00000000000001</v>
      </c>
    </row>
    <row r="17" spans="1:13" x14ac:dyDescent="0.25">
      <c r="A17" s="40">
        <v>201905</v>
      </c>
      <c r="B17" s="41">
        <f t="shared" ref="B17:B26" si="0">C17</f>
        <v>154.69999999999999</v>
      </c>
      <c r="C17" s="42">
        <f t="shared" ref="C17:C22" si="1">C16</f>
        <v>154.69999999999999</v>
      </c>
      <c r="D17" s="4"/>
      <c r="G17">
        <f>C16/C14</f>
        <v>1.105</v>
      </c>
      <c r="I17" s="47"/>
      <c r="J17" s="48" t="s">
        <v>31</v>
      </c>
      <c r="K17" s="48">
        <v>0.09</v>
      </c>
      <c r="L17" s="49">
        <v>43770</v>
      </c>
      <c r="M17" s="50">
        <f>M15*(1+K16+K17)</f>
        <v>119.00000000000001</v>
      </c>
    </row>
    <row r="18" spans="1:13" ht="15.75" thickBot="1" x14ac:dyDescent="0.3">
      <c r="A18" s="40">
        <v>201906</v>
      </c>
      <c r="B18" s="41">
        <f t="shared" si="0"/>
        <v>170.17</v>
      </c>
      <c r="C18" s="42">
        <f>C17*D18</f>
        <v>170.17</v>
      </c>
      <c r="D18" s="51">
        <v>1.1000000000000001</v>
      </c>
      <c r="I18" s="52"/>
      <c r="J18" s="53" t="s">
        <v>32</v>
      </c>
      <c r="K18" s="53">
        <v>0.09</v>
      </c>
      <c r="L18" s="54">
        <v>43862</v>
      </c>
      <c r="M18" s="55">
        <f>M15*(1+K16+K17+K18)</f>
        <v>128.00000000000003</v>
      </c>
    </row>
    <row r="19" spans="1:13" x14ac:dyDescent="0.25">
      <c r="A19" s="40">
        <v>201907</v>
      </c>
      <c r="B19" s="41">
        <f t="shared" si="0"/>
        <v>170.17</v>
      </c>
      <c r="C19" s="42">
        <f t="shared" si="1"/>
        <v>170.17</v>
      </c>
      <c r="I19" s="56" t="s">
        <v>33</v>
      </c>
      <c r="J19" s="46">
        <v>43709</v>
      </c>
      <c r="K19" s="57">
        <v>43891</v>
      </c>
    </row>
    <row r="20" spans="1:13" ht="15.75" thickBot="1" x14ac:dyDescent="0.3">
      <c r="A20" s="40">
        <v>201908</v>
      </c>
      <c r="B20" s="41">
        <f t="shared" si="0"/>
        <v>170.17</v>
      </c>
      <c r="C20" s="42">
        <f t="shared" si="1"/>
        <v>170.17</v>
      </c>
      <c r="I20" s="52" t="s">
        <v>34</v>
      </c>
      <c r="J20" s="58">
        <v>43556</v>
      </c>
      <c r="K20" s="59">
        <v>43921</v>
      </c>
    </row>
    <row r="21" spans="1:13" x14ac:dyDescent="0.25">
      <c r="A21" s="40">
        <v>201909</v>
      </c>
      <c r="B21" s="41">
        <f t="shared" si="0"/>
        <v>170.17</v>
      </c>
      <c r="C21" s="42">
        <f t="shared" si="1"/>
        <v>170.17</v>
      </c>
      <c r="D21" s="60"/>
      <c r="E21" t="s">
        <v>33</v>
      </c>
    </row>
    <row r="22" spans="1:13" x14ac:dyDescent="0.25">
      <c r="A22" s="40">
        <v>201910</v>
      </c>
      <c r="B22" s="41">
        <f t="shared" si="0"/>
        <v>170.17</v>
      </c>
      <c r="C22" s="42">
        <f t="shared" si="1"/>
        <v>170.17</v>
      </c>
      <c r="E22">
        <v>1.232</v>
      </c>
    </row>
    <row r="23" spans="1:13" x14ac:dyDescent="0.25">
      <c r="A23" s="40">
        <v>201911</v>
      </c>
      <c r="B23" s="41">
        <f t="shared" si="0"/>
        <v>184.09299999999999</v>
      </c>
      <c r="C23" s="42">
        <f>D23*$C$15</f>
        <v>184.09299999999999</v>
      </c>
      <c r="D23" s="51">
        <v>1.19</v>
      </c>
      <c r="E23">
        <v>0</v>
      </c>
    </row>
    <row r="24" spans="1:13" x14ac:dyDescent="0.25">
      <c r="A24" s="40">
        <v>201912</v>
      </c>
      <c r="B24" s="41">
        <f t="shared" si="0"/>
        <v>184.09299999999999</v>
      </c>
      <c r="C24" s="42">
        <f>C23</f>
        <v>184.09299999999999</v>
      </c>
    </row>
    <row r="25" spans="1:13" x14ac:dyDescent="0.25">
      <c r="A25" s="40">
        <v>202001</v>
      </c>
      <c r="B25" s="41">
        <f t="shared" si="0"/>
        <v>184.09299999999999</v>
      </c>
      <c r="C25" s="42">
        <f>C24</f>
        <v>184.09299999999999</v>
      </c>
    </row>
    <row r="26" spans="1:13" x14ac:dyDescent="0.25">
      <c r="A26" s="40">
        <v>202002</v>
      </c>
      <c r="B26" s="41">
        <f t="shared" si="0"/>
        <v>198.01599999999999</v>
      </c>
      <c r="C26" s="42">
        <f>D26*$C$15</f>
        <v>198.01599999999999</v>
      </c>
      <c r="D26" s="51">
        <v>1.28</v>
      </c>
      <c r="E26">
        <v>1.3220000000000001</v>
      </c>
    </row>
    <row r="27" spans="1:13" x14ac:dyDescent="0.25">
      <c r="A27" s="40">
        <v>202002</v>
      </c>
      <c r="B27" s="41">
        <f>B26</f>
        <v>198.01599999999999</v>
      </c>
      <c r="C27" s="42">
        <f>C26</f>
        <v>198.01599999999999</v>
      </c>
      <c r="D27" s="60"/>
      <c r="E2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29"/>
  <sheetViews>
    <sheetView workbookViewId="0">
      <selection activeCell="B23" sqref="B23"/>
    </sheetView>
  </sheetViews>
  <sheetFormatPr baseColWidth="10" defaultRowHeight="15" x14ac:dyDescent="0.25"/>
  <cols>
    <col min="4" max="5" width="12" style="73" bestFit="1" customWidth="1"/>
    <col min="16" max="16" width="21.85546875" bestFit="1" customWidth="1"/>
  </cols>
  <sheetData>
    <row r="2" spans="2:18" x14ac:dyDescent="0.25">
      <c r="B2" t="s">
        <v>58</v>
      </c>
    </row>
    <row r="4" spans="2:18" x14ac:dyDescent="0.25">
      <c r="B4" s="116" t="s">
        <v>54</v>
      </c>
      <c r="C4" s="116" t="s">
        <v>55</v>
      </c>
      <c r="D4" s="117" t="s">
        <v>57</v>
      </c>
      <c r="E4" s="117" t="s">
        <v>56</v>
      </c>
      <c r="P4" t="s">
        <v>64</v>
      </c>
      <c r="Q4" s="85">
        <f>'Fórmula de Ajuste'!B8</f>
        <v>43374</v>
      </c>
      <c r="R4" s="86">
        <f>CONCATENATE(YEAR(Q4),IF(MONTH(Q4)&lt;10,CONCATENATE("0",MONTH(Q4)),MONTH(Q4)))*1</f>
        <v>201810</v>
      </c>
    </row>
    <row r="5" spans="2:18" x14ac:dyDescent="0.25">
      <c r="B5" s="71">
        <v>201803</v>
      </c>
      <c r="C5" s="23">
        <v>100</v>
      </c>
      <c r="D5" s="72"/>
      <c r="E5" s="72"/>
      <c r="P5" t="s">
        <v>65</v>
      </c>
      <c r="Q5" s="85">
        <f>'Fórmula de Ajuste'!C8</f>
        <v>43739</v>
      </c>
      <c r="R5" s="86">
        <f>CONCATENATE(YEAR(Q5),IF(MONTH(Q5)&lt;10,CONCATENATE("0",MONTH(Q5)),MONTH(Q5)))*1</f>
        <v>201910</v>
      </c>
    </row>
    <row r="6" spans="2:18" x14ac:dyDescent="0.25">
      <c r="B6" s="71">
        <v>201804</v>
      </c>
      <c r="C6" s="23">
        <v>107.5</v>
      </c>
      <c r="D6" s="72">
        <v>7.5</v>
      </c>
      <c r="E6" s="72"/>
    </row>
    <row r="7" spans="2:18" x14ac:dyDescent="0.25">
      <c r="B7" s="71">
        <v>201805</v>
      </c>
      <c r="C7" s="23">
        <v>107.5</v>
      </c>
      <c r="D7" s="72"/>
      <c r="E7" s="72"/>
    </row>
    <row r="8" spans="2:18" x14ac:dyDescent="0.25">
      <c r="B8" s="71">
        <v>201806</v>
      </c>
      <c r="C8" s="23">
        <v>107.5</v>
      </c>
      <c r="D8" s="72"/>
      <c r="E8" s="72"/>
    </row>
    <row r="9" spans="2:18" x14ac:dyDescent="0.25">
      <c r="B9" s="71">
        <v>201807</v>
      </c>
      <c r="C9" s="23">
        <v>112.5</v>
      </c>
      <c r="D9" s="72">
        <v>5</v>
      </c>
      <c r="E9" s="72"/>
    </row>
    <row r="10" spans="2:18" x14ac:dyDescent="0.25">
      <c r="B10" s="71">
        <v>201808</v>
      </c>
      <c r="C10" s="23">
        <v>112.5</v>
      </c>
      <c r="D10" s="72"/>
      <c r="E10" s="72"/>
    </row>
    <row r="11" spans="2:18" x14ac:dyDescent="0.25">
      <c r="B11" s="71">
        <v>201809</v>
      </c>
      <c r="C11" s="23">
        <v>112.5</v>
      </c>
      <c r="D11" s="72"/>
      <c r="E11" s="72"/>
    </row>
    <row r="12" spans="2:18" x14ac:dyDescent="0.25">
      <c r="B12" s="71">
        <v>201810</v>
      </c>
      <c r="C12" s="23">
        <v>120</v>
      </c>
      <c r="D12" s="72">
        <v>7.5</v>
      </c>
      <c r="E12" s="72"/>
    </row>
    <row r="13" spans="2:18" x14ac:dyDescent="0.25">
      <c r="B13" s="71">
        <v>201811</v>
      </c>
      <c r="C13" s="23">
        <v>130</v>
      </c>
      <c r="D13" s="72">
        <v>10</v>
      </c>
      <c r="E13" s="72"/>
    </row>
    <row r="14" spans="2:18" x14ac:dyDescent="0.25">
      <c r="B14" s="71">
        <v>201812</v>
      </c>
      <c r="C14" s="23">
        <v>130</v>
      </c>
      <c r="D14" s="72"/>
      <c r="E14" s="72"/>
    </row>
    <row r="15" spans="2:18" x14ac:dyDescent="0.25">
      <c r="B15" s="71">
        <v>201901</v>
      </c>
      <c r="C15" s="23">
        <v>130</v>
      </c>
      <c r="D15" s="72"/>
      <c r="E15" s="72"/>
    </row>
    <row r="16" spans="2:18" x14ac:dyDescent="0.25">
      <c r="B16" s="71">
        <v>201902</v>
      </c>
      <c r="C16" s="23">
        <v>140</v>
      </c>
      <c r="D16" s="72">
        <v>10</v>
      </c>
      <c r="E16" s="72"/>
    </row>
    <row r="17" spans="2:7" x14ac:dyDescent="0.25">
      <c r="B17" s="76">
        <v>201903</v>
      </c>
      <c r="C17" s="77">
        <v>154.69999999999999</v>
      </c>
      <c r="D17" s="78">
        <v>14.7</v>
      </c>
      <c r="E17" s="78"/>
      <c r="F17" s="79" t="s">
        <v>53</v>
      </c>
      <c r="G17" s="79"/>
    </row>
    <row r="18" spans="2:7" x14ac:dyDescent="0.25">
      <c r="B18" s="40">
        <v>201904</v>
      </c>
      <c r="C18" s="42">
        <v>154.69999999999999</v>
      </c>
      <c r="D18" s="74"/>
      <c r="E18" s="74"/>
      <c r="F18" t="s">
        <v>110</v>
      </c>
    </row>
    <row r="19" spans="2:7" x14ac:dyDescent="0.25">
      <c r="B19" s="40">
        <v>201905</v>
      </c>
      <c r="C19" s="42">
        <v>154.69999999999999</v>
      </c>
      <c r="D19" s="74"/>
      <c r="E19" s="74"/>
    </row>
    <row r="20" spans="2:7" x14ac:dyDescent="0.25">
      <c r="B20" s="40">
        <v>201906</v>
      </c>
      <c r="C20" s="42">
        <v>170.17</v>
      </c>
      <c r="D20" s="115"/>
      <c r="E20" s="74">
        <v>10</v>
      </c>
    </row>
    <row r="21" spans="2:7" x14ac:dyDescent="0.25">
      <c r="B21" s="40">
        <v>201907</v>
      </c>
      <c r="C21" s="42">
        <v>170.17</v>
      </c>
      <c r="D21" s="74"/>
      <c r="E21" s="74"/>
    </row>
    <row r="22" spans="2:7" x14ac:dyDescent="0.25">
      <c r="B22" s="40">
        <v>201908</v>
      </c>
      <c r="C22" s="42">
        <v>170.17</v>
      </c>
      <c r="D22" s="74"/>
      <c r="E22" s="74"/>
    </row>
    <row r="23" spans="2:7" x14ac:dyDescent="0.25">
      <c r="B23" s="40">
        <v>201909</v>
      </c>
      <c r="C23" s="42">
        <v>170.17</v>
      </c>
      <c r="D23" s="74"/>
      <c r="E23" s="74"/>
    </row>
    <row r="24" spans="2:7" x14ac:dyDescent="0.25">
      <c r="B24" s="40">
        <v>201910</v>
      </c>
      <c r="C24" s="42">
        <v>190.59039999999996</v>
      </c>
      <c r="D24" s="74"/>
      <c r="E24" s="74">
        <v>13.2</v>
      </c>
    </row>
    <row r="25" spans="2:7" x14ac:dyDescent="0.25">
      <c r="B25" s="40">
        <v>201911</v>
      </c>
      <c r="C25" s="42">
        <v>190.59039999999996</v>
      </c>
      <c r="D25" s="74"/>
      <c r="E25" s="74"/>
    </row>
    <row r="26" spans="2:7" x14ac:dyDescent="0.25">
      <c r="B26" s="40">
        <v>201912</v>
      </c>
      <c r="C26" s="42">
        <v>190.59039999999996</v>
      </c>
      <c r="D26" s="74"/>
      <c r="E26" s="74"/>
    </row>
    <row r="27" spans="2:7" x14ac:dyDescent="0.25">
      <c r="B27" s="40">
        <v>202001</v>
      </c>
      <c r="C27" s="75">
        <v>204.51339999999996</v>
      </c>
      <c r="D27" s="74"/>
      <c r="E27" s="74">
        <v>9</v>
      </c>
    </row>
    <row r="28" spans="2:7" x14ac:dyDescent="0.25">
      <c r="B28" s="40">
        <v>202002</v>
      </c>
      <c r="C28" s="75">
        <v>204.51339999999996</v>
      </c>
      <c r="D28" s="74"/>
    </row>
    <row r="29" spans="2:7" x14ac:dyDescent="0.25">
      <c r="B29" s="40">
        <v>202003</v>
      </c>
      <c r="C29" s="75">
        <v>204.51339999999996</v>
      </c>
      <c r="D29" s="74"/>
      <c r="E29" s="74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workbookViewId="0">
      <selection activeCell="B13" sqref="B13:C18"/>
    </sheetView>
  </sheetViews>
  <sheetFormatPr baseColWidth="10" defaultRowHeight="15" x14ac:dyDescent="0.25"/>
  <cols>
    <col min="3" max="3" width="16.42578125" customWidth="1"/>
  </cols>
  <sheetData>
    <row r="2" spans="2:8" x14ac:dyDescent="0.25">
      <c r="B2" t="s">
        <v>51</v>
      </c>
    </row>
    <row r="4" spans="2:8" ht="21" x14ac:dyDescent="0.25">
      <c r="B4" s="2" t="s">
        <v>3</v>
      </c>
      <c r="C4" s="2" t="s">
        <v>4</v>
      </c>
      <c r="D4" s="2" t="s">
        <v>5</v>
      </c>
      <c r="E4" s="2"/>
      <c r="F4" s="2" t="s">
        <v>6</v>
      </c>
      <c r="G4" s="2" t="s">
        <v>7</v>
      </c>
      <c r="H4" s="2" t="s">
        <v>8</v>
      </c>
    </row>
    <row r="5" spans="2:8" ht="33.75" x14ac:dyDescent="0.25">
      <c r="B5" s="3" t="s">
        <v>9</v>
      </c>
      <c r="C5" s="3" t="s">
        <v>10</v>
      </c>
      <c r="D5" s="3" t="s">
        <v>11</v>
      </c>
      <c r="E5" s="3"/>
      <c r="F5" s="3" t="s">
        <v>12</v>
      </c>
      <c r="G5" s="3" t="s">
        <v>13</v>
      </c>
      <c r="H5" s="70">
        <v>36.908999999999999</v>
      </c>
    </row>
    <row r="8" spans="2:8" x14ac:dyDescent="0.25">
      <c r="H8" s="67"/>
    </row>
    <row r="10" spans="2:8" ht="30" customHeight="1" x14ac:dyDescent="0.25">
      <c r="B10" s="81" t="s">
        <v>59</v>
      </c>
      <c r="C10" s="81" t="s">
        <v>60</v>
      </c>
    </row>
    <row r="11" spans="2:8" x14ac:dyDescent="0.25">
      <c r="B11" s="80">
        <v>43101</v>
      </c>
      <c r="C11" s="67">
        <v>14.38</v>
      </c>
    </row>
    <row r="12" spans="2:8" x14ac:dyDescent="0.25">
      <c r="B12" s="80">
        <v>43132</v>
      </c>
      <c r="C12" s="67">
        <v>15.116</v>
      </c>
    </row>
    <row r="13" spans="2:8" x14ac:dyDescent="0.25">
      <c r="B13" s="80">
        <v>43160</v>
      </c>
      <c r="C13" s="67">
        <v>14.909000000000001</v>
      </c>
    </row>
    <row r="14" spans="2:8" x14ac:dyDescent="0.25">
      <c r="B14" s="80">
        <v>43191</v>
      </c>
      <c r="C14" s="67">
        <v>15.504</v>
      </c>
    </row>
    <row r="15" spans="2:8" x14ac:dyDescent="0.25">
      <c r="B15" s="80">
        <v>43221</v>
      </c>
      <c r="C15" s="67">
        <v>15.57</v>
      </c>
    </row>
    <row r="16" spans="2:8" x14ac:dyDescent="0.25">
      <c r="B16" s="80">
        <v>43252</v>
      </c>
      <c r="C16" s="67">
        <v>16.231000000000002</v>
      </c>
    </row>
    <row r="17" spans="2:3" x14ac:dyDescent="0.25">
      <c r="B17" s="80">
        <v>43282</v>
      </c>
      <c r="C17" s="67">
        <v>18.097999999999999</v>
      </c>
    </row>
    <row r="18" spans="2:3" x14ac:dyDescent="0.25">
      <c r="B18" s="80">
        <v>43313</v>
      </c>
      <c r="C18" s="67">
        <v>19.817</v>
      </c>
    </row>
    <row r="19" spans="2:3" x14ac:dyDescent="0.25">
      <c r="B19" s="80">
        <v>43344</v>
      </c>
      <c r="C19" s="67">
        <v>24.992999999999999</v>
      </c>
    </row>
    <row r="20" spans="2:3" x14ac:dyDescent="0.25">
      <c r="B20" s="80">
        <v>43374</v>
      </c>
      <c r="C20" s="67">
        <v>24.992999999999999</v>
      </c>
    </row>
    <row r="21" spans="2:3" x14ac:dyDescent="0.25">
      <c r="B21" s="80">
        <v>43405</v>
      </c>
      <c r="C21" s="67">
        <v>25.885000000000002</v>
      </c>
    </row>
    <row r="22" spans="2:3" x14ac:dyDescent="0.25">
      <c r="B22" s="80">
        <v>43435</v>
      </c>
      <c r="C22" s="67">
        <v>27.398</v>
      </c>
    </row>
    <row r="23" spans="2:3" x14ac:dyDescent="0.25">
      <c r="B23" s="80">
        <v>43466</v>
      </c>
      <c r="C23" s="67">
        <v>26.241</v>
      </c>
    </row>
    <row r="24" spans="2:3" x14ac:dyDescent="0.25">
      <c r="B24" s="80">
        <v>43497</v>
      </c>
      <c r="C24" s="67">
        <v>26.728999999999999</v>
      </c>
    </row>
    <row r="25" spans="2:3" x14ac:dyDescent="0.25">
      <c r="B25" s="80">
        <v>43525</v>
      </c>
      <c r="C25" s="67">
        <v>29.03</v>
      </c>
    </row>
    <row r="26" spans="2:3" x14ac:dyDescent="0.25">
      <c r="B26" s="80">
        <v>43556</v>
      </c>
      <c r="C26" s="67">
        <v>30.797999999999998</v>
      </c>
    </row>
    <row r="27" spans="2:3" x14ac:dyDescent="0.25">
      <c r="B27" s="80">
        <v>43586</v>
      </c>
      <c r="C27" s="67">
        <v>30.797999999999998</v>
      </c>
    </row>
    <row r="28" spans="2:3" x14ac:dyDescent="0.25">
      <c r="B28" s="80">
        <v>43617</v>
      </c>
      <c r="C28" s="67">
        <v>31.640999999999998</v>
      </c>
    </row>
    <row r="29" spans="2:3" x14ac:dyDescent="0.25">
      <c r="B29" s="80">
        <v>43647</v>
      </c>
      <c r="C29" s="67">
        <v>32.244999999999997</v>
      </c>
    </row>
    <row r="30" spans="2:3" x14ac:dyDescent="0.25">
      <c r="B30" s="80">
        <v>43678</v>
      </c>
      <c r="C30" s="67">
        <v>31.893000000000001</v>
      </c>
    </row>
    <row r="31" spans="2:3" x14ac:dyDescent="0.25">
      <c r="B31" s="80">
        <v>43709</v>
      </c>
      <c r="C31" s="67">
        <v>33.305999999999997</v>
      </c>
    </row>
    <row r="32" spans="2:3" x14ac:dyDescent="0.25">
      <c r="B32" s="80">
        <v>43739</v>
      </c>
      <c r="C32" s="67">
        <v>33.305999999999997</v>
      </c>
    </row>
    <row r="33" spans="2:3" x14ac:dyDescent="0.25">
      <c r="B33" s="80">
        <v>43770</v>
      </c>
      <c r="C33" s="67">
        <v>36.908999999999999</v>
      </c>
    </row>
    <row r="34" spans="2:3" x14ac:dyDescent="0.25">
      <c r="B34" s="80">
        <v>43800</v>
      </c>
      <c r="C34" s="127">
        <v>39.619999999999997</v>
      </c>
    </row>
    <row r="35" spans="2:3" x14ac:dyDescent="0.25">
      <c r="B35" s="80">
        <v>43831</v>
      </c>
      <c r="C35" s="127">
        <v>39.619999999999997</v>
      </c>
    </row>
    <row r="36" spans="2:3" x14ac:dyDescent="0.25">
      <c r="B36" s="80">
        <v>43862</v>
      </c>
      <c r="C36" s="92">
        <v>39.742863636363701</v>
      </c>
    </row>
    <row r="37" spans="2:3" x14ac:dyDescent="0.25">
      <c r="B37" s="80">
        <v>43891</v>
      </c>
      <c r="C37" s="92">
        <v>40.781573426573502</v>
      </c>
    </row>
    <row r="38" spans="2:3" x14ac:dyDescent="0.25">
      <c r="B38" s="80">
        <v>43922</v>
      </c>
      <c r="C38" s="92">
        <v>41.820283216783302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4" workbookViewId="0">
      <selection activeCell="B49" sqref="B49"/>
    </sheetView>
  </sheetViews>
  <sheetFormatPr baseColWidth="10" defaultRowHeight="15" x14ac:dyDescent="0.25"/>
  <cols>
    <col min="1" max="1" width="12.28515625" style="4" customWidth="1"/>
    <col min="2" max="2" width="17.5703125" style="4" customWidth="1"/>
    <col min="3" max="3" width="6" style="4" customWidth="1"/>
    <col min="4" max="5" width="3" customWidth="1"/>
    <col min="10" max="10" width="12.5703125" bestFit="1" customWidth="1"/>
    <col min="11" max="11" width="13.7109375" bestFit="1" customWidth="1"/>
  </cols>
  <sheetData>
    <row r="1" spans="1:14" ht="45" customHeight="1" x14ac:dyDescent="0.25">
      <c r="A1" s="5" t="s">
        <v>45</v>
      </c>
      <c r="B1" s="6" t="s">
        <v>16</v>
      </c>
      <c r="C1" s="6"/>
      <c r="F1" s="5" t="s">
        <v>66</v>
      </c>
    </row>
    <row r="2" spans="1:14" x14ac:dyDescent="0.25">
      <c r="A2" s="7">
        <v>42491</v>
      </c>
      <c r="B2" s="4">
        <v>1.5</v>
      </c>
      <c r="C2" s="4">
        <f>(B2+100)/100</f>
        <v>1.0149999999999999</v>
      </c>
      <c r="D2">
        <v>2</v>
      </c>
      <c r="F2">
        <v>100</v>
      </c>
      <c r="H2" t="s">
        <v>17</v>
      </c>
      <c r="I2" s="8" t="s">
        <v>18</v>
      </c>
    </row>
    <row r="3" spans="1:14" x14ac:dyDescent="0.25">
      <c r="A3" s="7">
        <v>42522</v>
      </c>
      <c r="B3" s="4">
        <v>3.6</v>
      </c>
      <c r="C3" s="4">
        <f t="shared" ref="C3:C47" si="0">(B3+100)/100</f>
        <v>1.036</v>
      </c>
      <c r="D3">
        <v>3</v>
      </c>
      <c r="F3">
        <f>F2+B3</f>
        <v>103.6</v>
      </c>
      <c r="H3" t="s">
        <v>19</v>
      </c>
      <c r="I3" s="8" t="s">
        <v>20</v>
      </c>
    </row>
    <row r="4" spans="1:14" ht="15.75" thickBot="1" x14ac:dyDescent="0.3">
      <c r="A4" s="7">
        <v>42552</v>
      </c>
      <c r="B4" s="4">
        <v>2.9</v>
      </c>
      <c r="C4" s="4">
        <f t="shared" si="0"/>
        <v>1.0290000000000001</v>
      </c>
      <c r="D4">
        <v>4</v>
      </c>
      <c r="F4">
        <f>F3*C4</f>
        <v>106.60440000000001</v>
      </c>
    </row>
    <row r="5" spans="1:14" x14ac:dyDescent="0.25">
      <c r="A5" s="7">
        <v>42583</v>
      </c>
      <c r="B5" s="4">
        <v>2.7</v>
      </c>
      <c r="C5" s="4">
        <f t="shared" si="0"/>
        <v>1.0270000000000001</v>
      </c>
      <c r="D5">
        <v>5</v>
      </c>
      <c r="F5">
        <f t="shared" ref="F5:F45" si="1">F4*C5</f>
        <v>109.48271880000003</v>
      </c>
      <c r="J5" s="9" t="s">
        <v>21</v>
      </c>
      <c r="K5" s="10" t="s">
        <v>22</v>
      </c>
      <c r="L5" s="224" t="s">
        <v>23</v>
      </c>
      <c r="M5" s="224"/>
      <c r="N5" s="225"/>
    </row>
    <row r="6" spans="1:14" ht="15.75" thickBot="1" x14ac:dyDescent="0.3">
      <c r="A6" s="7">
        <v>42614</v>
      </c>
      <c r="B6" s="4">
        <v>0.4</v>
      </c>
      <c r="C6" s="4">
        <f t="shared" si="0"/>
        <v>1.004</v>
      </c>
      <c r="D6">
        <v>6</v>
      </c>
      <c r="F6">
        <f t="shared" si="1"/>
        <v>109.92064967520002</v>
      </c>
      <c r="H6" t="s">
        <v>24</v>
      </c>
      <c r="J6" s="11">
        <v>43374</v>
      </c>
      <c r="K6" s="12">
        <v>43647</v>
      </c>
      <c r="L6" s="226">
        <f ca="1">PRODUCT(INDIRECT(CONCATENATE(J7,":",K7)))-1</f>
        <v>0.26205453628984632</v>
      </c>
      <c r="M6" s="226"/>
      <c r="N6" s="227"/>
    </row>
    <row r="7" spans="1:14" x14ac:dyDescent="0.25">
      <c r="A7" s="7">
        <v>42644</v>
      </c>
      <c r="B7" s="4">
        <v>0.4</v>
      </c>
      <c r="C7" s="4">
        <f t="shared" si="0"/>
        <v>1.004</v>
      </c>
      <c r="D7">
        <v>7</v>
      </c>
      <c r="F7">
        <f t="shared" si="1"/>
        <v>110.36033227390082</v>
      </c>
      <c r="J7" s="28" t="str">
        <f>CONCATENATE("C",VLOOKUP(J6,$A$2:$D$232,4,FALSE)+1)</f>
        <v>C32</v>
      </c>
      <c r="K7" s="13" t="str">
        <f>CONCATENATE("C",VLOOKUP(K6,$A$2:$D$232,4,FALSE))</f>
        <v>C40</v>
      </c>
    </row>
    <row r="8" spans="1:14" x14ac:dyDescent="0.25">
      <c r="A8" s="7">
        <v>42675</v>
      </c>
      <c r="B8" s="4">
        <v>0.6</v>
      </c>
      <c r="C8" s="4">
        <f t="shared" si="0"/>
        <v>1.006</v>
      </c>
      <c r="D8">
        <v>8</v>
      </c>
      <c r="F8">
        <f t="shared" si="1"/>
        <v>111.02249426754423</v>
      </c>
    </row>
    <row r="9" spans="1:14" x14ac:dyDescent="0.25">
      <c r="A9" s="7">
        <v>42705</v>
      </c>
      <c r="B9" s="4">
        <v>1.1000000000000001</v>
      </c>
      <c r="C9" s="4">
        <f t="shared" si="0"/>
        <v>1.0109999999999999</v>
      </c>
      <c r="D9">
        <v>9</v>
      </c>
      <c r="F9">
        <f t="shared" si="1"/>
        <v>112.24374170448721</v>
      </c>
      <c r="H9" t="s">
        <v>52</v>
      </c>
    </row>
    <row r="10" spans="1:14" x14ac:dyDescent="0.25">
      <c r="A10" s="7">
        <v>42736</v>
      </c>
      <c r="B10" s="4">
        <v>0.8</v>
      </c>
      <c r="C10" s="4">
        <f t="shared" si="0"/>
        <v>1.008</v>
      </c>
      <c r="D10">
        <v>10</v>
      </c>
      <c r="F10">
        <f t="shared" si="1"/>
        <v>113.14169163812311</v>
      </c>
    </row>
    <row r="11" spans="1:14" x14ac:dyDescent="0.25">
      <c r="A11" s="7">
        <v>42767</v>
      </c>
      <c r="B11" s="4">
        <v>1.5</v>
      </c>
      <c r="C11" s="4">
        <f t="shared" si="0"/>
        <v>1.0149999999999999</v>
      </c>
      <c r="D11">
        <v>11</v>
      </c>
      <c r="F11">
        <f t="shared" si="1"/>
        <v>114.83881701269495</v>
      </c>
    </row>
    <row r="12" spans="1:14" x14ac:dyDescent="0.25">
      <c r="A12" s="7">
        <v>42795</v>
      </c>
      <c r="B12" s="4">
        <v>1.7</v>
      </c>
      <c r="C12" s="4">
        <f t="shared" si="0"/>
        <v>1.0170000000000001</v>
      </c>
      <c r="D12">
        <v>12</v>
      </c>
      <c r="F12">
        <f t="shared" si="1"/>
        <v>116.79107690191077</v>
      </c>
    </row>
    <row r="13" spans="1:14" x14ac:dyDescent="0.25">
      <c r="A13" s="7">
        <v>42826</v>
      </c>
      <c r="B13" s="4">
        <v>0.9</v>
      </c>
      <c r="C13" s="4">
        <f t="shared" si="0"/>
        <v>1.0090000000000001</v>
      </c>
      <c r="D13">
        <v>13</v>
      </c>
      <c r="F13">
        <f t="shared" si="1"/>
        <v>117.84219659402798</v>
      </c>
    </row>
    <row r="14" spans="1:14" x14ac:dyDescent="0.25">
      <c r="A14" s="7">
        <v>42856</v>
      </c>
      <c r="B14" s="4">
        <v>0.5</v>
      </c>
      <c r="C14" s="4">
        <f t="shared" si="0"/>
        <v>1.0049999999999999</v>
      </c>
      <c r="D14">
        <v>14</v>
      </c>
      <c r="F14">
        <f t="shared" si="1"/>
        <v>118.43140757699811</v>
      </c>
      <c r="J14">
        <f>VLOOKUP(J6,$A$2:$F$45,6,FALSE)</f>
        <v>223.23079839776219</v>
      </c>
      <c r="K14">
        <f>VLOOKUP(K6,$A$2:$F$45,6,FALSE)</f>
        <v>281.72944175749984</v>
      </c>
      <c r="L14">
        <f>K14/J14</f>
        <v>1.2620545362898459</v>
      </c>
    </row>
    <row r="15" spans="1:14" x14ac:dyDescent="0.25">
      <c r="A15" s="7">
        <v>42887</v>
      </c>
      <c r="B15" s="4">
        <v>0.9</v>
      </c>
      <c r="C15" s="4">
        <f t="shared" si="0"/>
        <v>1.0090000000000001</v>
      </c>
      <c r="D15">
        <v>15</v>
      </c>
      <c r="F15">
        <f t="shared" si="1"/>
        <v>119.49729024519111</v>
      </c>
    </row>
    <row r="16" spans="1:14" x14ac:dyDescent="0.25">
      <c r="A16" s="7">
        <v>42917</v>
      </c>
      <c r="B16" s="4">
        <v>1.9</v>
      </c>
      <c r="C16" s="4">
        <f t="shared" si="0"/>
        <v>1.0190000000000001</v>
      </c>
      <c r="D16">
        <v>16</v>
      </c>
      <c r="F16">
        <f t="shared" si="1"/>
        <v>121.76773875984975</v>
      </c>
    </row>
    <row r="17" spans="1:6" x14ac:dyDescent="0.25">
      <c r="A17" s="7">
        <v>42948</v>
      </c>
      <c r="B17" s="4">
        <v>2.6</v>
      </c>
      <c r="C17" s="4">
        <f t="shared" si="0"/>
        <v>1.026</v>
      </c>
      <c r="D17">
        <v>17</v>
      </c>
      <c r="F17">
        <f t="shared" si="1"/>
        <v>124.93369996760585</v>
      </c>
    </row>
    <row r="18" spans="1:6" x14ac:dyDescent="0.25">
      <c r="A18" s="7">
        <v>42979</v>
      </c>
      <c r="B18" s="4">
        <v>1.9</v>
      </c>
      <c r="C18" s="4">
        <f t="shared" si="0"/>
        <v>1.0190000000000001</v>
      </c>
      <c r="D18">
        <v>18</v>
      </c>
      <c r="F18">
        <f t="shared" si="1"/>
        <v>127.30744026699037</v>
      </c>
    </row>
    <row r="19" spans="1:6" x14ac:dyDescent="0.25">
      <c r="A19" s="7">
        <v>43009</v>
      </c>
      <c r="B19" s="4">
        <v>1</v>
      </c>
      <c r="C19" s="4">
        <f t="shared" si="0"/>
        <v>1.01</v>
      </c>
      <c r="D19">
        <v>19</v>
      </c>
      <c r="F19">
        <f t="shared" si="1"/>
        <v>128.58051466966026</v>
      </c>
    </row>
    <row r="20" spans="1:6" x14ac:dyDescent="0.25">
      <c r="A20" s="7">
        <v>43040</v>
      </c>
      <c r="B20" s="4">
        <v>1.5</v>
      </c>
      <c r="C20" s="4">
        <f t="shared" si="0"/>
        <v>1.0149999999999999</v>
      </c>
      <c r="D20">
        <v>20</v>
      </c>
      <c r="F20">
        <f t="shared" si="1"/>
        <v>130.50922238970514</v>
      </c>
    </row>
    <row r="21" spans="1:6" x14ac:dyDescent="0.25">
      <c r="A21" s="7">
        <v>43070</v>
      </c>
      <c r="B21" s="4">
        <v>1.5</v>
      </c>
      <c r="C21" s="4">
        <f t="shared" si="0"/>
        <v>1.0149999999999999</v>
      </c>
      <c r="D21">
        <v>21</v>
      </c>
      <c r="F21">
        <f t="shared" si="1"/>
        <v>132.4668607255507</v>
      </c>
    </row>
    <row r="22" spans="1:6" x14ac:dyDescent="0.25">
      <c r="A22" s="7">
        <v>43101</v>
      </c>
      <c r="B22" s="4">
        <v>1.6</v>
      </c>
      <c r="C22" s="4">
        <f t="shared" si="0"/>
        <v>1.016</v>
      </c>
      <c r="D22">
        <v>22</v>
      </c>
      <c r="F22">
        <f t="shared" si="1"/>
        <v>134.58633049715951</v>
      </c>
    </row>
    <row r="23" spans="1:6" x14ac:dyDescent="0.25">
      <c r="A23" s="7">
        <v>43132</v>
      </c>
      <c r="B23" s="4">
        <v>4.5999999999999996</v>
      </c>
      <c r="C23" s="4">
        <f t="shared" si="0"/>
        <v>1.046</v>
      </c>
      <c r="D23">
        <v>23</v>
      </c>
      <c r="F23">
        <f t="shared" si="1"/>
        <v>140.77730170002886</v>
      </c>
    </row>
    <row r="24" spans="1:6" x14ac:dyDescent="0.25">
      <c r="A24" s="7">
        <v>43160</v>
      </c>
      <c r="B24" s="4">
        <v>4.8</v>
      </c>
      <c r="C24" s="4">
        <f t="shared" si="0"/>
        <v>1.048</v>
      </c>
      <c r="D24">
        <v>24</v>
      </c>
      <c r="F24">
        <f t="shared" si="1"/>
        <v>147.53461218163025</v>
      </c>
    </row>
    <row r="25" spans="1:6" x14ac:dyDescent="0.25">
      <c r="A25" s="7">
        <v>43191</v>
      </c>
      <c r="B25" s="4">
        <v>1.9</v>
      </c>
      <c r="C25" s="4">
        <f t="shared" si="0"/>
        <v>1.0190000000000001</v>
      </c>
      <c r="D25">
        <v>25</v>
      </c>
      <c r="F25">
        <f t="shared" si="1"/>
        <v>150.33776981308125</v>
      </c>
    </row>
    <row r="26" spans="1:6" x14ac:dyDescent="0.25">
      <c r="A26" s="7">
        <v>43221</v>
      </c>
      <c r="B26" s="4">
        <v>1.8</v>
      </c>
      <c r="C26" s="4">
        <f t="shared" si="0"/>
        <v>1.018</v>
      </c>
      <c r="D26">
        <v>26</v>
      </c>
      <c r="F26">
        <f t="shared" si="1"/>
        <v>153.04384966971671</v>
      </c>
    </row>
    <row r="27" spans="1:6" x14ac:dyDescent="0.25">
      <c r="A27" s="7">
        <v>43252</v>
      </c>
      <c r="B27" s="4">
        <v>7.5</v>
      </c>
      <c r="C27" s="4">
        <f t="shared" si="0"/>
        <v>1.075</v>
      </c>
      <c r="D27">
        <v>27</v>
      </c>
      <c r="F27">
        <f t="shared" si="1"/>
        <v>164.52213839494544</v>
      </c>
    </row>
    <row r="28" spans="1:6" x14ac:dyDescent="0.25">
      <c r="A28" s="7">
        <v>43282</v>
      </c>
      <c r="B28" s="4">
        <v>6.5</v>
      </c>
      <c r="C28" s="4">
        <f t="shared" si="0"/>
        <v>1.0649999999999999</v>
      </c>
      <c r="D28">
        <v>28</v>
      </c>
      <c r="F28">
        <f t="shared" si="1"/>
        <v>175.2160773906169</v>
      </c>
    </row>
    <row r="29" spans="1:6" x14ac:dyDescent="0.25">
      <c r="A29" s="7">
        <v>43313</v>
      </c>
      <c r="B29" s="4">
        <v>4.7</v>
      </c>
      <c r="C29" s="4">
        <f t="shared" si="0"/>
        <v>1.0469999999999999</v>
      </c>
      <c r="D29">
        <v>29</v>
      </c>
      <c r="F29">
        <f t="shared" si="1"/>
        <v>183.45123302797589</v>
      </c>
    </row>
    <row r="30" spans="1:6" x14ac:dyDescent="0.25">
      <c r="A30" s="7">
        <v>43344</v>
      </c>
      <c r="B30" s="4">
        <v>4.9000000000000004</v>
      </c>
      <c r="C30" s="4">
        <f t="shared" si="0"/>
        <v>1.0490000000000002</v>
      </c>
      <c r="D30">
        <v>30</v>
      </c>
      <c r="F30">
        <f t="shared" si="1"/>
        <v>192.44034344634673</v>
      </c>
    </row>
    <row r="31" spans="1:6" x14ac:dyDescent="0.25">
      <c r="A31" s="7">
        <v>43374</v>
      </c>
      <c r="B31" s="4">
        <v>16</v>
      </c>
      <c r="C31" s="4">
        <f t="shared" si="0"/>
        <v>1.1599999999999999</v>
      </c>
      <c r="D31">
        <v>31</v>
      </c>
      <c r="F31">
        <f t="shared" si="1"/>
        <v>223.23079839776219</v>
      </c>
    </row>
    <row r="32" spans="1:6" x14ac:dyDescent="0.25">
      <c r="A32" s="7">
        <v>43405</v>
      </c>
      <c r="B32" s="4">
        <v>3</v>
      </c>
      <c r="C32" s="4">
        <f t="shared" si="0"/>
        <v>1.03</v>
      </c>
      <c r="D32">
        <v>32</v>
      </c>
      <c r="F32">
        <f t="shared" si="1"/>
        <v>229.92772234969505</v>
      </c>
    </row>
    <row r="33" spans="1:11" x14ac:dyDescent="0.25">
      <c r="A33" s="7">
        <v>43435</v>
      </c>
      <c r="B33" s="4">
        <v>0.1</v>
      </c>
      <c r="C33" s="4">
        <f t="shared" si="0"/>
        <v>1.0009999999999999</v>
      </c>
      <c r="D33">
        <v>33</v>
      </c>
      <c r="F33">
        <f t="shared" si="1"/>
        <v>230.1576500720447</v>
      </c>
      <c r="H33" s="14"/>
      <c r="I33">
        <v>192.44034344634673</v>
      </c>
      <c r="J33">
        <v>223.23079839776219</v>
      </c>
      <c r="K33">
        <v>229.92772234969505</v>
      </c>
    </row>
    <row r="34" spans="1:11" x14ac:dyDescent="0.25">
      <c r="A34" s="7">
        <v>43466</v>
      </c>
      <c r="B34" s="4">
        <v>1.3</v>
      </c>
      <c r="C34" s="4">
        <f t="shared" si="0"/>
        <v>1.0129999999999999</v>
      </c>
      <c r="D34">
        <v>34</v>
      </c>
      <c r="F34">
        <f t="shared" si="1"/>
        <v>233.14969952298125</v>
      </c>
      <c r="H34">
        <v>242.52325004260319</v>
      </c>
      <c r="I34" s="132">
        <f>($H34/I$33-1)*0.4-5.2%</f>
        <v>5.2100638565363649E-2</v>
      </c>
      <c r="J34" s="131">
        <f t="shared" ref="J34:K36" si="2">($H34/J$33-1)*0.4-5.2%</f>
        <v>-1.7430483995376146E-2</v>
      </c>
      <c r="K34" s="131">
        <f t="shared" si="2"/>
        <v>-3.0087848539200081E-2</v>
      </c>
    </row>
    <row r="35" spans="1:11" x14ac:dyDescent="0.25">
      <c r="A35" s="7">
        <v>43497</v>
      </c>
      <c r="B35" s="4">
        <v>0.6</v>
      </c>
      <c r="C35" s="4">
        <f t="shared" si="0"/>
        <v>1.006</v>
      </c>
      <c r="D35">
        <v>35</v>
      </c>
      <c r="F35">
        <f t="shared" si="1"/>
        <v>234.54859772011915</v>
      </c>
      <c r="H35">
        <v>252.46670329434991</v>
      </c>
      <c r="I35" s="131">
        <f t="shared" ref="I35:I36" si="3">($H35/I$33-1)*0.4-5.2%</f>
        <v>7.2768764746543507E-2</v>
      </c>
      <c r="J35" s="132">
        <f t="shared" si="2"/>
        <v>3.8686616081338304E-4</v>
      </c>
      <c r="K35" s="131">
        <f t="shared" si="2"/>
        <v>-1.2789450329307381E-2</v>
      </c>
    </row>
    <row r="36" spans="1:11" x14ac:dyDescent="0.25">
      <c r="A36" s="7">
        <v>43525</v>
      </c>
      <c r="B36" s="4">
        <v>3.4</v>
      </c>
      <c r="C36" s="4">
        <f t="shared" si="0"/>
        <v>1.034</v>
      </c>
      <c r="D36">
        <v>36</v>
      </c>
      <c r="F36">
        <f t="shared" si="1"/>
        <v>242.52325004260319</v>
      </c>
      <c r="H36">
        <v>264.08017164589</v>
      </c>
      <c r="I36" s="131">
        <f t="shared" si="3"/>
        <v>9.6908127924884499E-2</v>
      </c>
      <c r="J36" s="131">
        <f t="shared" si="2"/>
        <v>2.1196662004210817E-2</v>
      </c>
      <c r="K36" s="132">
        <f t="shared" si="2"/>
        <v>7.4142349555444756E-3</v>
      </c>
    </row>
    <row r="37" spans="1:11" x14ac:dyDescent="0.25">
      <c r="A37" s="7">
        <v>43556</v>
      </c>
      <c r="B37" s="4">
        <v>4.0999999999999996</v>
      </c>
      <c r="C37" s="4">
        <f t="shared" si="0"/>
        <v>1.0409999999999999</v>
      </c>
      <c r="D37">
        <v>37</v>
      </c>
      <c r="F37">
        <f t="shared" si="1"/>
        <v>252.46670329434991</v>
      </c>
      <c r="H37" s="14"/>
    </row>
    <row r="38" spans="1:11" x14ac:dyDescent="0.25">
      <c r="A38" s="7">
        <v>43586</v>
      </c>
      <c r="B38" s="4">
        <v>4.5999999999999996</v>
      </c>
      <c r="C38" s="4">
        <f t="shared" si="0"/>
        <v>1.046</v>
      </c>
      <c r="D38">
        <v>38</v>
      </c>
      <c r="F38">
        <f t="shared" si="1"/>
        <v>264.08017164589</v>
      </c>
      <c r="H38" s="14"/>
    </row>
    <row r="39" spans="1:11" x14ac:dyDescent="0.25">
      <c r="A39" s="7">
        <v>43617</v>
      </c>
      <c r="B39" s="4">
        <v>4.9000000000000004</v>
      </c>
      <c r="C39" s="4">
        <f t="shared" si="0"/>
        <v>1.0490000000000002</v>
      </c>
      <c r="D39">
        <v>39</v>
      </c>
      <c r="F39">
        <f t="shared" si="1"/>
        <v>277.02010005653864</v>
      </c>
      <c r="H39" s="14"/>
    </row>
    <row r="40" spans="1:11" x14ac:dyDescent="0.25">
      <c r="A40" s="7">
        <v>43647</v>
      </c>
      <c r="B40" s="4">
        <v>1.7</v>
      </c>
      <c r="C40" s="4">
        <f t="shared" si="0"/>
        <v>1.0170000000000001</v>
      </c>
      <c r="D40">
        <v>40</v>
      </c>
      <c r="F40">
        <f t="shared" si="1"/>
        <v>281.72944175749984</v>
      </c>
    </row>
    <row r="41" spans="1:11" x14ac:dyDescent="0.25">
      <c r="A41" s="7">
        <v>43678</v>
      </c>
      <c r="B41" s="4">
        <v>0.1</v>
      </c>
      <c r="C41" s="4">
        <f t="shared" si="0"/>
        <v>1.0009999999999999</v>
      </c>
      <c r="D41">
        <v>41</v>
      </c>
      <c r="F41">
        <f t="shared" si="1"/>
        <v>282.01117119925732</v>
      </c>
    </row>
    <row r="42" spans="1:11" x14ac:dyDescent="0.25">
      <c r="A42" s="7">
        <v>43709</v>
      </c>
      <c r="B42" s="4">
        <v>11.2</v>
      </c>
      <c r="C42" s="4">
        <f t="shared" si="0"/>
        <v>1.1120000000000001</v>
      </c>
      <c r="D42">
        <v>42</v>
      </c>
      <c r="F42">
        <f t="shared" si="1"/>
        <v>313.59642237357417</v>
      </c>
    </row>
    <row r="43" spans="1:11" x14ac:dyDescent="0.25">
      <c r="A43" s="7">
        <v>43739</v>
      </c>
      <c r="B43" s="4">
        <v>4.2</v>
      </c>
      <c r="C43" s="4">
        <f t="shared" si="0"/>
        <v>1.042</v>
      </c>
      <c r="D43">
        <v>43</v>
      </c>
      <c r="F43">
        <f t="shared" si="1"/>
        <v>326.76747211326432</v>
      </c>
    </row>
    <row r="44" spans="1:11" x14ac:dyDescent="0.25">
      <c r="A44" s="7">
        <v>43770</v>
      </c>
      <c r="B44" s="4">
        <v>3.6</v>
      </c>
      <c r="C44" s="4">
        <f t="shared" si="0"/>
        <v>1.036</v>
      </c>
      <c r="D44">
        <v>44</v>
      </c>
      <c r="F44">
        <f t="shared" si="1"/>
        <v>338.53110110934182</v>
      </c>
    </row>
    <row r="45" spans="1:11" x14ac:dyDescent="0.25">
      <c r="A45" s="7">
        <v>43800</v>
      </c>
      <c r="B45" s="4">
        <v>5.4</v>
      </c>
      <c r="C45" s="4">
        <f t="shared" si="0"/>
        <v>1.054</v>
      </c>
      <c r="D45">
        <v>45</v>
      </c>
      <c r="F45">
        <f t="shared" si="1"/>
        <v>356.81178056924631</v>
      </c>
    </row>
    <row r="46" spans="1:11" x14ac:dyDescent="0.25">
      <c r="A46" s="7">
        <v>43831</v>
      </c>
      <c r="B46" s="4">
        <v>3.7</v>
      </c>
      <c r="C46" s="4">
        <f t="shared" si="0"/>
        <v>1.0369999999999999</v>
      </c>
      <c r="D46">
        <v>46</v>
      </c>
      <c r="F46">
        <f t="shared" ref="F46" si="4">F45*C46</f>
        <v>370.01381645030841</v>
      </c>
    </row>
    <row r="47" spans="1:11" x14ac:dyDescent="0.25">
      <c r="A47" s="7">
        <v>43862</v>
      </c>
      <c r="B47" s="94">
        <v>1.5</v>
      </c>
      <c r="C47" s="4">
        <f t="shared" si="0"/>
        <v>1.0149999999999999</v>
      </c>
      <c r="F47" s="28"/>
      <c r="G47" s="28"/>
    </row>
    <row r="48" spans="1:11" x14ac:dyDescent="0.25">
      <c r="A48" s="7">
        <v>43891</v>
      </c>
      <c r="F48" s="28"/>
      <c r="G48" s="28"/>
    </row>
    <row r="49" spans="1:7" x14ac:dyDescent="0.25">
      <c r="A49" s="7">
        <v>43922</v>
      </c>
      <c r="F49" s="28"/>
      <c r="G49" s="28"/>
    </row>
    <row r="50" spans="1:7" x14ac:dyDescent="0.25">
      <c r="A50" s="7">
        <v>43952</v>
      </c>
      <c r="F50" s="28"/>
      <c r="G50" s="28"/>
    </row>
  </sheetData>
  <mergeCells count="2">
    <mergeCell ref="L5:N5"/>
    <mergeCell ref="L6:N6"/>
  </mergeCells>
  <hyperlinks>
    <hyperlink ref="I2" r:id="rId1"/>
    <hyperlink ref="I3" r:id="rId2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70811C75-7E0E-45F2-98FA-02D346D312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D9C969-0FA3-4EAC-843D-EA7D3B83B18F}"/>
</file>

<file path=customXml/itemProps3.xml><?xml version="1.0" encoding="utf-8"?>
<ds:datastoreItem xmlns:ds="http://schemas.openxmlformats.org/officeDocument/2006/customXml" ds:itemID="{13DB1179-8238-4C53-9F50-27AB989FF413}">
  <ds:schemaRefs>
    <ds:schemaRef ds:uri="26d89f24-106e-43a9-a9cf-cf74f8d5c05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6b8a941b-237f-42dd-9c8f-864fc7fcbf5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Fórmula de Ajuste</vt:lpstr>
      <vt:lpstr>Hoja1</vt:lpstr>
      <vt:lpstr>Ajuste Tarifario</vt:lpstr>
      <vt:lpstr>Resumen - Suc Sur</vt:lpstr>
      <vt:lpstr>Notas</vt:lpstr>
      <vt:lpstr>1. MO de Maite </vt:lpstr>
      <vt:lpstr>MO</vt:lpstr>
      <vt:lpstr>Combustible</vt:lpstr>
      <vt:lpstr>IPIM</vt:lpstr>
      <vt:lpstr>Evolución de Tarifa</vt:lpstr>
      <vt:lpstr>Tarifas Base</vt:lpstr>
      <vt:lpstr>Certificaciones</vt:lpstr>
      <vt:lpstr>Cálculo de Retroactivos</vt:lpstr>
      <vt:lpstr>Resumen Retroactivos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Picciotti, Juan (CRV)</dc:creator>
  <cp:lastModifiedBy>Picciotti, Juan (CRV)</cp:lastModifiedBy>
  <dcterms:created xsi:type="dcterms:W3CDTF">2019-08-27T13:57:28Z</dcterms:created>
  <dcterms:modified xsi:type="dcterms:W3CDTF">2020-04-30T20:01:28Z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0x010100A006E6E203F0374F9CC3A2648FEFF353</vt:lpwstr>
  </property>
</Properties>
</file>