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com.sharepoint.com/sites/ing_oe/Documentos compartidos/General/Pozos/PAE/Propuesta 2024/Respuesta/"/>
    </mc:Choice>
  </mc:AlternateContent>
  <xr:revisionPtr revIDLastSave="171" documentId="13_ncr:1_{347FDDDD-CD47-4306-9A4B-700E900B3A84}" xr6:coauthVersionLast="47" xr6:coauthVersionMax="47" xr10:uidLastSave="{0A906701-6297-4FAA-BD04-C5827D333525}"/>
  <bookViews>
    <workbookView xWindow="-120" yWindow="-120" windowWidth="29040" windowHeight="15840" tabRatio="645" activeTab="7" xr2:uid="{00000000-000D-0000-FFFF-FFFF00000000}"/>
  </bookViews>
  <sheets>
    <sheet name="Ingreso Info" sheetId="6" r:id="rId1"/>
    <sheet name="Reporte" sheetId="1" state="hidden" r:id="rId2"/>
    <sheet name="Grafico" sheetId="3" state="hidden" r:id="rId3"/>
    <sheet name="Bombeo" sheetId="12" state="hidden" r:id="rId4"/>
    <sheet name="Programa" sheetId="8" r:id="rId5"/>
    <sheet name="Hoja de Carga" sheetId="4" r:id="rId6"/>
    <sheet name="Ticket" sheetId="15" state="hidden" r:id="rId7"/>
    <sheet name="Ticket Privadas" sheetId="16" r:id="rId8"/>
    <sheet name="Ticket 1" sheetId="5" state="hidden" r:id="rId9"/>
    <sheet name="Programa YPF 2" sheetId="10" state="hidden" r:id="rId10"/>
    <sheet name="Ticket 2" sheetId="11" state="hidden" r:id="rId11"/>
  </sheets>
  <externalReferences>
    <externalReference r:id="rId12"/>
    <externalReference r:id="rId13"/>
    <externalReference r:id="rId14"/>
  </externalReferences>
  <definedNames>
    <definedName name="\0" localSheetId="6">'[1]Casing 7" design'!#REF!</definedName>
    <definedName name="\0" localSheetId="7">'[1]Casing 7" design'!#REF!</definedName>
    <definedName name="\0">'[1]Casing 7" design'!#REF!</definedName>
    <definedName name="\h" localSheetId="6">#REF!</definedName>
    <definedName name="\h" localSheetId="7">#REF!</definedName>
    <definedName name="\h">#REF!</definedName>
    <definedName name="\i" localSheetId="6">#REF!</definedName>
    <definedName name="\i" localSheetId="7">#REF!</definedName>
    <definedName name="\i">#REF!</definedName>
    <definedName name="\s" localSheetId="6">#REF!</definedName>
    <definedName name="\s" localSheetId="7">#REF!</definedName>
    <definedName name="\s">#REF!</definedName>
    <definedName name="_xlnm._FilterDatabase" localSheetId="1" hidden="1">Reporte!$A$8:$C$17</definedName>
    <definedName name="_xlnm._FilterDatabase" localSheetId="6" hidden="1">Ticket!$A$1:$A$72</definedName>
    <definedName name="_xlnm._FilterDatabase" localSheetId="7" hidden="1">'Ticket Privadas'!$A$1:$A$74</definedName>
    <definedName name="_MACRO">#N/A</definedName>
    <definedName name="_xlnm.Print_Area" localSheetId="2">Grafico!$A$1:$M$43</definedName>
    <definedName name="_xlnm.Print_Area" localSheetId="5">'Hoja de Carga'!$A$1:$G$41</definedName>
    <definedName name="_xlnm.Print_Area" localSheetId="4">Programa!$A$1:$G$233</definedName>
    <definedName name="_xlnm.Print_Area" localSheetId="9">'Programa YPF 2'!$A$1:$G$145</definedName>
    <definedName name="_xlnm.Print_Area" localSheetId="1">Reporte!$A$1:$F$90</definedName>
    <definedName name="_xlnm.Print_Area" localSheetId="6">Ticket!$B$1:$K$72</definedName>
    <definedName name="_xlnm.Print_Area" localSheetId="8">'Ticket 1'!$A$1:$G$57</definedName>
    <definedName name="_xlnm.Print_Area" localSheetId="10">'Ticket 2'!$A$1:$G$57</definedName>
    <definedName name="_xlnm.Print_Area" localSheetId="7">'Ticket Privadas'!$B$1:$K$72</definedName>
    <definedName name="CARATULA">[2]CARATULA!$A$1:$AP$73</definedName>
    <definedName name="caratuloa.xls">[2]CARATULA!$A$1:$AP$73</definedName>
    <definedName name="csg" localSheetId="6">'[1]Casing 7" design'!#REF!</definedName>
    <definedName name="csg" localSheetId="7">'[1]Casing 7" design'!#REF!</definedName>
    <definedName name="csg">'[1]Casing 7" design'!#REF!</definedName>
    <definedName name="DATA" localSheetId="6">#REF!</definedName>
    <definedName name="DATA" localSheetId="7">#REF!</definedName>
    <definedName name="DATA">#REF!</definedName>
    <definedName name="DIRECCIONAL" localSheetId="6">#REF!</definedName>
    <definedName name="DIRECCIONAL" localSheetId="7">#REF!</definedName>
    <definedName name="DIRECCIONAL">#REF!</definedName>
    <definedName name="HXLOWER" localSheetId="6">#REF!</definedName>
    <definedName name="HXLOWER" localSheetId="7">#REF!</definedName>
    <definedName name="HXLOWER">#REF!</definedName>
    <definedName name="HXUPPER" localSheetId="6">#REF!</definedName>
    <definedName name="HXUPPER" localSheetId="7">#REF!</definedName>
    <definedName name="HXUPPER">#REF!</definedName>
    <definedName name="HYLOWER" localSheetId="6">#REF!</definedName>
    <definedName name="HYLOWER" localSheetId="7">#REF!</definedName>
    <definedName name="HYLOWER">#REF!</definedName>
    <definedName name="HYUPPER" localSheetId="6">#REF!</definedName>
    <definedName name="HYUPPER" localSheetId="7">#REF!</definedName>
    <definedName name="HYUPPER">#REF!</definedName>
    <definedName name="Print_Area_MI">[2]CARATULA!$A$1:$AP$73</definedName>
    <definedName name="PROGRAMA">[3]PROGRAMA!$I$2:$AJ$58,[3]PROGRAMA!$AK$2:$BD$59</definedName>
    <definedName name="REQUISIC">[2]REQUISICION!$A$1:$F$109</definedName>
    <definedName name="requisic.xls">[2]REQUISICION!$A$1:$F$109</definedName>
    <definedName name="TOTAL">[2]TOTAL!$A$1:$G$64</definedName>
    <definedName name="total.xls">[2]TOTAL!$A$1:$G$64</definedName>
    <definedName name="VXLOWER" localSheetId="6">#REF!</definedName>
    <definedName name="VXLOWER" localSheetId="7">#REF!</definedName>
    <definedName name="VXLOWER">#REF!</definedName>
    <definedName name="VXUPPER" localSheetId="6">#REF!</definedName>
    <definedName name="VXUPPER" localSheetId="7">#REF!</definedName>
    <definedName name="VXUPPER">#REF!</definedName>
    <definedName name="VYLOWER" localSheetId="6">#REF!</definedName>
    <definedName name="VYLOWER" localSheetId="7">#REF!</definedName>
    <definedName name="VYLOWER">#REF!</definedName>
    <definedName name="VYUPPER" localSheetId="6">#REF!</definedName>
    <definedName name="VYUPPER" localSheetId="7">#REF!</definedName>
    <definedName name="VYUPP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6" l="1"/>
  <c r="J43" i="6"/>
  <c r="J44" i="6"/>
  <c r="J41" i="6"/>
  <c r="J56" i="16" l="1"/>
  <c r="H23" i="16" l="1"/>
  <c r="H37" i="16" l="1"/>
  <c r="H35" i="16"/>
  <c r="J25" i="16"/>
  <c r="H26" i="16"/>
  <c r="J26" i="16" s="1"/>
  <c r="F45" i="8" l="1"/>
  <c r="B19" i="8" l="1"/>
  <c r="A30" i="4" l="1"/>
  <c r="A29" i="4"/>
  <c r="A28" i="4"/>
  <c r="A27" i="4"/>
  <c r="E29" i="4"/>
  <c r="E28" i="4"/>
  <c r="E27" i="4"/>
  <c r="E26" i="4"/>
  <c r="E30" i="4"/>
  <c r="A24" i="4"/>
  <c r="E16" i="4"/>
  <c r="A25" i="16"/>
  <c r="J16" i="16"/>
  <c r="A16" i="16" s="1"/>
  <c r="J19" i="16"/>
  <c r="A19" i="16" s="1"/>
  <c r="J21" i="16"/>
  <c r="A21" i="16" s="1"/>
  <c r="J22" i="16"/>
  <c r="A22" i="16" s="1"/>
  <c r="J24" i="16"/>
  <c r="A24" i="16" s="1"/>
  <c r="H34" i="16"/>
  <c r="A56" i="16"/>
  <c r="J54" i="16" l="1"/>
  <c r="A54" i="16" s="1"/>
  <c r="J53" i="16"/>
  <c r="A53" i="16" s="1"/>
  <c r="J52" i="16"/>
  <c r="A52" i="16" s="1"/>
  <c r="J51" i="16"/>
  <c r="A51" i="16" s="1"/>
  <c r="J50" i="16"/>
  <c r="A50" i="16" s="1"/>
  <c r="J49" i="16"/>
  <c r="A49" i="16" s="1"/>
  <c r="J48" i="16"/>
  <c r="A48" i="16" s="1"/>
  <c r="J47" i="16"/>
  <c r="A47" i="16" s="1"/>
  <c r="J45" i="16"/>
  <c r="A45" i="16" s="1"/>
  <c r="J44" i="16"/>
  <c r="A44" i="16" s="1"/>
  <c r="J39" i="16"/>
  <c r="A39" i="16" s="1"/>
  <c r="J36" i="16"/>
  <c r="A36" i="16" s="1"/>
  <c r="J34" i="16"/>
  <c r="I29" i="16"/>
  <c r="A26" i="16"/>
  <c r="J15" i="16"/>
  <c r="A15" i="16" s="1"/>
  <c r="J14" i="16"/>
  <c r="E10" i="16"/>
  <c r="E8" i="16"/>
  <c r="E7" i="16"/>
  <c r="E6" i="16"/>
  <c r="E5" i="16"/>
  <c r="A34" i="16" l="1"/>
  <c r="A14" i="16"/>
  <c r="I59" i="16"/>
  <c r="N33" i="6"/>
  <c r="N32" i="6"/>
  <c r="F43" i="6"/>
  <c r="F41" i="6" s="1"/>
  <c r="A8" i="4" s="1"/>
  <c r="F42" i="6" l="1"/>
  <c r="F44" i="6"/>
  <c r="A16" i="4" l="1"/>
  <c r="J37" i="16"/>
  <c r="A37" i="16" s="1"/>
  <c r="J35" i="16"/>
  <c r="A35" i="16" s="1"/>
  <c r="E8" i="4"/>
  <c r="H87" i="6"/>
  <c r="H80" i="6"/>
  <c r="H81" i="6"/>
  <c r="H82" i="6"/>
  <c r="H86" i="6"/>
  <c r="H83" i="6"/>
  <c r="H84" i="6"/>
  <c r="H85" i="6"/>
  <c r="F59" i="8" l="1"/>
  <c r="F57" i="8"/>
  <c r="F55" i="8"/>
  <c r="F53" i="8"/>
  <c r="F51" i="8"/>
  <c r="F49" i="8"/>
  <c r="B59" i="8"/>
  <c r="B55" i="8"/>
  <c r="B57" i="8"/>
  <c r="B51" i="8"/>
  <c r="B53" i="8"/>
  <c r="A59" i="8"/>
  <c r="A55" i="8"/>
  <c r="A57" i="8"/>
  <c r="A51" i="8"/>
  <c r="A53" i="8"/>
  <c r="B14" i="6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35" i="8"/>
  <c r="F136" i="8"/>
  <c r="F134" i="8"/>
  <c r="E28" i="6"/>
  <c r="D28" i="6"/>
  <c r="E27" i="6"/>
  <c r="D27" i="6"/>
  <c r="E26" i="6"/>
  <c r="D26" i="6"/>
  <c r="E25" i="6"/>
  <c r="D25" i="6"/>
  <c r="I99" i="8" s="1"/>
  <c r="I122" i="6"/>
  <c r="H122" i="6"/>
  <c r="D122" i="6"/>
  <c r="C122" i="6"/>
  <c r="I121" i="6"/>
  <c r="H121" i="6"/>
  <c r="D121" i="6"/>
  <c r="C121" i="6"/>
  <c r="I120" i="6"/>
  <c r="H120" i="6"/>
  <c r="D120" i="6"/>
  <c r="C120" i="6"/>
  <c r="I119" i="6"/>
  <c r="H119" i="6"/>
  <c r="D119" i="6"/>
  <c r="C119" i="6"/>
  <c r="I118" i="6"/>
  <c r="H118" i="6"/>
  <c r="D118" i="6"/>
  <c r="C118" i="6"/>
  <c r="I117" i="6"/>
  <c r="H117" i="6"/>
  <c r="D117" i="6"/>
  <c r="C117" i="6"/>
  <c r="I116" i="6"/>
  <c r="H116" i="6"/>
  <c r="D116" i="6"/>
  <c r="C116" i="6"/>
  <c r="I115" i="6"/>
  <c r="H115" i="6"/>
  <c r="D115" i="6"/>
  <c r="C115" i="6"/>
  <c r="I114" i="6"/>
  <c r="H114" i="6"/>
  <c r="D114" i="6"/>
  <c r="A26" i="4" s="1"/>
  <c r="C114" i="6"/>
  <c r="H108" i="6"/>
  <c r="C108" i="6"/>
  <c r="I105" i="6"/>
  <c r="H105" i="6"/>
  <c r="D105" i="6"/>
  <c r="C105" i="6"/>
  <c r="I104" i="6"/>
  <c r="H104" i="6"/>
  <c r="D104" i="6"/>
  <c r="C104" i="6"/>
  <c r="I103" i="6"/>
  <c r="H103" i="6"/>
  <c r="D103" i="6"/>
  <c r="C103" i="6"/>
  <c r="I102" i="6"/>
  <c r="H102" i="6"/>
  <c r="D102" i="6"/>
  <c r="C102" i="6"/>
  <c r="I101" i="6"/>
  <c r="H101" i="6"/>
  <c r="D101" i="6"/>
  <c r="C101" i="6"/>
  <c r="I100" i="6"/>
  <c r="H100" i="6"/>
  <c r="D100" i="6"/>
  <c r="C100" i="6"/>
  <c r="I99" i="6"/>
  <c r="H99" i="6"/>
  <c r="D99" i="6"/>
  <c r="C99" i="6"/>
  <c r="I98" i="6"/>
  <c r="H98" i="6"/>
  <c r="D98" i="6"/>
  <c r="C98" i="6"/>
  <c r="I97" i="6"/>
  <c r="H97" i="6"/>
  <c r="D97" i="6"/>
  <c r="C97" i="6"/>
  <c r="H91" i="6"/>
  <c r="C91" i="6"/>
  <c r="I88" i="6"/>
  <c r="D88" i="6"/>
  <c r="C88" i="6"/>
  <c r="I87" i="6"/>
  <c r="D87" i="6"/>
  <c r="C87" i="6"/>
  <c r="I86" i="6"/>
  <c r="D86" i="6"/>
  <c r="C86" i="6"/>
  <c r="I85" i="6"/>
  <c r="D85" i="6"/>
  <c r="C85" i="6"/>
  <c r="I84" i="6"/>
  <c r="E14" i="4" s="1"/>
  <c r="D84" i="6"/>
  <c r="C84" i="6"/>
  <c r="A14" i="4" s="1"/>
  <c r="I83" i="6"/>
  <c r="E13" i="4" s="1"/>
  <c r="D83" i="6"/>
  <c r="C83" i="6"/>
  <c r="A13" i="4" s="1"/>
  <c r="I82" i="6"/>
  <c r="E12" i="4" s="1"/>
  <c r="D82" i="6"/>
  <c r="C82" i="6"/>
  <c r="I81" i="6"/>
  <c r="E11" i="4" s="1"/>
  <c r="D81" i="6"/>
  <c r="C81" i="6"/>
  <c r="I80" i="6"/>
  <c r="E10" i="4" s="1"/>
  <c r="D80" i="6"/>
  <c r="C80" i="6"/>
  <c r="C70" i="6"/>
  <c r="C155" i="8" s="1"/>
  <c r="C69" i="6"/>
  <c r="C154" i="8" s="1"/>
  <c r="C68" i="6"/>
  <c r="C153" i="8" s="1"/>
  <c r="C67" i="6"/>
  <c r="C152" i="8" s="1"/>
  <c r="C66" i="6"/>
  <c r="C151" i="8" s="1"/>
  <c r="C65" i="6"/>
  <c r="C150" i="8" s="1"/>
  <c r="C64" i="6"/>
  <c r="C149" i="8" s="1"/>
  <c r="C63" i="6"/>
  <c r="C148" i="8" s="1"/>
  <c r="C62" i="6"/>
  <c r="C147" i="8" s="1"/>
  <c r="C61" i="6"/>
  <c r="C146" i="8" s="1"/>
  <c r="C60" i="6"/>
  <c r="C145" i="8" s="1"/>
  <c r="C59" i="6"/>
  <c r="C144" i="8" s="1"/>
  <c r="C58" i="6"/>
  <c r="C143" i="8" s="1"/>
  <c r="C57" i="6"/>
  <c r="C142" i="8" s="1"/>
  <c r="C56" i="6"/>
  <c r="C141" i="8" s="1"/>
  <c r="C55" i="6"/>
  <c r="C140" i="8" s="1"/>
  <c r="C54" i="6"/>
  <c r="C139" i="8" s="1"/>
  <c r="C53" i="6"/>
  <c r="C138" i="8" s="1"/>
  <c r="C52" i="6"/>
  <c r="C137" i="8" s="1"/>
  <c r="C51" i="6"/>
  <c r="C136" i="8" s="1"/>
  <c r="C50" i="6"/>
  <c r="C135" i="8" s="1"/>
  <c r="B11" i="6"/>
  <c r="E9" i="16" s="1"/>
  <c r="A10" i="4" l="1"/>
  <c r="A12" i="4"/>
  <c r="G113" i="6"/>
  <c r="H113" i="6" s="1"/>
  <c r="E25" i="4" s="1"/>
  <c r="A11" i="4"/>
  <c r="E19" i="4"/>
  <c r="E21" i="4"/>
  <c r="A18" i="4"/>
  <c r="A20" i="4"/>
  <c r="A22" i="4"/>
  <c r="E18" i="4"/>
  <c r="E20" i="4"/>
  <c r="E22" i="4"/>
  <c r="A19" i="4"/>
  <c r="A21" i="4"/>
  <c r="H20" i="16"/>
  <c r="J20" i="16" s="1"/>
  <c r="A20" i="16" s="1"/>
  <c r="H18" i="16"/>
  <c r="J18" i="16" s="1"/>
  <c r="A18" i="16" s="1"/>
  <c r="J23" i="16"/>
  <c r="A23" i="16" s="1"/>
  <c r="H17" i="16"/>
  <c r="J17" i="16" s="1"/>
  <c r="G96" i="6"/>
  <c r="H96" i="6" s="1"/>
  <c r="E17" i="4" s="1"/>
  <c r="B91" i="8"/>
  <c r="B113" i="6"/>
  <c r="C113" i="6" s="1"/>
  <c r="A25" i="4" s="1"/>
  <c r="B94" i="8"/>
  <c r="B85" i="8"/>
  <c r="G79" i="6"/>
  <c r="H79" i="6" s="1"/>
  <c r="E9" i="4" s="1"/>
  <c r="B88" i="8"/>
  <c r="B96" i="6"/>
  <c r="C96" i="6" s="1"/>
  <c r="A17" i="4" s="1"/>
  <c r="B79" i="6"/>
  <c r="C79" i="6" s="1"/>
  <c r="A9" i="4" s="1"/>
  <c r="A54" i="15"/>
  <c r="A24" i="15"/>
  <c r="A25" i="15"/>
  <c r="A17" i="16" l="1"/>
  <c r="J28" i="16"/>
  <c r="J29" i="16" s="1"/>
  <c r="I107" i="8"/>
  <c r="J30" i="16" l="1"/>
  <c r="A29" i="16"/>
  <c r="A28" i="16"/>
  <c r="O11" i="6"/>
  <c r="O12" i="6"/>
  <c r="O13" i="6"/>
  <c r="O14" i="6"/>
  <c r="O15" i="6"/>
  <c r="O16" i="6"/>
  <c r="O17" i="6"/>
  <c r="O18" i="6"/>
  <c r="O19" i="6"/>
  <c r="I123" i="8" l="1"/>
  <c r="H53" i="15"/>
  <c r="J42" i="15"/>
  <c r="A42" i="15" s="1"/>
  <c r="J43" i="15"/>
  <c r="A43" i="15" s="1"/>
  <c r="J16" i="15"/>
  <c r="A16" i="15" s="1"/>
  <c r="J17" i="15"/>
  <c r="A17" i="15" s="1"/>
  <c r="J19" i="15"/>
  <c r="A19" i="15" s="1"/>
  <c r="J21" i="15"/>
  <c r="A21" i="15" s="1"/>
  <c r="J22" i="15"/>
  <c r="A22" i="15" s="1"/>
  <c r="J23" i="15"/>
  <c r="A23" i="15" s="1"/>
  <c r="I29" i="15" l="1"/>
  <c r="I57" i="15"/>
  <c r="J53" i="15"/>
  <c r="A53" i="15" s="1"/>
  <c r="A8" i="8"/>
  <c r="A5" i="8"/>
  <c r="I18" i="15" l="1"/>
  <c r="J18" i="15" s="1"/>
  <c r="A18" i="15" s="1"/>
  <c r="F63" i="8"/>
  <c r="E63" i="8"/>
  <c r="Z49" i="6" l="1"/>
  <c r="Z53" i="6" s="1"/>
  <c r="Z51" i="6" l="1"/>
  <c r="Z52" i="6"/>
  <c r="E10" i="15" l="1"/>
  <c r="E8" i="15"/>
  <c r="E7" i="15"/>
  <c r="E6" i="15"/>
  <c r="E5" i="15"/>
  <c r="J26" i="15"/>
  <c r="A26" i="15" s="1"/>
  <c r="J15" i="15"/>
  <c r="A15" i="15" s="1"/>
  <c r="I20" i="15" l="1"/>
  <c r="J20" i="15" s="1"/>
  <c r="A20" i="15" s="1"/>
  <c r="I14" i="15"/>
  <c r="J14" i="15" s="1"/>
  <c r="U7" i="6"/>
  <c r="U16" i="6"/>
  <c r="U17" i="6"/>
  <c r="H46" i="16" s="1"/>
  <c r="J46" i="16" s="1"/>
  <c r="A46" i="16" s="1"/>
  <c r="U21" i="6"/>
  <c r="U22" i="6"/>
  <c r="U28" i="6"/>
  <c r="U31" i="6"/>
  <c r="U36" i="6"/>
  <c r="H44" i="15" s="1"/>
  <c r="J44" i="15" s="1"/>
  <c r="A44" i="15" s="1"/>
  <c r="U37" i="6"/>
  <c r="H46" i="15" s="1"/>
  <c r="J46" i="15" s="1"/>
  <c r="A46" i="15" s="1"/>
  <c r="U39" i="6"/>
  <c r="H48" i="15" s="1"/>
  <c r="J48" i="15" s="1"/>
  <c r="A48" i="15" s="1"/>
  <c r="U40" i="6"/>
  <c r="H52" i="15" s="1"/>
  <c r="J52" i="15" s="1"/>
  <c r="A52" i="15" s="1"/>
  <c r="J28" i="15" l="1"/>
  <c r="J29" i="15" s="1"/>
  <c r="A14" i="15"/>
  <c r="H38" i="15"/>
  <c r="J38" i="15" s="1"/>
  <c r="A38" i="15" s="1"/>
  <c r="H34" i="15"/>
  <c r="J34" i="15" s="1"/>
  <c r="A34" i="15" s="1"/>
  <c r="Q26" i="15"/>
  <c r="S26" i="15" s="1"/>
  <c r="T26" i="15" s="1"/>
  <c r="J30" i="15" l="1"/>
  <c r="A28" i="15"/>
  <c r="A29" i="15"/>
  <c r="I100" i="8" l="1"/>
  <c r="I102" i="8"/>
  <c r="I101" i="8"/>
  <c r="B77" i="8"/>
  <c r="B70" i="8"/>
  <c r="B71" i="6" l="1"/>
  <c r="B32" i="6" s="1"/>
  <c r="A71" i="6"/>
  <c r="B31" i="6" s="1"/>
  <c r="B21" i="8" l="1"/>
  <c r="B156" i="8" l="1"/>
  <c r="A156" i="8"/>
  <c r="C73" i="6" l="1"/>
  <c r="B34" i="6" s="1"/>
  <c r="C72" i="6"/>
  <c r="B33" i="6" s="1"/>
  <c r="D157" i="8" l="1"/>
  <c r="D158" i="8"/>
  <c r="O9" i="6"/>
  <c r="O10" i="6"/>
  <c r="A67" i="8" l="1"/>
  <c r="C174" i="10"/>
  <c r="C175" i="10"/>
  <c r="C176" i="10"/>
  <c r="B175" i="10"/>
  <c r="B176" i="10"/>
  <c r="B174" i="10"/>
  <c r="N88" i="6"/>
  <c r="N90" i="6"/>
  <c r="N103" i="6" l="1"/>
  <c r="N104" i="6" s="1"/>
  <c r="N92" i="6"/>
  <c r="N96" i="6" s="1"/>
  <c r="I118" i="8"/>
  <c r="B66" i="10"/>
  <c r="F60" i="10"/>
  <c r="E60" i="10"/>
  <c r="N50" i="6"/>
  <c r="N48" i="6"/>
  <c r="B13" i="11"/>
  <c r="B140" i="10"/>
  <c r="N51" i="6" l="1"/>
  <c r="N52" i="6" s="1"/>
  <c r="N93" i="6"/>
  <c r="N106" i="6"/>
  <c r="N97" i="6"/>
  <c r="K26" i="5"/>
  <c r="C33" i="5"/>
  <c r="D33" i="5" s="1"/>
  <c r="F33" i="5" s="1"/>
  <c r="C32" i="5"/>
  <c r="D32" i="5" s="1"/>
  <c r="F32" i="5" s="1"/>
  <c r="N53" i="6" l="1"/>
  <c r="N54" i="6" s="1"/>
  <c r="N55" i="6" s="1"/>
  <c r="N109" i="6"/>
  <c r="N107" i="6"/>
  <c r="B103" i="10"/>
  <c r="B136" i="10"/>
  <c r="B134" i="10"/>
  <c r="F22" i="11"/>
  <c r="B132" i="10"/>
  <c r="G14" i="6"/>
  <c r="G13" i="6"/>
  <c r="G12" i="6"/>
  <c r="D31" i="5"/>
  <c r="F31" i="5" s="1"/>
  <c r="K35" i="5"/>
  <c r="K36" i="5"/>
  <c r="D27" i="11"/>
  <c r="I109" i="10" l="1"/>
  <c r="I108" i="10"/>
  <c r="I106" i="10"/>
  <c r="I105" i="10"/>
  <c r="G21" i="6" l="1"/>
  <c r="X24" i="6" s="1"/>
  <c r="AB24" i="6" s="1"/>
  <c r="AA25" i="6" s="1"/>
  <c r="F66" i="10"/>
  <c r="E56" i="10"/>
  <c r="E62" i="10"/>
  <c r="E64" i="10"/>
  <c r="E66" i="10"/>
  <c r="E68" i="10"/>
  <c r="E54" i="10"/>
  <c r="E58" i="10"/>
  <c r="A62" i="10"/>
  <c r="A64" i="10"/>
  <c r="A68" i="10"/>
  <c r="A58" i="10"/>
  <c r="K10" i="6"/>
  <c r="K11" i="6"/>
  <c r="K12" i="6"/>
  <c r="K13" i="6"/>
  <c r="K14" i="6"/>
  <c r="K15" i="6"/>
  <c r="K16" i="6"/>
  <c r="K17" i="6"/>
  <c r="K18" i="6"/>
  <c r="K19" i="6"/>
  <c r="X34" i="6"/>
  <c r="X35" i="6"/>
  <c r="X33" i="6"/>
  <c r="C27" i="5"/>
  <c r="A49" i="8"/>
  <c r="A60" i="10" s="1"/>
  <c r="Y24" i="6" l="1"/>
  <c r="AD24" i="6"/>
  <c r="AC25" i="6" s="1"/>
  <c r="AE25" i="6" s="1"/>
  <c r="AC24" i="6"/>
  <c r="AA24" i="6"/>
  <c r="Z24" i="6"/>
  <c r="Y25" i="6" s="1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C29" i="5"/>
  <c r="E33" i="6"/>
  <c r="A11" i="10"/>
  <c r="F62" i="10"/>
  <c r="B62" i="10"/>
  <c r="F90" i="4"/>
  <c r="F89" i="4"/>
  <c r="B138" i="10"/>
  <c r="AE24" i="6" l="1"/>
  <c r="F23" i="6"/>
  <c r="F24" i="6" s="1"/>
  <c r="F21" i="6"/>
  <c r="B49" i="8" l="1"/>
  <c r="B60" i="10" s="1"/>
  <c r="B89" i="4"/>
  <c r="A86" i="4"/>
  <c r="A85" i="4"/>
  <c r="A84" i="4"/>
  <c r="A83" i="4"/>
  <c r="A82" i="4"/>
  <c r="A81" i="4"/>
  <c r="A36" i="4"/>
  <c r="G6" i="4"/>
  <c r="G52" i="4" s="1"/>
  <c r="C6" i="4"/>
  <c r="C52" i="4" s="1"/>
  <c r="G43" i="4"/>
  <c r="E24" i="4"/>
  <c r="A37" i="4" s="1"/>
  <c r="A35" i="4"/>
  <c r="A33" i="4"/>
  <c r="A34" i="4"/>
  <c r="A32" i="4"/>
  <c r="G2" i="4"/>
  <c r="U27" i="6"/>
  <c r="H50" i="15" l="1"/>
  <c r="J50" i="15" s="1"/>
  <c r="A50" i="15" s="1"/>
  <c r="H55" i="16"/>
  <c r="J55" i="16" s="1"/>
  <c r="A55" i="16" s="1"/>
  <c r="U8" i="6"/>
  <c r="U29" i="6"/>
  <c r="U5" i="6"/>
  <c r="H35" i="15" s="1"/>
  <c r="J35" i="15" s="1"/>
  <c r="A35" i="15" s="1"/>
  <c r="U20" i="6"/>
  <c r="H40" i="16" s="1"/>
  <c r="J40" i="16" s="1"/>
  <c r="A40" i="16" s="1"/>
  <c r="U6" i="6"/>
  <c r="H33" i="15" s="1"/>
  <c r="J33" i="15" s="1"/>
  <c r="A33" i="15" s="1"/>
  <c r="U32" i="6"/>
  <c r="H45" i="15" s="1"/>
  <c r="U9" i="6"/>
  <c r="O4" i="6"/>
  <c r="D29" i="5"/>
  <c r="F29" i="5" s="1"/>
  <c r="F21" i="11"/>
  <c r="K28" i="5"/>
  <c r="K29" i="5"/>
  <c r="K30" i="5"/>
  <c r="K31" i="5"/>
  <c r="K32" i="5"/>
  <c r="K33" i="5"/>
  <c r="K34" i="5"/>
  <c r="K27" i="5"/>
  <c r="F47" i="8"/>
  <c r="F58" i="10" s="1"/>
  <c r="B47" i="8"/>
  <c r="B58" i="10" s="1"/>
  <c r="K23" i="6"/>
  <c r="K24" i="6"/>
  <c r="K25" i="6"/>
  <c r="K26" i="6"/>
  <c r="K27" i="6"/>
  <c r="K28" i="6"/>
  <c r="K29" i="6"/>
  <c r="K22" i="6"/>
  <c r="K4" i="6"/>
  <c r="K5" i="6"/>
  <c r="K6" i="6"/>
  <c r="K7" i="6"/>
  <c r="K8" i="6"/>
  <c r="K9" i="6"/>
  <c r="K21" i="6"/>
  <c r="K3" i="6"/>
  <c r="O24" i="6"/>
  <c r="O25" i="6"/>
  <c r="O23" i="6"/>
  <c r="O7" i="6"/>
  <c r="O6" i="6"/>
  <c r="O8" i="6"/>
  <c r="O5" i="6"/>
  <c r="O3" i="6"/>
  <c r="U12" i="6"/>
  <c r="U15" i="6"/>
  <c r="D27" i="5"/>
  <c r="F27" i="5" s="1"/>
  <c r="B15" i="11"/>
  <c r="F13" i="11"/>
  <c r="B11" i="11"/>
  <c r="G10" i="11"/>
  <c r="B10" i="11"/>
  <c r="G9" i="11"/>
  <c r="F9" i="11"/>
  <c r="B9" i="11"/>
  <c r="B8" i="11"/>
  <c r="B4" i="11"/>
  <c r="A8" i="10"/>
  <c r="B18" i="10"/>
  <c r="B20" i="10"/>
  <c r="B22" i="10"/>
  <c r="B24" i="10"/>
  <c r="B26" i="10"/>
  <c r="B54" i="10"/>
  <c r="B56" i="10"/>
  <c r="G9" i="5"/>
  <c r="F9" i="5"/>
  <c r="B10" i="5"/>
  <c r="E9" i="15"/>
  <c r="F68" i="10"/>
  <c r="F61" i="8"/>
  <c r="F64" i="10" s="1"/>
  <c r="B45" i="8"/>
  <c r="F43" i="8"/>
  <c r="F56" i="10" s="1"/>
  <c r="F41" i="8"/>
  <c r="F54" i="10" s="1"/>
  <c r="B68" i="10"/>
  <c r="B61" i="8"/>
  <c r="B43" i="8"/>
  <c r="B41" i="8"/>
  <c r="B17" i="8"/>
  <c r="B15" i="8"/>
  <c r="B13" i="8"/>
  <c r="B11" i="8"/>
  <c r="F33" i="1"/>
  <c r="E36" i="1" s="1"/>
  <c r="B34" i="1"/>
  <c r="G23" i="5"/>
  <c r="G21" i="5"/>
  <c r="B4" i="5"/>
  <c r="F13" i="5"/>
  <c r="D24" i="5" s="1"/>
  <c r="G24" i="5" s="1"/>
  <c r="G10" i="5"/>
  <c r="B15" i="5"/>
  <c r="B13" i="5"/>
  <c r="B12" i="5"/>
  <c r="B11" i="5"/>
  <c r="B9" i="5"/>
  <c r="B8" i="5"/>
  <c r="F1" i="1"/>
  <c r="F17" i="1"/>
  <c r="F18" i="1"/>
  <c r="F16" i="1"/>
  <c r="F13" i="1"/>
  <c r="F10" i="1"/>
  <c r="F9" i="1"/>
  <c r="F8" i="1"/>
  <c r="B8" i="1"/>
  <c r="B9" i="1"/>
  <c r="B10" i="1"/>
  <c r="B12" i="1"/>
  <c r="E56" i="1"/>
  <c r="F60" i="1"/>
  <c r="F61" i="1"/>
  <c r="F62" i="1"/>
  <c r="B59" i="1"/>
  <c r="C59" i="1" s="1"/>
  <c r="F59" i="1" s="1"/>
  <c r="F87" i="1"/>
  <c r="C87" i="1"/>
  <c r="A87" i="1"/>
  <c r="A33" i="1"/>
  <c r="F74" i="1"/>
  <c r="F48" i="1"/>
  <c r="E20" i="1"/>
  <c r="F20" i="1"/>
  <c r="E24" i="1" s="1"/>
  <c r="A24" i="1"/>
  <c r="A27" i="1"/>
  <c r="E27" i="1"/>
  <c r="B28" i="1"/>
  <c r="D28" i="1"/>
  <c r="A30" i="1"/>
  <c r="E30" i="1"/>
  <c r="I30" i="1"/>
  <c r="A23" i="1" s="1"/>
  <c r="B31" i="1"/>
  <c r="D31" i="1"/>
  <c r="E33" i="1"/>
  <c r="D34" i="1"/>
  <c r="F36" i="1"/>
  <c r="C79" i="1"/>
  <c r="E79" i="1"/>
  <c r="C80" i="1"/>
  <c r="E80" i="1"/>
  <c r="C81" i="1"/>
  <c r="E81" i="1"/>
  <c r="C82" i="1"/>
  <c r="E82" i="1"/>
  <c r="C83" i="1"/>
  <c r="E83" i="1"/>
  <c r="A85" i="1"/>
  <c r="C85" i="1"/>
  <c r="F85" i="1"/>
  <c r="A86" i="1"/>
  <c r="C86" i="1"/>
  <c r="F86" i="1"/>
  <c r="A88" i="1"/>
  <c r="C88" i="1"/>
  <c r="F88" i="1"/>
  <c r="D49" i="1"/>
  <c r="F47" i="1" s="1"/>
  <c r="F49" i="1" s="1"/>
  <c r="H49" i="15" l="1"/>
  <c r="J49" i="15" s="1"/>
  <c r="A49" i="15" s="1"/>
  <c r="H42" i="16"/>
  <c r="J42" i="16" s="1"/>
  <c r="A42" i="16" s="1"/>
  <c r="H40" i="15"/>
  <c r="J40" i="15" s="1"/>
  <c r="A40" i="15" s="1"/>
  <c r="H41" i="16"/>
  <c r="J41" i="16" s="1"/>
  <c r="A41" i="16" s="1"/>
  <c r="H51" i="15"/>
  <c r="J51" i="15" s="1"/>
  <c r="A51" i="15" s="1"/>
  <c r="H38" i="16"/>
  <c r="J38" i="16" s="1"/>
  <c r="A38" i="16" s="1"/>
  <c r="F64" i="1"/>
  <c r="U38" i="6"/>
  <c r="H41" i="15" s="1"/>
  <c r="J41" i="15" s="1"/>
  <c r="A41" i="15" s="1"/>
  <c r="U24" i="6"/>
  <c r="H39" i="15" s="1"/>
  <c r="J39" i="15" s="1"/>
  <c r="A39" i="15" s="1"/>
  <c r="H47" i="15"/>
  <c r="J47" i="15" s="1"/>
  <c r="A47" i="15" s="1"/>
  <c r="U13" i="6"/>
  <c r="H43" i="16" s="1"/>
  <c r="J43" i="16" s="1"/>
  <c r="A43" i="16" s="1"/>
  <c r="U14" i="6"/>
  <c r="D22" i="5"/>
  <c r="G22" i="5" s="1"/>
  <c r="G38" i="5" s="1"/>
  <c r="B64" i="10"/>
  <c r="D75" i="1"/>
  <c r="F73" i="1" s="1"/>
  <c r="F75" i="1" s="1"/>
  <c r="X36" i="6"/>
  <c r="AA33" i="6" s="1"/>
  <c r="D18" i="6"/>
  <c r="G38" i="11"/>
  <c r="B36" i="8"/>
  <c r="B2" i="4"/>
  <c r="B43" i="4" s="1"/>
  <c r="D17" i="6"/>
  <c r="B14" i="5"/>
  <c r="B38" i="10"/>
  <c r="B14" i="11"/>
  <c r="J58" i="16" l="1"/>
  <c r="B37" i="6"/>
  <c r="H37" i="15"/>
  <c r="J37" i="15" s="1"/>
  <c r="A37" i="15" s="1"/>
  <c r="H36" i="15"/>
  <c r="J36" i="15" s="1"/>
  <c r="A36" i="15" s="1"/>
  <c r="D19" i="6"/>
  <c r="B38" i="6" s="1"/>
  <c r="X37" i="6"/>
  <c r="AA35" i="6"/>
  <c r="AA36" i="6" s="1"/>
  <c r="AC35" i="6"/>
  <c r="AA34" i="6"/>
  <c r="J59" i="16" l="1"/>
  <c r="J60" i="16" s="1"/>
  <c r="J62" i="16" s="1"/>
  <c r="J45" i="15"/>
  <c r="N34" i="6"/>
  <c r="N31" i="6"/>
  <c r="D32" i="6" s="1"/>
  <c r="N36" i="6"/>
  <c r="I106" i="8"/>
  <c r="C28" i="5"/>
  <c r="D28" i="5" s="1"/>
  <c r="F28" i="5" s="1"/>
  <c r="I112" i="10"/>
  <c r="I111" i="10"/>
  <c r="F27" i="11"/>
  <c r="F38" i="11" s="1"/>
  <c r="H34" i="6"/>
  <c r="H35" i="6"/>
  <c r="Z36" i="6"/>
  <c r="W43" i="6" s="1"/>
  <c r="H33" i="6" s="1"/>
  <c r="W42" i="6"/>
  <c r="H32" i="6" s="1"/>
  <c r="Z37" i="6"/>
  <c r="AB37" i="6" s="1"/>
  <c r="X41" i="6"/>
  <c r="Z41" i="6" s="1"/>
  <c r="X39" i="6"/>
  <c r="Z39" i="6" s="1"/>
  <c r="X38" i="6"/>
  <c r="I113" i="8" l="1"/>
  <c r="I114" i="8"/>
  <c r="A58" i="16"/>
  <c r="A59" i="16"/>
  <c r="J56" i="15"/>
  <c r="J57" i="15" s="1"/>
  <c r="A45" i="15"/>
  <c r="N35" i="6"/>
  <c r="D30" i="6"/>
  <c r="D35" i="6"/>
  <c r="I114" i="10" s="1"/>
  <c r="I27" i="5"/>
  <c r="W44" i="6"/>
  <c r="Z38" i="6"/>
  <c r="AB38" i="6" s="1"/>
  <c r="X40" i="6" s="1"/>
  <c r="W45" i="6" s="1"/>
  <c r="J58" i="15" l="1"/>
  <c r="J60" i="15" s="1"/>
  <c r="A57" i="15"/>
  <c r="A56" i="15"/>
  <c r="D30" i="5"/>
  <c r="F30" i="5" s="1"/>
  <c r="F3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jsviani</author>
  </authors>
  <commentList>
    <comment ref="M5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jsviani:</t>
        </r>
        <r>
          <rPr>
            <sz val="9"/>
            <color indexed="81"/>
            <rFont val="Tahoma"/>
            <family val="2"/>
          </rPr>
          <t xml:space="preserve">
Sin tener en cuenta la porosidad. Es el volumen del cilindro anular</t>
        </r>
      </text>
    </comment>
    <comment ref="M5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jsviani:</t>
        </r>
        <r>
          <rPr>
            <sz val="9"/>
            <color indexed="81"/>
            <rFont val="Tahoma"/>
            <family val="2"/>
          </rPr>
          <t xml:space="preserve">
Teniendo el cuenta la porosidad. Sin capacidad de casing...</t>
        </r>
      </text>
    </comment>
  </commentList>
</comments>
</file>

<file path=xl/sharedStrings.xml><?xml version="1.0" encoding="utf-8"?>
<sst xmlns="http://schemas.openxmlformats.org/spreadsheetml/2006/main" count="1446" uniqueCount="723">
  <si>
    <t>Yacimiento</t>
  </si>
  <si>
    <t>Pozo</t>
  </si>
  <si>
    <t>D. Tubing</t>
  </si>
  <si>
    <t>Prof. PKR</t>
  </si>
  <si>
    <t>Operación N°</t>
  </si>
  <si>
    <t>Tipo de Tratamiento</t>
  </si>
  <si>
    <t>Fecha</t>
  </si>
  <si>
    <t>Hora de llegada a locacion</t>
  </si>
  <si>
    <t xml:space="preserve">Hora inicio de operación </t>
  </si>
  <si>
    <t>Punzados</t>
  </si>
  <si>
    <t>Hora salida de locación</t>
  </si>
  <si>
    <t>Esp.PUNZADO</t>
  </si>
  <si>
    <t>DETALLE</t>
  </si>
  <si>
    <t xml:space="preserve">Desde </t>
  </si>
  <si>
    <t>Hasta</t>
  </si>
  <si>
    <t>QI=</t>
  </si>
  <si>
    <t xml:space="preserve">PI= </t>
  </si>
  <si>
    <t>QF=</t>
  </si>
  <si>
    <t>PF=</t>
  </si>
  <si>
    <t>PI=</t>
  </si>
  <si>
    <t xml:space="preserve">Costo de la operación </t>
  </si>
  <si>
    <t>Personal</t>
  </si>
  <si>
    <t xml:space="preserve">               Puesto</t>
  </si>
  <si>
    <t>N° Documento</t>
  </si>
  <si>
    <t>Castillo Ysrael</t>
  </si>
  <si>
    <t xml:space="preserve">Equipos </t>
  </si>
  <si>
    <t>DFW</t>
  </si>
  <si>
    <t>N° de interno</t>
  </si>
  <si>
    <t>Unidad</t>
  </si>
  <si>
    <t>LTS</t>
  </si>
  <si>
    <t xml:space="preserve">Reporte de Operaciones </t>
  </si>
  <si>
    <t>Ayudante</t>
  </si>
  <si>
    <t>Patente</t>
  </si>
  <si>
    <t>Total bombeador mas aditivos por litros.</t>
  </si>
  <si>
    <t>Bombeador</t>
  </si>
  <si>
    <t>D. Cañería</t>
  </si>
  <si>
    <t>Tipo de instalación</t>
  </si>
  <si>
    <t xml:space="preserve">Hora de finalización </t>
  </si>
  <si>
    <t>Barrancas</t>
  </si>
  <si>
    <t>Estimulación con equipo Yacimiento Barrancas</t>
  </si>
  <si>
    <t>B-1055</t>
  </si>
  <si>
    <t>IBR-375</t>
  </si>
  <si>
    <t>Total Litros</t>
  </si>
  <si>
    <t xml:space="preserve">U$S. </t>
  </si>
  <si>
    <r>
      <t>Aditivos por Lts. Yac. Barrancas(</t>
    </r>
    <r>
      <rPr>
        <sz val="10"/>
        <color indexed="10"/>
        <rFont val="Berlin Sans FB"/>
        <family val="2"/>
      </rPr>
      <t>U$S 0.63 x Lts</t>
    </r>
    <r>
      <rPr>
        <sz val="10"/>
        <color indexed="8"/>
        <rFont val="Berlin Sans FB"/>
        <family val="2"/>
      </rPr>
      <t xml:space="preserve">) </t>
    </r>
  </si>
  <si>
    <t>B-1133</t>
  </si>
  <si>
    <t>JEG-943</t>
  </si>
  <si>
    <t>MSW-862</t>
  </si>
  <si>
    <t>B-1415</t>
  </si>
  <si>
    <t>Ranger D/C</t>
  </si>
  <si>
    <t>Supervisor</t>
  </si>
  <si>
    <t>Araya Celso</t>
  </si>
  <si>
    <t>Alonso Martin</t>
  </si>
  <si>
    <t>Personal  Operaciones Especiales</t>
  </si>
  <si>
    <t>Nombre</t>
  </si>
  <si>
    <t>Documento</t>
  </si>
  <si>
    <t>Libardi Eduardo</t>
  </si>
  <si>
    <t>Bartolomeo Matias</t>
  </si>
  <si>
    <t>Letunic Juan</t>
  </si>
  <si>
    <t>Santana Oscar</t>
  </si>
  <si>
    <t>Ponce Daniel</t>
  </si>
  <si>
    <t>Vargas Cristian</t>
  </si>
  <si>
    <t>Biliato Marcelo</t>
  </si>
  <si>
    <t>Ollarce Roberto</t>
  </si>
  <si>
    <t>Garcia Victor</t>
  </si>
  <si>
    <t>Casagrande Nicolas</t>
  </si>
  <si>
    <t>Muñoz Oscar</t>
  </si>
  <si>
    <t>Salcedo Javier</t>
  </si>
  <si>
    <t>Chofer Operador</t>
  </si>
  <si>
    <t xml:space="preserve">Chofer  </t>
  </si>
  <si>
    <t>Jefe de Servicio</t>
  </si>
  <si>
    <t>.</t>
  </si>
  <si>
    <t>Vehículos O.E.</t>
  </si>
  <si>
    <t>Capacidad Volumen</t>
  </si>
  <si>
    <t>Interno</t>
  </si>
  <si>
    <t>Base</t>
  </si>
  <si>
    <t xml:space="preserve"> Camión tractor</t>
  </si>
  <si>
    <t>Axor doble eje</t>
  </si>
  <si>
    <t>B-937</t>
  </si>
  <si>
    <t>MZA</t>
  </si>
  <si>
    <t>JVY-796</t>
  </si>
  <si>
    <t>NO</t>
  </si>
  <si>
    <t>Stralis doble eje</t>
  </si>
  <si>
    <t>B-1196</t>
  </si>
  <si>
    <t>KEE-786</t>
  </si>
  <si>
    <t>B-1521</t>
  </si>
  <si>
    <t>NKV-997</t>
  </si>
  <si>
    <t>Stralis simple eje</t>
  </si>
  <si>
    <t>Alquilado</t>
  </si>
  <si>
    <t>LUV -581</t>
  </si>
  <si>
    <t>Camión Chasis Bbor</t>
  </si>
  <si>
    <t>B-1315</t>
  </si>
  <si>
    <t>MZA-MGUE</t>
  </si>
  <si>
    <t>LRL-201</t>
  </si>
  <si>
    <t>8M3</t>
  </si>
  <si>
    <t>TK1-3000Lts</t>
  </si>
  <si>
    <t>TK2-3000Lts</t>
  </si>
  <si>
    <t>TK3-1000Lts</t>
  </si>
  <si>
    <t>TK4-1000Lts</t>
  </si>
  <si>
    <t>Cisternas</t>
  </si>
  <si>
    <t>B-897</t>
  </si>
  <si>
    <t>GDL-331</t>
  </si>
  <si>
    <t>20M3</t>
  </si>
  <si>
    <t>5TK x 4M3 c/u</t>
  </si>
  <si>
    <t>B-1524</t>
  </si>
  <si>
    <t>EOQ-674</t>
  </si>
  <si>
    <t>16M3</t>
  </si>
  <si>
    <t>4TK x 4M3 c/u</t>
  </si>
  <si>
    <t>B-03</t>
  </si>
  <si>
    <t>MGUE</t>
  </si>
  <si>
    <t>UKJ-217</t>
  </si>
  <si>
    <t>12M3 TK metal</t>
  </si>
  <si>
    <t>4M3 TK plast</t>
  </si>
  <si>
    <t>Bombeadores</t>
  </si>
  <si>
    <t>B-828</t>
  </si>
  <si>
    <t>FFT-868</t>
  </si>
  <si>
    <t>TK1-4000Lts</t>
  </si>
  <si>
    <t>TK2-4000Lts</t>
  </si>
  <si>
    <t>TK3-4000Lts</t>
  </si>
  <si>
    <t>TK4-1500Lts</t>
  </si>
  <si>
    <t>TK5-1500Lts</t>
  </si>
  <si>
    <t>12.4M3</t>
  </si>
  <si>
    <t>TK1-2000Lts</t>
  </si>
  <si>
    <t>TK2-2400Lts</t>
  </si>
  <si>
    <t>TK4-4000Lts</t>
  </si>
  <si>
    <t>B-1344</t>
  </si>
  <si>
    <t>JGQ-784</t>
  </si>
  <si>
    <t>…………</t>
  </si>
  <si>
    <t>TK-Desplazamiento</t>
  </si>
  <si>
    <t>Van de medición</t>
  </si>
  <si>
    <t>B-1445</t>
  </si>
  <si>
    <t>MOF-350</t>
  </si>
  <si>
    <t>Camionetas</t>
  </si>
  <si>
    <t>B-1259</t>
  </si>
  <si>
    <t>KPC-536</t>
  </si>
  <si>
    <t>Nicolas</t>
  </si>
  <si>
    <t xml:space="preserve">Ysrael </t>
  </si>
  <si>
    <t>B-1414</t>
  </si>
  <si>
    <t>MSW-860</t>
  </si>
  <si>
    <t>Cisterna</t>
  </si>
  <si>
    <t>Vehículo de Medición</t>
  </si>
  <si>
    <t>Vehículo de Apoyo</t>
  </si>
  <si>
    <t>TQ - 02</t>
  </si>
  <si>
    <t>TQ - 01</t>
  </si>
  <si>
    <t>TQ - 03</t>
  </si>
  <si>
    <t>BND - 03</t>
  </si>
  <si>
    <t>BND - 01</t>
  </si>
  <si>
    <t>BND - 02</t>
  </si>
  <si>
    <t>BND - 04</t>
  </si>
  <si>
    <t>VAN Iveco</t>
  </si>
  <si>
    <t>Preflujo</t>
  </si>
  <si>
    <t>Tratamiento</t>
  </si>
  <si>
    <t>Postflujo</t>
  </si>
  <si>
    <t>Desplazamiento</t>
  </si>
  <si>
    <t>Volumen</t>
  </si>
  <si>
    <t>Producto</t>
  </si>
  <si>
    <t>Sumatoria</t>
  </si>
  <si>
    <t>Bolland:</t>
  </si>
  <si>
    <t>Firma Oper</t>
  </si>
  <si>
    <t>Contratista:</t>
  </si>
  <si>
    <t>Firma Cía</t>
  </si>
  <si>
    <r>
      <t>Se ingresa a locación se verifica pozo cerrado con 0 Kg/cm</t>
    </r>
    <r>
      <rPr>
        <vertAlign val="superscript"/>
        <sz val="10"/>
        <color indexed="12"/>
        <rFont val="Berlin Sans FB"/>
        <family val="2"/>
      </rPr>
      <t>2</t>
    </r>
    <r>
      <rPr>
        <sz val="10"/>
        <color indexed="12"/>
        <rFont val="Berlin Sans FB"/>
        <family val="2"/>
      </rPr>
      <t xml:space="preserve"> en directa y </t>
    </r>
  </si>
  <si>
    <t>0 Kg/cm2 en anular. Se realiza reunión de seguridad.</t>
  </si>
  <si>
    <t>Se cierra pozo, desmonta equipo y acondiciona boca de pozo.</t>
  </si>
  <si>
    <t>Se comunica al insp. de YPF. Se retira a base Bolland</t>
  </si>
  <si>
    <t>Simple</t>
  </si>
  <si>
    <t>B-1109</t>
  </si>
  <si>
    <t>IVY-761</t>
  </si>
  <si>
    <t>Javier</t>
  </si>
  <si>
    <t>Ingeniero</t>
  </si>
  <si>
    <t>Selectivo</t>
  </si>
  <si>
    <t>Prof. MAND</t>
  </si>
  <si>
    <t xml:space="preserve">Fecha: </t>
  </si>
  <si>
    <t>CARGA DE EQUIPOS</t>
  </si>
  <si>
    <t xml:space="preserve">Equipo: </t>
  </si>
  <si>
    <t xml:space="preserve">Tipo de Tratamiento : </t>
  </si>
  <si>
    <t xml:space="preserve">1 = </t>
  </si>
  <si>
    <t xml:space="preserve">2 = </t>
  </si>
  <si>
    <t xml:space="preserve">3 = </t>
  </si>
  <si>
    <t>4 =</t>
  </si>
  <si>
    <t>5 =</t>
  </si>
  <si>
    <t xml:space="preserve">TK-5 = </t>
  </si>
  <si>
    <t xml:space="preserve">TK-6 = </t>
  </si>
  <si>
    <t>SOLICITO :</t>
  </si>
  <si>
    <t>CARGO :</t>
  </si>
  <si>
    <t>Equipo:</t>
  </si>
  <si>
    <t>1 =</t>
  </si>
  <si>
    <t>La Ventana</t>
  </si>
  <si>
    <t>Vizcacheras</t>
  </si>
  <si>
    <t>Ceferino</t>
  </si>
  <si>
    <t>Mantenimiento de Inyección La Ventana</t>
  </si>
  <si>
    <t>U$S</t>
  </si>
  <si>
    <t>Alquiler Tanque Cisterna</t>
  </si>
  <si>
    <t>Estimulación sin equipo Yacimiento Barrancas</t>
  </si>
  <si>
    <t>$</t>
  </si>
  <si>
    <t>Bombeo químico</t>
  </si>
  <si>
    <t>Estimulación con equipo Yacimiento La Ventana</t>
  </si>
  <si>
    <r>
      <t>Aditivos por Lts. Yac. La Ventana (</t>
    </r>
    <r>
      <rPr>
        <sz val="10"/>
        <color indexed="10"/>
        <rFont val="Berlin Sans FB"/>
        <family val="2"/>
      </rPr>
      <t>U$S 0.63 x Lts</t>
    </r>
    <r>
      <rPr>
        <sz val="10"/>
        <color indexed="8"/>
        <rFont val="Berlin Sans FB"/>
        <family val="2"/>
      </rPr>
      <t xml:space="preserve">) </t>
    </r>
  </si>
  <si>
    <t>Sales Orgánicas</t>
  </si>
  <si>
    <t xml:space="preserve">Servicio de Bombeo en un radio de 50 km </t>
  </si>
  <si>
    <t xml:space="preserve">Servicio de Cisterna en un radio de 50 km </t>
  </si>
  <si>
    <t>Exedente Km</t>
  </si>
  <si>
    <t xml:space="preserve">Quimico Sales Organicas </t>
  </si>
  <si>
    <t xml:space="preserve">Surfactante </t>
  </si>
  <si>
    <t xml:space="preserve">Solvente </t>
  </si>
  <si>
    <t>Lts</t>
  </si>
  <si>
    <t>Kgs</t>
  </si>
  <si>
    <t>U$S/Kg</t>
  </si>
  <si>
    <t>Establizador de Arcillas</t>
  </si>
  <si>
    <t>Total</t>
  </si>
  <si>
    <t>Cía. Contratista:</t>
  </si>
  <si>
    <t>Bolland y Cía.</t>
  </si>
  <si>
    <t>Firma Inspector :</t>
  </si>
  <si>
    <t>Firma Operador :</t>
  </si>
  <si>
    <t>TOTAL</t>
  </si>
  <si>
    <t xml:space="preserve">Productos </t>
  </si>
  <si>
    <t>KM Exedente Norte</t>
  </si>
  <si>
    <t>P-Unit</t>
  </si>
  <si>
    <t>Cantidad</t>
  </si>
  <si>
    <t>Equipo</t>
  </si>
  <si>
    <t xml:space="preserve">KM a pozo </t>
  </si>
  <si>
    <t>Esp. Punzado</t>
  </si>
  <si>
    <t>Mts</t>
  </si>
  <si>
    <t>Yacimientos</t>
  </si>
  <si>
    <t>Río Colorado</t>
  </si>
  <si>
    <t>Tipo de Instalación</t>
  </si>
  <si>
    <t>Selectiva</t>
  </si>
  <si>
    <t>Bombeo Químico</t>
  </si>
  <si>
    <t>D Cañería</t>
  </si>
  <si>
    <t>D Tubing</t>
  </si>
  <si>
    <t>-</t>
  </si>
  <si>
    <t>Número de Parte</t>
  </si>
  <si>
    <t>Datos Generales</t>
  </si>
  <si>
    <t>Tanque 1</t>
  </si>
  <si>
    <t>Tanque 2</t>
  </si>
  <si>
    <t>Tanque 3</t>
  </si>
  <si>
    <t>Tanque 4</t>
  </si>
  <si>
    <t>Tanque 5</t>
  </si>
  <si>
    <t>Tanque 6</t>
  </si>
  <si>
    <t>Denominación</t>
  </si>
  <si>
    <t>%</t>
  </si>
  <si>
    <t>lts</t>
  </si>
  <si>
    <t>Agua</t>
  </si>
  <si>
    <t>Kilometraje</t>
  </si>
  <si>
    <t>Surfactante</t>
  </si>
  <si>
    <t>Solvente</t>
  </si>
  <si>
    <t>Inhibidor de arcillas</t>
  </si>
  <si>
    <t>Servicios</t>
  </si>
  <si>
    <t>Dispersante</t>
  </si>
  <si>
    <t>Desincrustante</t>
  </si>
  <si>
    <t>Bactericida</t>
  </si>
  <si>
    <t>Se monta equipos y prueban líneas con 4000 psi.</t>
  </si>
  <si>
    <t>Nota: Se contacta nivel de pozo bombeados 5500 lts (1821 mts).</t>
  </si>
  <si>
    <r>
      <t xml:space="preserve">Bolland y Cía. S.A. Tte. Gral. J. D. Perón 925 – 6° Piso C1038AAS Buenos Aires, Argentina
Tel/Fax: 4320-7500
</t>
    </r>
    <r>
      <rPr>
        <sz val="10"/>
        <color indexed="56"/>
        <rFont val="Arial"/>
        <family val="2"/>
      </rPr>
      <t>www.bolland.com.ar</t>
    </r>
    <r>
      <rPr>
        <sz val="10"/>
        <rFont val="Arial"/>
        <family val="2"/>
      </rPr>
      <t xml:space="preserve">
</t>
    </r>
  </si>
  <si>
    <t>Pozo:</t>
  </si>
  <si>
    <t>Yacimiento:</t>
  </si>
  <si>
    <t>Punzados:</t>
  </si>
  <si>
    <t>Formación:</t>
  </si>
  <si>
    <t>Formación</t>
  </si>
  <si>
    <t>Mendoza</t>
  </si>
  <si>
    <t>Casing:</t>
  </si>
  <si>
    <t>Tubing:</t>
  </si>
  <si>
    <t>Fondo:</t>
  </si>
  <si>
    <t>Tipo de pozo:</t>
  </si>
  <si>
    <t>Prof de Ancla:</t>
  </si>
  <si>
    <t>Espesor de punzados:</t>
  </si>
  <si>
    <t>Presión máx de trabajo:</t>
  </si>
  <si>
    <t>Tipo de pozo</t>
  </si>
  <si>
    <t>Inyector</t>
  </si>
  <si>
    <t>Productor</t>
  </si>
  <si>
    <t>Secuencia Operativa</t>
  </si>
  <si>
    <t xml:space="preserve">          Informar a tele supervisión entrada y salida del pozo.</t>
  </si>
  <si>
    <t xml:space="preserve">          Llegar a locación, solicitar autorización al Supervisor de zona, recibir instalaciones consignadas.</t>
  </si>
  <si>
    <t xml:space="preserve">          Ubicar equipos según procedimientos de trabajo.</t>
  </si>
  <si>
    <t xml:space="preserve">          Montar líneas de alta y baja presión.</t>
  </si>
  <si>
    <t xml:space="preserve">         Realizar reunión de seguridad, operativa, chequear profundidades y volúmenes, en presencia del Supervisor de producción.</t>
  </si>
  <si>
    <t xml:space="preserve">          Probar líneas con 20% sobre presión estimada de trabajo.</t>
  </si>
  <si>
    <t xml:space="preserve">          Comenzar bombeo de producto.</t>
  </si>
  <si>
    <t>Secuencia de Bombeo</t>
  </si>
  <si>
    <t>A-</t>
  </si>
  <si>
    <t>B-</t>
  </si>
  <si>
    <t>C-</t>
  </si>
  <si>
    <t>D-</t>
  </si>
  <si>
    <t>E-</t>
  </si>
  <si>
    <t>Chequear caída de presión durante 15 min.</t>
  </si>
  <si>
    <t>Zona</t>
  </si>
  <si>
    <t>Mendoza Norte</t>
  </si>
  <si>
    <t>Tipo de Pozo</t>
  </si>
  <si>
    <t>Cerrar Pozo y dejar en reposo durante 8 horas.</t>
  </si>
  <si>
    <t>Desmontar equipos y dejar locación en condiciones</t>
  </si>
  <si>
    <t>Aditivos Adicional</t>
  </si>
  <si>
    <t>F-</t>
  </si>
  <si>
    <t>Dispersante 2 etapa</t>
  </si>
  <si>
    <t>Productos</t>
  </si>
  <si>
    <t>Dispersantes</t>
  </si>
  <si>
    <t>Inhibidores de Corrosión</t>
  </si>
  <si>
    <t>Inhibidores de Arcilla</t>
  </si>
  <si>
    <t>KCl</t>
  </si>
  <si>
    <t>#/ft</t>
  </si>
  <si>
    <t>D interno</t>
  </si>
  <si>
    <t>Lts/mtr</t>
  </si>
  <si>
    <t>Piedras Coloradas</t>
  </si>
  <si>
    <t>Ugarteche</t>
  </si>
  <si>
    <t>Cantidad de KCl a cobrar</t>
  </si>
  <si>
    <t>Sales Orgánicas + ClX</t>
  </si>
  <si>
    <t>Chequear profundidad de htas y punzados con supervisor de YPF.</t>
  </si>
  <si>
    <t xml:space="preserve">No superar la presión de trabajo estimada durante el bombeo. </t>
  </si>
  <si>
    <t>La operación se debe realizar en presencia del Supervisor de producción.</t>
  </si>
  <si>
    <t>Lunlunta Carrizal</t>
  </si>
  <si>
    <t>Agua Tratada</t>
  </si>
  <si>
    <t>Vacio</t>
  </si>
  <si>
    <t xml:space="preserve">Agua </t>
  </si>
  <si>
    <t>Capacidad</t>
  </si>
  <si>
    <t>Prod</t>
  </si>
  <si>
    <t>Disp</t>
  </si>
  <si>
    <t>BX</t>
  </si>
  <si>
    <t>DS-10</t>
  </si>
  <si>
    <t>DS-15</t>
  </si>
  <si>
    <t>DS</t>
  </si>
  <si>
    <t/>
  </si>
  <si>
    <t>Javier Salcedo</t>
  </si>
  <si>
    <t>TK3 =</t>
  </si>
  <si>
    <t>2 =</t>
  </si>
  <si>
    <t>TK4 =</t>
  </si>
  <si>
    <t>Grad Temp</t>
  </si>
  <si>
    <t>Grad Frac</t>
  </si>
  <si>
    <t>Max P Fondo</t>
  </si>
  <si>
    <t>Max P Sup</t>
  </si>
  <si>
    <t>FECHA:</t>
  </si>
  <si>
    <t>Equipos:</t>
  </si>
  <si>
    <t>POZO:</t>
  </si>
  <si>
    <t>Supervisor:</t>
  </si>
  <si>
    <t>OPERACION:</t>
  </si>
  <si>
    <t>Operador:</t>
  </si>
  <si>
    <t>SEGUIMIENTO VALORES REALES</t>
  </si>
  <si>
    <t>ETAPA 1:</t>
  </si>
  <si>
    <t>PREPARACION</t>
  </si>
  <si>
    <t>BOMBEO</t>
  </si>
  <si>
    <t>ETAPA 2:</t>
  </si>
  <si>
    <t>ETAPA 3:</t>
  </si>
  <si>
    <t>ETAPA 4:</t>
  </si>
  <si>
    <t>ETAPA 5:</t>
  </si>
  <si>
    <t>Observaciones:</t>
  </si>
  <si>
    <t>Estructura Cruz de Piedra</t>
  </si>
  <si>
    <t>Punzados abiertos</t>
  </si>
  <si>
    <t>TK1 = 8000 lts Agua + KCl</t>
  </si>
  <si>
    <t>1 = 8000 Lts de Agua</t>
  </si>
  <si>
    <t xml:space="preserve">TK2 = </t>
  </si>
  <si>
    <t>2 = 200 kgs de KCl ( 8 bls)</t>
  </si>
  <si>
    <t>Prof. MAND 2</t>
  </si>
  <si>
    <t>Prof. MAND 1</t>
  </si>
  <si>
    <t>Despl M2</t>
  </si>
  <si>
    <t>Despl M1</t>
  </si>
  <si>
    <t>Despl Punz</t>
  </si>
  <si>
    <t>Mandril 1:</t>
  </si>
  <si>
    <t>Mandril 2:</t>
  </si>
  <si>
    <t>Acotaciones</t>
  </si>
  <si>
    <t>Mandril 1</t>
  </si>
  <si>
    <t>Mandril 2</t>
  </si>
  <si>
    <t>Mandril 1 y 2</t>
  </si>
  <si>
    <t>AIB</t>
  </si>
  <si>
    <t>Anular</t>
  </si>
  <si>
    <t>Anular Punz</t>
  </si>
  <si>
    <t>Finos</t>
  </si>
  <si>
    <t>Recommended Concentration of Benzoic Acid</t>
  </si>
  <si>
    <t>Hole</t>
  </si>
  <si>
    <t>Abierto</t>
  </si>
  <si>
    <t>Abierto Fracturado</t>
  </si>
  <si>
    <t>Con CSG</t>
  </si>
  <si>
    <t>SBHT</t>
  </si>
  <si>
    <t>lbs./ft/in</t>
  </si>
  <si>
    <t>lbs./gal</t>
  </si>
  <si>
    <t>Below 200°F(93°C)</t>
  </si>
  <si>
    <t>200°F to  250°F(121°C)</t>
  </si>
  <si>
    <t>250°F to  350°F(177°C)</t>
  </si>
  <si>
    <t>Ácido Benzoico</t>
  </si>
  <si>
    <t>Cloruro de Sodio</t>
  </si>
  <si>
    <t>Cloruro de sodio</t>
  </si>
  <si>
    <t>lbs/gal a agregar para divergente, no para saturar</t>
  </si>
  <si>
    <t xml:space="preserve">Cloruro de sodio </t>
  </si>
  <si>
    <t>lbs para saturar 42 gal de agua</t>
  </si>
  <si>
    <t>Gal de agua</t>
  </si>
  <si>
    <t>para preparar 42 gal de salmuera saturada</t>
  </si>
  <si>
    <t>DATOS</t>
  </si>
  <si>
    <t>RESULTADOS</t>
  </si>
  <si>
    <t>Ácido Benzoico necesario</t>
  </si>
  <si>
    <t xml:space="preserve">Lbs </t>
  </si>
  <si>
    <t>Volumen de Gel necesario</t>
  </si>
  <si>
    <t>bbls</t>
  </si>
  <si>
    <t>Tratamiento.</t>
  </si>
  <si>
    <t>Cloro X.</t>
  </si>
  <si>
    <t>Tipo de Div:</t>
  </si>
  <si>
    <t>Tipo de Pozo:</t>
  </si>
  <si>
    <t>Metros de div:</t>
  </si>
  <si>
    <t>Diámetro int:</t>
  </si>
  <si>
    <t>gal</t>
  </si>
  <si>
    <t>Material Divergente</t>
  </si>
  <si>
    <t>Tipo pozo</t>
  </si>
  <si>
    <t>Longitud divergente</t>
  </si>
  <si>
    <t>Dividir el divergente en</t>
  </si>
  <si>
    <t>Vol de Agua</t>
  </si>
  <si>
    <t>ClNa p saturar</t>
  </si>
  <si>
    <t xml:space="preserve">lbs </t>
  </si>
  <si>
    <t>kgs</t>
  </si>
  <si>
    <t>Cantidad de PBD-200</t>
  </si>
  <si>
    <t>Vol de Divergente</t>
  </si>
  <si>
    <t>lts cada 1000 litros</t>
  </si>
  <si>
    <t>ClNa p agregar</t>
  </si>
  <si>
    <t>lbs</t>
  </si>
  <si>
    <t>Vol PDB-200</t>
  </si>
  <si>
    <t>G-</t>
  </si>
  <si>
    <t>H-</t>
  </si>
  <si>
    <t>1000 lts de Preflujo.</t>
  </si>
  <si>
    <t>I-</t>
  </si>
  <si>
    <t>Desplazar con 7260 lts. de agua de Inyección.</t>
  </si>
  <si>
    <t>5000 lts. de Cloro X.</t>
  </si>
  <si>
    <t>Anular admisión bomba</t>
  </si>
  <si>
    <t>Prof admisión de bomba:</t>
  </si>
  <si>
    <t>B electrosumergible</t>
  </si>
  <si>
    <t>Eduado Libardi</t>
  </si>
  <si>
    <t>Ysrael Castillo</t>
  </si>
  <si>
    <t>Victor García</t>
  </si>
  <si>
    <t>Nicolás Casagrande</t>
  </si>
  <si>
    <t>Cañada Dura</t>
  </si>
  <si>
    <t>Río Tunuyán</t>
  </si>
  <si>
    <t>Finos, Parafinas y Asfaltenos</t>
  </si>
  <si>
    <t>RT-10</t>
  </si>
  <si>
    <t>Desemulsionante</t>
  </si>
  <si>
    <t>Tapón:</t>
  </si>
  <si>
    <t>Relleno:</t>
  </si>
  <si>
    <t>Datos de inyección</t>
  </si>
  <si>
    <t>Caudal Minero:</t>
  </si>
  <si>
    <t>Caudal de Inyección</t>
  </si>
  <si>
    <t>Presión de Inyección:</t>
  </si>
  <si>
    <t>Cupla tapón:</t>
  </si>
  <si>
    <t>Prof Punta lisa:</t>
  </si>
  <si>
    <t>Tratamiento en conjunto</t>
  </si>
  <si>
    <t>Si</t>
  </si>
  <si>
    <t>No</t>
  </si>
  <si>
    <t>Colchón separador</t>
  </si>
  <si>
    <t>Secuestrante de Hierro</t>
  </si>
  <si>
    <t>Agüado Daniel</t>
  </si>
  <si>
    <t>Satélite N°:</t>
  </si>
  <si>
    <t>Cerrar Pozo y dejar en reposo durante 4 horas.</t>
  </si>
  <si>
    <t>Propiedades de la formación</t>
  </si>
  <si>
    <t>Porosidad:</t>
  </si>
  <si>
    <t>pies</t>
  </si>
  <si>
    <t>Diámetro de penetración deseado</t>
  </si>
  <si>
    <t>metros</t>
  </si>
  <si>
    <t>Volumen Necesario:</t>
  </si>
  <si>
    <t>m3/metro</t>
  </si>
  <si>
    <t>Litros/metro</t>
  </si>
  <si>
    <t>Diametro del pozo</t>
  </si>
  <si>
    <t>pulg</t>
  </si>
  <si>
    <t>Chañares Herrados</t>
  </si>
  <si>
    <t>Campo Durán</t>
  </si>
  <si>
    <t>Despl Admisión Bomba</t>
  </si>
  <si>
    <t>Directa</t>
  </si>
  <si>
    <t>PetroTrans</t>
  </si>
  <si>
    <t>Pesca:</t>
  </si>
  <si>
    <t>Cervera Guillermo</t>
  </si>
  <si>
    <t>B-1552</t>
  </si>
  <si>
    <t>OKT-272</t>
  </si>
  <si>
    <t>VIctor</t>
  </si>
  <si>
    <t>Eduardo</t>
  </si>
  <si>
    <t>B-1536</t>
  </si>
  <si>
    <t>OEK-101</t>
  </si>
  <si>
    <t>Reposo</t>
  </si>
  <si>
    <t>Seguimiento últimos controles</t>
  </si>
  <si>
    <t>Nivel estático</t>
  </si>
  <si>
    <t>Vol NE anular</t>
  </si>
  <si>
    <t>Vol NE directa</t>
  </si>
  <si>
    <t>Exceso despl</t>
  </si>
  <si>
    <t>Seniuk Fernando</t>
  </si>
  <si>
    <t>Coordinador de SySO</t>
  </si>
  <si>
    <t>Diego Vazquez</t>
  </si>
  <si>
    <t>VEEDOR:</t>
  </si>
  <si>
    <t>Cervera, Guillermo</t>
  </si>
  <si>
    <t>Vazquez Diego</t>
  </si>
  <si>
    <t>B-1588</t>
  </si>
  <si>
    <t>BND - 05</t>
  </si>
  <si>
    <t>OWQ-358</t>
  </si>
  <si>
    <t>Cálculo del volumen de tratamiento considerando Q crítico</t>
  </si>
  <si>
    <t>1-</t>
  </si>
  <si>
    <t>2-</t>
  </si>
  <si>
    <t>Pasos a seguir:</t>
  </si>
  <si>
    <t>De 1 despejo el R de penetración y lo calculo con el volumen del tratamiento</t>
  </si>
  <si>
    <t>Con los datos de producción averiguo el Qcrítivo (donde el pozo se detuvo) y con 2 averiguo la velocidad crítica</t>
  </si>
  <si>
    <t>Cuando voy a realizar un nuevo tratamiento</t>
  </si>
  <si>
    <t>Supongo un volumen del tratamiento</t>
  </si>
  <si>
    <t>De la ecuación 1 despejo y calculo el R de penetración nuevo</t>
  </si>
  <si>
    <t>De la acuación de Vel crítica despejo el nuevo Q crítico</t>
  </si>
  <si>
    <t>3-</t>
  </si>
  <si>
    <t>Del tratamiento Anterior</t>
  </si>
  <si>
    <t>Volumen Tratamiento:</t>
  </si>
  <si>
    <t>m3</t>
  </si>
  <si>
    <t>pulgadas</t>
  </si>
  <si>
    <t>Radio del pozo:</t>
  </si>
  <si>
    <t>Radio de penetración:</t>
  </si>
  <si>
    <t>Q critico</t>
  </si>
  <si>
    <t>m3/día</t>
  </si>
  <si>
    <t>m/día</t>
  </si>
  <si>
    <t>cm/seg</t>
  </si>
  <si>
    <t>Velocidad critica:</t>
  </si>
  <si>
    <t>Para el Nuevo Tratamiento</t>
  </si>
  <si>
    <t>Volumen Nuevo Trat:</t>
  </si>
  <si>
    <t>Nuevo Radio de Penetración</t>
  </si>
  <si>
    <t>Nuevo Caudal Critico</t>
  </si>
  <si>
    <t>m3/dia</t>
  </si>
  <si>
    <t>Últimos Tratamientos</t>
  </si>
  <si>
    <t>Tipo de operación</t>
  </si>
  <si>
    <t>CloroX</t>
  </si>
  <si>
    <t>Tipo de Operación</t>
  </si>
  <si>
    <t>Punta de Las Bardas</t>
  </si>
  <si>
    <t>Dos Puntitas</t>
  </si>
  <si>
    <t>Palmar Largo</t>
  </si>
  <si>
    <t>Información General del Pozo</t>
  </si>
  <si>
    <t>Notas Aclaratorias:</t>
  </si>
  <si>
    <t>Planilla de Precios de Productos y Servicios</t>
  </si>
  <si>
    <t>Ubicar equipos según procedimientos de trabajo.</t>
  </si>
  <si>
    <t>Montar líneas de alta y mangueras de baja presión.</t>
  </si>
  <si>
    <t>Probar líneas con 20% sobre presión estimada de trabajo.</t>
  </si>
  <si>
    <t>Comenzar bombeo de producto.</t>
  </si>
  <si>
    <t>Estructura Intermedia</t>
  </si>
  <si>
    <t>Stand By de cisterna, por día</t>
  </si>
  <si>
    <t>Total Servicios</t>
  </si>
  <si>
    <t>Descuento</t>
  </si>
  <si>
    <t>Total Productos</t>
  </si>
  <si>
    <t>Puesto Pozo Cercado</t>
  </si>
  <si>
    <t>Limpieza de cañería</t>
  </si>
  <si>
    <t>Dejar pozo cerrado durante el reposo.</t>
  </si>
  <si>
    <t>Circular pozo con agua hasta asegurar retorno.</t>
  </si>
  <si>
    <t>SubTotal Productos</t>
  </si>
  <si>
    <t>SubTotal Servicios</t>
  </si>
  <si>
    <t>Novoc® DS3500</t>
  </si>
  <si>
    <t>IAB7500</t>
  </si>
  <si>
    <t>TOTAL Servicios + Productos</t>
  </si>
  <si>
    <t>Zapato:</t>
  </si>
  <si>
    <t>Zapato</t>
  </si>
  <si>
    <t>Cajón de los Caballos</t>
  </si>
  <si>
    <t>Solvente de Asfaltenos y Parafinas, por litro.</t>
  </si>
  <si>
    <t>Inhibidor de Asfaltenos y Parafinas, por litro.</t>
  </si>
  <si>
    <t>Desemulsionante, por litro.</t>
  </si>
  <si>
    <t>Bactericida, por litro.</t>
  </si>
  <si>
    <t>Regulador de pH, por litro.</t>
  </si>
  <si>
    <t>Divergente Químico, por litro.</t>
  </si>
  <si>
    <t>Inhibidor de Corrosión, por litro.</t>
  </si>
  <si>
    <t>Surfactante, por litro.</t>
  </si>
  <si>
    <t>Solvente Mutual, por litro.</t>
  </si>
  <si>
    <t>Solución de Novoc® DS3500 (fuerza ácida equivalente a una solución de HCl al 15% p/p), por litro.</t>
  </si>
  <si>
    <t>Solución de Novoc® DS3700 (fuerza ácida equivalente a una solución de HCl al 15% p/p), por litro.</t>
  </si>
  <si>
    <t>Solución Ácida base DS561 (fuerza ácida HCl al 15% p/p), por litro.</t>
  </si>
  <si>
    <t>Gas-Oil, por litro.</t>
  </si>
  <si>
    <t>Tapón y Packer</t>
  </si>
  <si>
    <t>Estimulación matricial</t>
  </si>
  <si>
    <t>Packer:</t>
  </si>
  <si>
    <t>Paquetes de Punzados</t>
  </si>
  <si>
    <t>Desde</t>
  </si>
  <si>
    <t>Metros punz</t>
  </si>
  <si>
    <t>Admite?</t>
  </si>
  <si>
    <t>Punzados totales:</t>
  </si>
  <si>
    <t>Punzados abiertos:</t>
  </si>
  <si>
    <t>Vol Tratamiento</t>
  </si>
  <si>
    <t xml:space="preserve">Litros </t>
  </si>
  <si>
    <t>Realizar prueba de inyección con agua para asegurar correcta admisión y fijado de tapón y packer.</t>
  </si>
  <si>
    <t>Cerrar pozo y dejar en reposo durante 2 horas</t>
  </si>
  <si>
    <t>Punzados a Estimular:</t>
  </si>
  <si>
    <t>Consideraciones de Seguridad e Higiene</t>
  </si>
  <si>
    <t>Cumplir con los requerimientos establecidos el procedimiento de trabajo de la Cía.</t>
  </si>
  <si>
    <t>Verificar buen estado y uso adecuado de los EPP de acuerdo a los riesgos específicos de la tarea.</t>
  </si>
  <si>
    <t>Verificar estado y ubicación de los elementos para contingencias.</t>
  </si>
  <si>
    <t>Determinar roles ante una contingencia.</t>
  </si>
  <si>
    <t xml:space="preserve">Al finalizar la operación, dejar la zona de trabajo en perfecto estado de orden y limpieza ídem a las condiciones de inicio. </t>
  </si>
  <si>
    <t>Tratamiento sugerido:</t>
  </si>
  <si>
    <t>QI530</t>
  </si>
  <si>
    <t>DPB250</t>
  </si>
  <si>
    <t>DPB350</t>
  </si>
  <si>
    <t>SB28</t>
  </si>
  <si>
    <t>SB27</t>
  </si>
  <si>
    <t>SB19</t>
  </si>
  <si>
    <t>CY2005</t>
  </si>
  <si>
    <t>CY51W</t>
  </si>
  <si>
    <t>CY55W</t>
  </si>
  <si>
    <t>Desplazar con 2000 lts de Agua + KCl.</t>
  </si>
  <si>
    <t>SB53</t>
  </si>
  <si>
    <t>Solicitado por:</t>
  </si>
  <si>
    <t>Repetir los puntos A; B; C; D; E y luego A; B; C y D.</t>
  </si>
  <si>
    <t>Cantidad de PDB200</t>
  </si>
  <si>
    <t>Novoc DS3500</t>
  </si>
  <si>
    <t>Novoc DS3700</t>
  </si>
  <si>
    <t>Solvente Mutual</t>
  </si>
  <si>
    <t>Inhibidor de Corrosión</t>
  </si>
  <si>
    <t>Cloruro de Potasio</t>
  </si>
  <si>
    <t>Bifloruro de Amonio</t>
  </si>
  <si>
    <t>QI421 Bifloruro de Amonio (BF)</t>
  </si>
  <si>
    <t>HCl 32%</t>
  </si>
  <si>
    <t>Bx256</t>
  </si>
  <si>
    <t>KPF28</t>
  </si>
  <si>
    <t>Fluido Packer</t>
  </si>
  <si>
    <t>PHB300</t>
  </si>
  <si>
    <t>Regulador de PH</t>
  </si>
  <si>
    <t>Gas-Oil</t>
  </si>
  <si>
    <t>DS704</t>
  </si>
  <si>
    <t>DS1250</t>
  </si>
  <si>
    <t>Desincrustante de Sulfato de Bario</t>
  </si>
  <si>
    <t>Desincrustante de Sulfato de Calcio</t>
  </si>
  <si>
    <t>IPB500</t>
  </si>
  <si>
    <t>Inhibidor de Parafinas y Asfaltenos</t>
  </si>
  <si>
    <t>Planilla de Servicios y Productos</t>
  </si>
  <si>
    <t>Cantidades de aditivos para prerarar 1000 lts</t>
  </si>
  <si>
    <t>Para:</t>
  </si>
  <si>
    <t>Soda Caústica</t>
  </si>
  <si>
    <t>Soda Ash</t>
  </si>
  <si>
    <t>Proseguir con el programa de reparación.</t>
  </si>
  <si>
    <t>Traslado y montaje de pileta, por km.</t>
  </si>
  <si>
    <t>Estabilizador de arcilla, por litro</t>
  </si>
  <si>
    <t>ITEM</t>
  </si>
  <si>
    <t>Servicio de Equipo de Bombeo para las primeras 8 horas, Incluye Operador y un Ayudante. Incluye transporte de equipos en un radio de 60 km desde la base pactada.</t>
  </si>
  <si>
    <t>Cargo adicional por movilización de unidad de bombeo por más de 60 km, por km.</t>
  </si>
  <si>
    <t>Cargo adicional por movilización de unidad liviana por más de 60 km, por km.</t>
  </si>
  <si>
    <t>Cargo por hora adicional de Bombeo.</t>
  </si>
  <si>
    <t>Stand By del Equipo de Bombeo en locación/Hora de espera del equipo de Bombeo, por hora.</t>
  </si>
  <si>
    <t>Servicio de Cisterna para transporte de productos químicos, por operación.</t>
  </si>
  <si>
    <t>Cargo adicional por movilización de cisterna por más de 60 km, por km.</t>
  </si>
  <si>
    <t>Stand By de Cisterna en locación/Hora de espera de Cisterna, por hora.</t>
  </si>
  <si>
    <t>Cargo Adicional por Trabajo de Bombeo en pozo en el que opera un equipo de Work Over o Pulling.</t>
  </si>
  <si>
    <t>Desincrustante de Sulfato de Calcio, por litro.</t>
  </si>
  <si>
    <t>Gelificante, por litro.</t>
  </si>
  <si>
    <t>Cloruro de Potasio (KCl), por Kg.</t>
  </si>
  <si>
    <t>Bifluoruro de Amonio anhidro, por Kg.</t>
  </si>
  <si>
    <t>Secuestrante de Hierro, por Kg.</t>
  </si>
  <si>
    <t>Desincrustante de Sulfato de Bario (DS1250), por litro.</t>
  </si>
  <si>
    <t>Sistema Óxido de Cloro, por litro.</t>
  </si>
  <si>
    <t>Sistema Óxido de Cloro</t>
  </si>
  <si>
    <t>x</t>
  </si>
  <si>
    <t>REALIZACIÓN DE PRUEBAS DE HERMETICIDAD SEGÚN RESOLUCIÓN N.°: 81/18 - Por pozo</t>
  </si>
  <si>
    <t>REALIZACIÓN DE PRUEBAS DE HERMETICIDAD SEGÚN RESOLUCIÓN N.°: 81/18 - Por pozo adicional</t>
  </si>
  <si>
    <t>IAB8000</t>
  </si>
  <si>
    <t>Sin equipo</t>
  </si>
  <si>
    <t>Figura en prog</t>
  </si>
  <si>
    <t>Preflujo 1</t>
  </si>
  <si>
    <t>Preflujo 2</t>
  </si>
  <si>
    <t>Tratamiento Principal</t>
  </si>
  <si>
    <t>Interés</t>
  </si>
  <si>
    <t>PECOM</t>
  </si>
  <si>
    <t>Centenario</t>
  </si>
  <si>
    <t>Packer 1:</t>
  </si>
  <si>
    <t>Packer 2:</t>
  </si>
  <si>
    <t>Packer 3:</t>
  </si>
  <si>
    <t>Packer 4:</t>
  </si>
  <si>
    <t>Packer 5:</t>
  </si>
  <si>
    <t>Packer 6:</t>
  </si>
  <si>
    <t>Prof Shear Out:</t>
  </si>
  <si>
    <t>Prof. MAND 3</t>
  </si>
  <si>
    <t>Prof. MAND 4</t>
  </si>
  <si>
    <t>Prof. MAND 5</t>
  </si>
  <si>
    <t>Prof. MAND 6</t>
  </si>
  <si>
    <t>Mandril 3:</t>
  </si>
  <si>
    <t>Mandril 4:</t>
  </si>
  <si>
    <t>Mandril 5:</t>
  </si>
  <si>
    <t>Mandril 6:</t>
  </si>
  <si>
    <t>Diseño del tratamiento en función del Trat Principal</t>
  </si>
  <si>
    <t>Trat Principal</t>
  </si>
  <si>
    <t>DS561 + HF (3%)</t>
  </si>
  <si>
    <t>DS562</t>
  </si>
  <si>
    <t>DPB350 3%</t>
  </si>
  <si>
    <t>N/A</t>
  </si>
  <si>
    <t>Detener bombeo y chequear caída de presión durante 15 min.</t>
  </si>
  <si>
    <t>Cerrar pozo y entregar al supervisor de producción.</t>
  </si>
  <si>
    <t>J-</t>
  </si>
  <si>
    <t>La operación se debe realizar en presencia de Personal responsable de PAE.</t>
  </si>
  <si>
    <t>Esquema del pozo</t>
  </si>
  <si>
    <t>UM</t>
  </si>
  <si>
    <t>Cargo adicional por operación durante jornada no habil (Noct-Sab-Dom-Fer)</t>
  </si>
  <si>
    <t>Prov. Desincrustante inorganico al 15%</t>
  </si>
  <si>
    <t>L</t>
  </si>
  <si>
    <t>Prov. Desincrustante inorganico al 10%</t>
  </si>
  <si>
    <t>Prov. Desincrustante inorganico al 7,5%</t>
  </si>
  <si>
    <t>Prov. Ac. Fluorhídrico Bifluoruro amonio</t>
  </si>
  <si>
    <t>KG</t>
  </si>
  <si>
    <t>Dispersante de petróleo</t>
  </si>
  <si>
    <t>Inhibidor Corrosión p/estimulación</t>
  </si>
  <si>
    <t>Surfactante no ionico</t>
  </si>
  <si>
    <t>Solvente de asfaltenos y parafinas</t>
  </si>
  <si>
    <t>Gas Oil</t>
  </si>
  <si>
    <t>Solvente mutual</t>
  </si>
  <si>
    <t>Desincrustante a base de Sales orgánicas</t>
  </si>
  <si>
    <t>Neutralizante alcalino</t>
  </si>
  <si>
    <t>Divergente Quimico</t>
  </si>
  <si>
    <t>Secuestrante de Sulhidrico</t>
  </si>
  <si>
    <t>Solvente orgánico</t>
  </si>
  <si>
    <t>Ruptor Total de emulsiones</t>
  </si>
  <si>
    <t>Carbonato de sodio</t>
  </si>
  <si>
    <t>Kg</t>
  </si>
  <si>
    <t>Disolvente de sulfuros desmineralizados</t>
  </si>
  <si>
    <t>Unidad de bombeo @ 5000 psi (4hs de operación)</t>
  </si>
  <si>
    <t>Unidad de bombeo @ 5000 psi Cgo Hora adicional de bbeo</t>
  </si>
  <si>
    <t>Unidad de bombeo @ 5000 psi Cgo Adic Hora espera</t>
  </si>
  <si>
    <t>Unidad de bombeo transp Pesado</t>
  </si>
  <si>
    <t>Unidad de apoyo - Transporte liviano</t>
  </si>
  <si>
    <t>Unidad Cisterna para transporte de Productos quimicos</t>
  </si>
  <si>
    <t>Unidad Cisterna - Transporte Pesado</t>
  </si>
  <si>
    <t>Unidad Cisterna. Cargo Adic Hora de espera</t>
  </si>
  <si>
    <t>Pileta 60m3 transportable</t>
  </si>
  <si>
    <t>Km</t>
  </si>
  <si>
    <t>Un</t>
  </si>
  <si>
    <t>Hora</t>
  </si>
  <si>
    <t>Prov. Desincrustante inorganico al 5%</t>
  </si>
  <si>
    <t>Lindero Atravesado</t>
  </si>
  <si>
    <t>PHB649</t>
  </si>
  <si>
    <t>Mandriles:</t>
  </si>
  <si>
    <t>Detener el bombeo, cerrar linea de alta presión de PECOM y verificar la habiitación de la linea de inyección de PAE. El desplazamiento lo realizará PAE desde la planta de agua.</t>
  </si>
  <si>
    <t>1 -2 -3 -4 -5</t>
  </si>
  <si>
    <t>Continuar con 25000 lts de DS562 + aditivos.</t>
  </si>
  <si>
    <t>Unidad de Adquisición de datos (VAN)</t>
  </si>
  <si>
    <t>Unidad de Adquisición de datos - Transporte Pesado</t>
  </si>
  <si>
    <t>Centenario Superior</t>
  </si>
  <si>
    <t>Centenario Inferior</t>
  </si>
  <si>
    <t>LA.s-399</t>
  </si>
  <si>
    <t xml:space="preserve">Bombear 9000 lts de Dispersante + aditivos. </t>
  </si>
  <si>
    <t>Proseguir con 40000 lts de DS561 + HF (3%) + aditivos.</t>
  </si>
  <si>
    <t>Continuar con 15000 lts de DS562 + aditivos.</t>
  </si>
  <si>
    <t xml:space="preserve">Desplazar con 7807 lts. de agua.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</si>
</sst>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#,##0\ &quot;€&quot;;\-#,##0\ &quot;€&quot;"/>
    <numFmt numFmtId="167" formatCode="0\ &quot; Lts/min&quot;"/>
    <numFmt numFmtId="168" formatCode="0&quot; psi&quot;"/>
    <numFmt numFmtId="169" formatCode="&quot;N°&quot;\ 0"/>
    <numFmt numFmtId="170" formatCode="&quot; $ &quot;0.00"/>
    <numFmt numFmtId="171" formatCode="&quot; U$S &quot;0.00"/>
    <numFmt numFmtId="172" formatCode="0.000"/>
    <numFmt numFmtId="173" formatCode="0.0&quot; mts&quot;"/>
    <numFmt numFmtId="174" formatCode="_-* #,##0_-;\-* #,##0_-;_-* &quot;-&quot;??_-;_-@_-"/>
    <numFmt numFmtId="175" formatCode="[$-2C0A]d&quot; de &quot;mmmm&quot; de &quot;yyyy;@"/>
    <numFmt numFmtId="176" formatCode="#,##0.000"/>
    <numFmt numFmtId="177" formatCode="0\ &quot; Lts&quot;"/>
    <numFmt numFmtId="178" formatCode="0.0\ &quot; °F/100 ft&quot;"/>
    <numFmt numFmtId="179" formatCode="0\ &quot; °C&quot;"/>
    <numFmt numFmtId="180" formatCode="0.00\ &quot; psi/ft&quot;"/>
    <numFmt numFmtId="181" formatCode="0\ &quot; psi&quot;"/>
    <numFmt numFmtId="182" formatCode="0\ &quot; °F&quot;"/>
    <numFmt numFmtId="183" formatCode="#,###\ &quot;lbs/ft/in&quot;"/>
    <numFmt numFmtId="184" formatCode="#,###\ &quot;lbs/gal&quot;"/>
    <numFmt numFmtId="185" formatCode="#,###.0\ &quot;lbs/ft/in&quot;"/>
    <numFmt numFmtId="186" formatCode="#,###.0\ &quot;lbs/gal&quot;"/>
    <numFmt numFmtId="187" formatCode="0.0"/>
    <numFmt numFmtId="188" formatCode="0&quot; m3/día&quot;"/>
    <numFmt numFmtId="189" formatCode="0&quot; Kgf/cm2&quot;"/>
    <numFmt numFmtId="190" formatCode="0&quot; lts/min&quot;"/>
    <numFmt numFmtId="191" formatCode="0\ &quot; horas&quot;"/>
    <numFmt numFmtId="192" formatCode="0.0&quot; lts&quot;"/>
    <numFmt numFmtId="193" formatCode="[$-F800]dddd\,\ mmmm\ dd\,\ yyyy"/>
    <numFmt numFmtId="194" formatCode="0&quot; lts&quot;"/>
    <numFmt numFmtId="195" formatCode="0&quot; Kgs&quot;"/>
  </numFmts>
  <fonts count="7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sz val="10"/>
      <color indexed="12"/>
      <name val="Berlin Sans FB"/>
      <family val="2"/>
    </font>
    <font>
      <sz val="10"/>
      <color indexed="8"/>
      <name val="Berlin Sans FB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0"/>
      <name val="Berlin Sans FB"/>
      <family val="2"/>
    </font>
    <font>
      <sz val="10"/>
      <color indexed="8"/>
      <name val="Arial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0"/>
      <color indexed="8"/>
      <name val="Arial"/>
      <family val="2"/>
    </font>
    <font>
      <vertAlign val="superscript"/>
      <sz val="10"/>
      <color indexed="12"/>
      <name val="Berlin Sans FB"/>
      <family val="2"/>
    </font>
    <font>
      <b/>
      <u/>
      <sz val="10"/>
      <color indexed="48"/>
      <name val="Arial"/>
      <family val="2"/>
    </font>
    <font>
      <b/>
      <i/>
      <u/>
      <sz val="12"/>
      <color indexed="48"/>
      <name val="Arial"/>
      <family val="2"/>
    </font>
    <font>
      <b/>
      <sz val="10"/>
      <color indexed="48"/>
      <name val="Arial"/>
      <family val="2"/>
    </font>
    <font>
      <b/>
      <sz val="11"/>
      <color indexed="48"/>
      <name val="Arial"/>
      <family val="2"/>
    </font>
    <font>
      <b/>
      <sz val="14"/>
      <color indexed="48"/>
      <name val="Arial"/>
      <family val="2"/>
    </font>
    <font>
      <b/>
      <sz val="11"/>
      <name val="Arial"/>
      <family val="2"/>
    </font>
    <font>
      <b/>
      <sz val="10"/>
      <color indexed="30"/>
      <name val="Arial"/>
      <family val="2"/>
    </font>
    <font>
      <b/>
      <i/>
      <sz val="10"/>
      <name val="Arial"/>
      <family val="2"/>
    </font>
    <font>
      <sz val="11"/>
      <color indexed="8"/>
      <name val="Arial"/>
      <family val="2"/>
    </font>
    <font>
      <sz val="9"/>
      <color indexed="10"/>
      <name val="Berlin Sans FB"/>
      <family val="2"/>
    </font>
    <font>
      <sz val="9"/>
      <color indexed="12"/>
      <name val="Berlin Sans FB"/>
      <family val="2"/>
    </font>
    <font>
      <sz val="11"/>
      <color indexed="8"/>
      <name val="Berlin Sans FB"/>
      <family val="2"/>
    </font>
    <font>
      <b/>
      <sz val="9"/>
      <color indexed="10"/>
      <name val="Arial"/>
      <family val="2"/>
    </font>
    <font>
      <b/>
      <i/>
      <sz val="9"/>
      <name val="Arial"/>
      <family val="2"/>
    </font>
    <font>
      <b/>
      <sz val="10"/>
      <color indexed="8"/>
      <name val="Arial"/>
      <family val="2"/>
    </font>
    <font>
      <sz val="10"/>
      <color indexed="56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i/>
      <u/>
      <sz val="14"/>
      <name val="Arial"/>
      <family val="2"/>
    </font>
    <font>
      <i/>
      <sz val="14"/>
      <name val="Arial"/>
      <family val="2"/>
    </font>
    <font>
      <b/>
      <sz val="10"/>
      <color rgb="FFFF0000"/>
      <name val="Arial"/>
      <family val="2"/>
    </font>
    <font>
      <sz val="11"/>
      <color theme="0"/>
      <name val="Berlin Sans FB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1"/>
      <color rgb="FFFFFF00"/>
      <name val="Berlin Sans FB"/>
      <family val="2"/>
    </font>
    <font>
      <sz val="10"/>
      <color theme="0"/>
      <name val="Berlin Sans FB"/>
      <family val="2"/>
    </font>
    <font>
      <b/>
      <sz val="9"/>
      <color indexed="4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Berlin Sans FB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Arial"/>
      <family val="2"/>
    </font>
    <font>
      <sz val="10"/>
      <name val="Berlin Sans FB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14"/>
      <color rgb="FFFF0000"/>
      <name val="Arial"/>
      <family val="2"/>
    </font>
    <font>
      <sz val="10"/>
      <name val="Helv"/>
    </font>
    <font>
      <sz val="11"/>
      <name val="Arial"/>
      <family val="2"/>
    </font>
    <font>
      <b/>
      <sz val="10"/>
      <color theme="0"/>
      <name val="Arial"/>
      <family val="2"/>
    </font>
    <font>
      <sz val="14"/>
      <color indexed="12"/>
      <name val="Arial"/>
      <family val="2"/>
    </font>
    <font>
      <sz val="14"/>
      <color rgb="FF0000FF"/>
      <name val="Arial"/>
      <family val="2"/>
    </font>
    <font>
      <sz val="11"/>
      <color indexed="12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gray125">
        <bgColor indexed="15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dott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/>
      <right style="mediumDashDot">
        <color indexed="64"/>
      </right>
      <top/>
      <bottom/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166" fontId="14" fillId="0" borderId="0" applyFont="0" applyFill="0" applyBorder="0" applyAlignment="0" applyProtection="0"/>
    <xf numFmtId="0" fontId="1" fillId="0" borderId="0"/>
    <xf numFmtId="0" fontId="13" fillId="0" borderId="0"/>
    <xf numFmtId="0" fontId="61" fillId="0" borderId="0"/>
    <xf numFmtId="0" fontId="13" fillId="0" borderId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4" fillId="17" borderId="0" applyNumberFormat="0" applyFont="0" applyBorder="0" applyAlignment="0" applyProtection="0"/>
    <xf numFmtId="0" fontId="13" fillId="0" borderId="0" applyBorder="0"/>
    <xf numFmtId="164" fontId="70" fillId="0" borderId="0" applyFont="0" applyFill="0" applyBorder="0" applyAlignment="0" applyProtection="0"/>
    <xf numFmtId="9" fontId="72" fillId="0" borderId="0" applyFont="0" applyFill="0" applyBorder="0" applyAlignment="0" applyProtection="0"/>
  </cellStyleXfs>
  <cellXfs count="7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12" fontId="6" fillId="2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3" xfId="0" applyFont="1" applyFill="1" applyBorder="1"/>
    <xf numFmtId="14" fontId="6" fillId="2" borderId="1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2" fontId="7" fillId="0" borderId="6" xfId="0" applyNumberFormat="1" applyFont="1" applyBorder="1"/>
    <xf numFmtId="20" fontId="6" fillId="2" borderId="3" xfId="0" applyNumberFormat="1" applyFont="1" applyFill="1" applyBorder="1" applyAlignment="1">
      <alignment horizontal="center"/>
    </xf>
    <xf numFmtId="0" fontId="4" fillId="0" borderId="4" xfId="0" applyFont="1" applyBorder="1"/>
    <xf numFmtId="2" fontId="7" fillId="0" borderId="3" xfId="0" applyNumberFormat="1" applyFont="1" applyBorder="1"/>
    <xf numFmtId="0" fontId="4" fillId="0" borderId="7" xfId="0" applyFont="1" applyBorder="1"/>
    <xf numFmtId="2" fontId="7" fillId="0" borderId="8" xfId="0" applyNumberFormat="1" applyFont="1" applyBorder="1"/>
    <xf numFmtId="0" fontId="4" fillId="0" borderId="2" xfId="0" applyFont="1" applyBorder="1"/>
    <xf numFmtId="2" fontId="7" fillId="0" borderId="2" xfId="0" applyNumberFormat="1" applyFont="1" applyBorder="1"/>
    <xf numFmtId="20" fontId="6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3" borderId="4" xfId="0" applyFont="1" applyFill="1" applyBorder="1"/>
    <xf numFmtId="0" fontId="2" fillId="3" borderId="9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" xfId="0" applyFont="1" applyFill="1" applyBorder="1"/>
    <xf numFmtId="0" fontId="9" fillId="0" borderId="10" xfId="0" applyFont="1" applyBorder="1"/>
    <xf numFmtId="0" fontId="9" fillId="0" borderId="11" xfId="0" applyFont="1" applyBorder="1"/>
    <xf numFmtId="20" fontId="0" fillId="0" borderId="12" xfId="0" applyNumberFormat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9" fillId="0" borderId="17" xfId="0" applyFont="1" applyBorder="1"/>
    <xf numFmtId="0" fontId="0" fillId="0" borderId="16" xfId="0" applyBorder="1" applyAlignment="1">
      <alignment horizontal="center"/>
    </xf>
    <xf numFmtId="20" fontId="0" fillId="0" borderId="15" xfId="0" applyNumberFormat="1" applyBorder="1" applyAlignment="1">
      <alignment horizontal="center"/>
    </xf>
    <xf numFmtId="0" fontId="9" fillId="0" borderId="17" xfId="0" applyFont="1" applyBorder="1" applyAlignment="1">
      <alignment horizontal="right"/>
    </xf>
    <xf numFmtId="0" fontId="9" fillId="0" borderId="13" xfId="0" applyFont="1" applyBorder="1" applyAlignment="1">
      <alignment horizontal="right"/>
    </xf>
    <xf numFmtId="20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6" xfId="0" applyBorder="1"/>
    <xf numFmtId="0" fontId="0" fillId="3" borderId="9" xfId="0" applyFill="1" applyBorder="1"/>
    <xf numFmtId="0" fontId="0" fillId="3" borderId="3" xfId="0" applyFill="1" applyBorder="1"/>
    <xf numFmtId="0" fontId="0" fillId="0" borderId="23" xfId="0" applyBorder="1"/>
    <xf numFmtId="0" fontId="11" fillId="0" borderId="4" xfId="0" applyFont="1" applyBorder="1"/>
    <xf numFmtId="0" fontId="0" fillId="0" borderId="9" xfId="0" applyBorder="1"/>
    <xf numFmtId="0" fontId="0" fillId="0" borderId="3" xfId="0" applyBorder="1"/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1" fillId="0" borderId="9" xfId="0" applyFont="1" applyBorder="1"/>
    <xf numFmtId="0" fontId="11" fillId="0" borderId="29" xfId="0" applyFont="1" applyBorder="1"/>
    <xf numFmtId="0" fontId="11" fillId="0" borderId="7" xfId="0" applyFont="1" applyBorder="1"/>
    <xf numFmtId="0" fontId="2" fillId="0" borderId="4" xfId="0" applyFont="1" applyBorder="1"/>
    <xf numFmtId="0" fontId="0" fillId="0" borderId="3" xfId="0" applyBorder="1" applyAlignment="1">
      <alignment horizontal="right"/>
    </xf>
    <xf numFmtId="20" fontId="0" fillId="0" borderId="47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0" fillId="0" borderId="29" xfId="0" applyFont="1" applyBorder="1"/>
    <xf numFmtId="0" fontId="5" fillId="2" borderId="4" xfId="0" applyFont="1" applyFill="1" applyBorder="1" applyAlignment="1">
      <alignment horizontal="left"/>
    </xf>
    <xf numFmtId="0" fontId="11" fillId="0" borderId="0" xfId="0" applyFont="1"/>
    <xf numFmtId="0" fontId="0" fillId="0" borderId="23" xfId="0" applyBorder="1" applyAlignment="1">
      <alignment horizontal="center"/>
    </xf>
    <xf numFmtId="0" fontId="4" fillId="3" borderId="3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7" xfId="0" applyBorder="1"/>
    <xf numFmtId="0" fontId="13" fillId="0" borderId="48" xfId="0" applyFont="1" applyBorder="1"/>
    <xf numFmtId="0" fontId="13" fillId="0" borderId="23" xfId="0" applyFont="1" applyBorder="1"/>
    <xf numFmtId="0" fontId="13" fillId="0" borderId="8" xfId="0" applyFont="1" applyBorder="1"/>
    <xf numFmtId="0" fontId="0" fillId="0" borderId="49" xfId="0" applyBorder="1"/>
    <xf numFmtId="0" fontId="0" fillId="0" borderId="40" xfId="0" applyBorder="1"/>
    <xf numFmtId="0" fontId="0" fillId="0" borderId="50" xfId="0" applyBorder="1"/>
    <xf numFmtId="0" fontId="0" fillId="0" borderId="31" xfId="0" applyBorder="1"/>
    <xf numFmtId="0" fontId="0" fillId="4" borderId="50" xfId="0" applyFill="1" applyBorder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0" fillId="4" borderId="50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31" xfId="0" applyFont="1" applyBorder="1" applyAlignment="1">
      <alignment horizontal="center"/>
    </xf>
    <xf numFmtId="0" fontId="17" fillId="0" borderId="31" xfId="0" applyFont="1" applyBorder="1"/>
    <xf numFmtId="0" fontId="17" fillId="0" borderId="0" xfId="0" applyFont="1" applyAlignment="1">
      <alignment horizontal="center" vertical="top"/>
    </xf>
    <xf numFmtId="0" fontId="17" fillId="0" borderId="0" xfId="0" applyFont="1"/>
    <xf numFmtId="0" fontId="0" fillId="0" borderId="0" xfId="0" applyAlignment="1">
      <alignment horizontal="center" vertical="center"/>
    </xf>
    <xf numFmtId="0" fontId="0" fillId="0" borderId="51" xfId="0" applyBorder="1"/>
    <xf numFmtId="0" fontId="0" fillId="0" borderId="52" xfId="0" applyBorder="1"/>
    <xf numFmtId="0" fontId="0" fillId="0" borderId="42" xfId="0" applyBorder="1"/>
    <xf numFmtId="0" fontId="0" fillId="4" borderId="53" xfId="0" applyFill="1" applyBorder="1"/>
    <xf numFmtId="0" fontId="0" fillId="4" borderId="41" xfId="0" applyFill="1" applyBorder="1"/>
    <xf numFmtId="0" fontId="0" fillId="0" borderId="37" xfId="0" applyBorder="1" applyAlignment="1">
      <alignment horizontal="center"/>
    </xf>
    <xf numFmtId="0" fontId="0" fillId="0" borderId="37" xfId="0" applyBorder="1"/>
    <xf numFmtId="0" fontId="0" fillId="4" borderId="37" xfId="0" applyFill="1" applyBorder="1"/>
    <xf numFmtId="0" fontId="0" fillId="0" borderId="54" xfId="0" applyBorder="1"/>
    <xf numFmtId="0" fontId="13" fillId="0" borderId="1" xfId="0" applyFont="1" applyBorder="1" applyAlignment="1">
      <alignment horizontal="center"/>
    </xf>
    <xf numFmtId="168" fontId="10" fillId="0" borderId="14" xfId="0" applyNumberFormat="1" applyFont="1" applyBorder="1" applyAlignment="1">
      <alignment horizontal="left"/>
    </xf>
    <xf numFmtId="0" fontId="0" fillId="0" borderId="5" xfId="0" applyBorder="1"/>
    <xf numFmtId="0" fontId="0" fillId="0" borderId="48" xfId="0" applyBorder="1"/>
    <xf numFmtId="0" fontId="0" fillId="0" borderId="8" xfId="0" applyBorder="1"/>
    <xf numFmtId="0" fontId="19" fillId="0" borderId="22" xfId="0" applyFont="1" applyBorder="1" applyAlignment="1">
      <alignment wrapText="1"/>
    </xf>
    <xf numFmtId="0" fontId="13" fillId="0" borderId="0" xfId="0" applyFont="1" applyAlignment="1">
      <alignment wrapText="1"/>
    </xf>
    <xf numFmtId="0" fontId="9" fillId="0" borderId="55" xfId="0" applyFont="1" applyBorder="1"/>
    <xf numFmtId="0" fontId="12" fillId="0" borderId="48" xfId="0" applyFont="1" applyBorder="1" applyAlignment="1">
      <alignment horizontal="right"/>
    </xf>
    <xf numFmtId="2" fontId="0" fillId="0" borderId="1" xfId="0" applyNumberFormat="1" applyBorder="1"/>
    <xf numFmtId="2" fontId="2" fillId="0" borderId="1" xfId="0" applyNumberFormat="1" applyFont="1" applyBorder="1"/>
    <xf numFmtId="0" fontId="21" fillId="0" borderId="0" xfId="0" applyFont="1"/>
    <xf numFmtId="0" fontId="22" fillId="5" borderId="0" xfId="0" applyFont="1" applyFill="1" applyAlignment="1">
      <alignment vertical="top"/>
    </xf>
    <xf numFmtId="0" fontId="23" fillId="0" borderId="0" xfId="0" applyFont="1"/>
    <xf numFmtId="0" fontId="25" fillId="0" borderId="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4" xfId="0" applyFont="1" applyBorder="1" applyAlignment="1">
      <alignment horizontal="left"/>
    </xf>
    <xf numFmtId="0" fontId="26" fillId="0" borderId="9" xfId="0" applyFont="1" applyBorder="1"/>
    <xf numFmtId="0" fontId="26" fillId="0" borderId="3" xfId="0" applyFont="1" applyBorder="1"/>
    <xf numFmtId="0" fontId="26" fillId="0" borderId="0" xfId="0" applyFont="1"/>
    <xf numFmtId="0" fontId="26" fillId="0" borderId="4" xfId="0" applyFont="1" applyBorder="1"/>
    <xf numFmtId="0" fontId="25" fillId="0" borderId="0" xfId="0" applyFont="1"/>
    <xf numFmtId="0" fontId="24" fillId="0" borderId="9" xfId="0" applyFont="1" applyBorder="1" applyAlignment="1">
      <alignment horizontal="left"/>
    </xf>
    <xf numFmtId="0" fontId="25" fillId="0" borderId="3" xfId="0" applyFont="1" applyBorder="1"/>
    <xf numFmtId="0" fontId="24" fillId="0" borderId="4" xfId="0" applyFont="1" applyBorder="1"/>
    <xf numFmtId="0" fontId="24" fillId="0" borderId="9" xfId="0" applyFont="1" applyBorder="1"/>
    <xf numFmtId="0" fontId="24" fillId="0" borderId="3" xfId="0" applyFont="1" applyBorder="1"/>
    <xf numFmtId="0" fontId="24" fillId="0" borderId="0" xfId="0" applyFont="1"/>
    <xf numFmtId="0" fontId="0" fillId="0" borderId="4" xfId="0" applyBorder="1"/>
    <xf numFmtId="0" fontId="2" fillId="0" borderId="9" xfId="0" applyFont="1" applyBorder="1"/>
    <xf numFmtId="0" fontId="2" fillId="0" borderId="3" xfId="0" applyFont="1" applyBorder="1"/>
    <xf numFmtId="0" fontId="23" fillId="0" borderId="9" xfId="0" applyFont="1" applyBorder="1" applyAlignment="1">
      <alignment horizontal="center"/>
    </xf>
    <xf numFmtId="0" fontId="25" fillId="0" borderId="9" xfId="0" applyFont="1" applyBorder="1"/>
    <xf numFmtId="14" fontId="27" fillId="0" borderId="0" xfId="0" applyNumberFormat="1" applyFont="1" applyAlignment="1">
      <alignment horizontal="center"/>
    </xf>
    <xf numFmtId="0" fontId="0" fillId="0" borderId="24" xfId="0" applyBorder="1"/>
    <xf numFmtId="0" fontId="0" fillId="0" borderId="39" xfId="0" applyBorder="1"/>
    <xf numFmtId="0" fontId="0" fillId="0" borderId="2" xfId="0" applyBorder="1"/>
    <xf numFmtId="169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2" fillId="0" borderId="8" xfId="0" applyNumberFormat="1" applyFont="1" applyBorder="1"/>
    <xf numFmtId="0" fontId="12" fillId="0" borderId="1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28" fillId="0" borderId="29" xfId="0" applyFont="1" applyBorder="1"/>
    <xf numFmtId="0" fontId="28" fillId="0" borderId="5" xfId="0" applyFont="1" applyBorder="1"/>
    <xf numFmtId="170" fontId="2" fillId="0" borderId="1" xfId="0" applyNumberFormat="1" applyFont="1" applyBorder="1" applyAlignment="1">
      <alignment horizontal="right"/>
    </xf>
    <xf numFmtId="171" fontId="2" fillId="0" borderId="1" xfId="0" applyNumberFormat="1" applyFont="1" applyBorder="1" applyAlignment="1">
      <alignment horizontal="right"/>
    </xf>
    <xf numFmtId="170" fontId="2" fillId="0" borderId="48" xfId="0" applyNumberFormat="1" applyFont="1" applyBorder="1" applyAlignment="1">
      <alignment horizontal="right"/>
    </xf>
    <xf numFmtId="171" fontId="2" fillId="0" borderId="8" xfId="0" applyNumberFormat="1" applyFont="1" applyBorder="1" applyAlignment="1">
      <alignment horizontal="right"/>
    </xf>
    <xf numFmtId="0" fontId="10" fillId="0" borderId="0" xfId="0" applyFont="1" applyAlignment="1">
      <alignment horizontal="center"/>
    </xf>
    <xf numFmtId="0" fontId="10" fillId="0" borderId="23" xfId="0" applyFont="1" applyBorder="1" applyAlignment="1">
      <alignment horizontal="center"/>
    </xf>
    <xf numFmtId="170" fontId="2" fillId="0" borderId="2" xfId="0" applyNumberFormat="1" applyFont="1" applyBorder="1" applyAlignment="1">
      <alignment horizontal="right"/>
    </xf>
    <xf numFmtId="1" fontId="10" fillId="0" borderId="0" xfId="0" applyNumberFormat="1" applyFont="1" applyAlignment="1">
      <alignment horizontal="center"/>
    </xf>
    <xf numFmtId="0" fontId="2" fillId="0" borderId="23" xfId="0" applyFont="1" applyBorder="1" applyAlignment="1">
      <alignment horizontal="center"/>
    </xf>
    <xf numFmtId="171" fontId="2" fillId="0" borderId="2" xfId="0" applyNumberFormat="1" applyFont="1" applyBorder="1" applyAlignment="1">
      <alignment horizontal="right"/>
    </xf>
    <xf numFmtId="170" fontId="43" fillId="0" borderId="1" xfId="0" applyNumberFormat="1" applyFont="1" applyBorder="1" applyAlignment="1">
      <alignment horizontal="right"/>
    </xf>
    <xf numFmtId="0" fontId="43" fillId="0" borderId="23" xfId="0" applyFont="1" applyBorder="1" applyAlignment="1">
      <alignment horizontal="center"/>
    </xf>
    <xf numFmtId="171" fontId="43" fillId="0" borderId="2" xfId="0" applyNumberFormat="1" applyFont="1" applyBorder="1" applyAlignment="1">
      <alignment horizontal="right"/>
    </xf>
    <xf numFmtId="2" fontId="2" fillId="6" borderId="2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29" fillId="0" borderId="13" xfId="0" applyFont="1" applyBorder="1" applyAlignment="1">
      <alignment horizontal="left"/>
    </xf>
    <xf numFmtId="0" fontId="32" fillId="0" borderId="13" xfId="0" applyFont="1" applyBorder="1"/>
    <xf numFmtId="0" fontId="29" fillId="0" borderId="13" xfId="0" applyFont="1" applyBorder="1"/>
    <xf numFmtId="43" fontId="13" fillId="0" borderId="56" xfId="1" applyNumberFormat="1" applyFont="1" applyBorder="1" applyAlignment="1">
      <alignment horizontal="right"/>
    </xf>
    <xf numFmtId="0" fontId="32" fillId="0" borderId="57" xfId="0" applyFont="1" applyBorder="1"/>
    <xf numFmtId="43" fontId="13" fillId="4" borderId="3" xfId="1" applyNumberFormat="1" applyFont="1" applyFill="1" applyBorder="1" applyAlignment="1">
      <alignment horizontal="right"/>
    </xf>
    <xf numFmtId="0" fontId="32" fillId="4" borderId="9" xfId="0" applyFont="1" applyFill="1" applyBorder="1"/>
    <xf numFmtId="43" fontId="13" fillId="0" borderId="23" xfId="1" applyNumberFormat="1" applyFont="1" applyBorder="1" applyAlignment="1">
      <alignment horizontal="right"/>
    </xf>
    <xf numFmtId="0" fontId="32" fillId="0" borderId="0" xfId="0" applyFont="1"/>
    <xf numFmtId="43" fontId="13" fillId="0" borderId="12" xfId="1" applyNumberFormat="1" applyFont="1" applyBorder="1" applyAlignment="1">
      <alignment horizontal="right"/>
    </xf>
    <xf numFmtId="0" fontId="32" fillId="0" borderId="10" xfId="0" applyFont="1" applyBorder="1"/>
    <xf numFmtId="0" fontId="2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2" borderId="2" xfId="0" applyNumberFormat="1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8" fillId="0" borderId="0" xfId="0" applyFont="1"/>
    <xf numFmtId="0" fontId="28" fillId="0" borderId="47" xfId="0" applyFont="1" applyBorder="1"/>
    <xf numFmtId="0" fontId="13" fillId="0" borderId="24" xfId="0" applyFont="1" applyBorder="1"/>
    <xf numFmtId="0" fontId="13" fillId="0" borderId="39" xfId="0" applyFont="1" applyBorder="1"/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173" fontId="6" fillId="2" borderId="1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12" xfId="0" applyFont="1" applyBorder="1" applyAlignment="1">
      <alignment horizontal="right"/>
    </xf>
    <xf numFmtId="0" fontId="16" fillId="0" borderId="56" xfId="0" applyFont="1" applyBorder="1" applyAlignment="1">
      <alignment horizontal="right"/>
    </xf>
    <xf numFmtId="0" fontId="16" fillId="0" borderId="23" xfId="0" applyFont="1" applyBorder="1" applyAlignment="1">
      <alignment horizontal="right"/>
    </xf>
    <xf numFmtId="0" fontId="16" fillId="4" borderId="3" xfId="0" applyFont="1" applyFill="1" applyBorder="1" applyAlignment="1">
      <alignment horizontal="right"/>
    </xf>
    <xf numFmtId="0" fontId="16" fillId="0" borderId="47" xfId="0" applyFont="1" applyBorder="1" applyAlignment="1">
      <alignment horizontal="center"/>
    </xf>
    <xf numFmtId="0" fontId="16" fillId="0" borderId="5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43" fontId="16" fillId="0" borderId="16" xfId="1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3" fontId="35" fillId="4" borderId="1" xfId="1" applyNumberFormat="1" applyFont="1" applyFill="1" applyBorder="1" applyAlignment="1">
      <alignment horizontal="center" vertical="center"/>
    </xf>
    <xf numFmtId="43" fontId="13" fillId="0" borderId="15" xfId="1" applyNumberFormat="1" applyFont="1" applyBorder="1" applyAlignment="1">
      <alignment horizontal="right"/>
    </xf>
    <xf numFmtId="43" fontId="13" fillId="0" borderId="15" xfId="1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9" fillId="0" borderId="59" xfId="0" applyFont="1" applyBorder="1"/>
    <xf numFmtId="0" fontId="13" fillId="0" borderId="21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9" fillId="0" borderId="0" xfId="0" applyFont="1"/>
    <xf numFmtId="174" fontId="16" fillId="0" borderId="58" xfId="1" applyNumberFormat="1" applyFont="1" applyBorder="1" applyAlignment="1">
      <alignment horizontal="center" vertical="center"/>
    </xf>
    <xf numFmtId="43" fontId="35" fillId="4" borderId="3" xfId="1" applyNumberFormat="1" applyFont="1" applyFill="1" applyBorder="1" applyAlignment="1">
      <alignment horizontal="center" vertical="center"/>
    </xf>
    <xf numFmtId="12" fontId="4" fillId="7" borderId="9" xfId="0" applyNumberFormat="1" applyFont="1" applyFill="1" applyBorder="1" applyAlignment="1">
      <alignment horizontal="center"/>
    </xf>
    <xf numFmtId="12" fontId="4" fillId="7" borderId="3" xfId="0" applyNumberFormat="1" applyFont="1" applyFill="1" applyBorder="1" applyAlignment="1">
      <alignment horizontal="center"/>
    </xf>
    <xf numFmtId="12" fontId="4" fillId="7" borderId="4" xfId="0" applyNumberFormat="1" applyFont="1" applyFill="1" applyBorder="1" applyAlignment="1">
      <alignment horizontal="center"/>
    </xf>
    <xf numFmtId="0" fontId="38" fillId="0" borderId="0" xfId="0" applyFont="1"/>
    <xf numFmtId="0" fontId="39" fillId="0" borderId="0" xfId="0" applyFont="1"/>
    <xf numFmtId="14" fontId="39" fillId="0" borderId="0" xfId="0" applyNumberFormat="1" applyFont="1"/>
    <xf numFmtId="175" fontId="39" fillId="0" borderId="0" xfId="0" applyNumberFormat="1" applyFont="1" applyAlignment="1">
      <alignment horizontal="left"/>
    </xf>
    <xf numFmtId="0" fontId="37" fillId="0" borderId="0" xfId="0" applyFont="1"/>
    <xf numFmtId="0" fontId="40" fillId="0" borderId="0" xfId="0" applyFont="1"/>
    <xf numFmtId="0" fontId="39" fillId="0" borderId="0" xfId="0" applyFont="1" applyAlignment="1">
      <alignment horizontal="left"/>
    </xf>
    <xf numFmtId="12" fontId="39" fillId="0" borderId="0" xfId="0" applyNumberFormat="1" applyFont="1" applyAlignment="1">
      <alignment horizontal="left"/>
    </xf>
    <xf numFmtId="173" fontId="39" fillId="0" borderId="0" xfId="0" applyNumberFormat="1" applyFont="1" applyAlignment="1">
      <alignment horizontal="left"/>
    </xf>
    <xf numFmtId="0" fontId="13" fillId="0" borderId="2" xfId="0" applyFont="1" applyBorder="1"/>
    <xf numFmtId="0" fontId="39" fillId="0" borderId="0" xfId="0" applyFont="1" applyAlignment="1">
      <alignment horizontal="justify" vertical="center"/>
    </xf>
    <xf numFmtId="0" fontId="39" fillId="0" borderId="0" xfId="0" applyFont="1" applyAlignment="1">
      <alignment vertical="center"/>
    </xf>
    <xf numFmtId="0" fontId="41" fillId="0" borderId="0" xfId="0" applyFont="1"/>
    <xf numFmtId="0" fontId="13" fillId="0" borderId="0" xfId="0" applyFont="1"/>
    <xf numFmtId="0" fontId="39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5" fillId="2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2" fillId="0" borderId="0" xfId="0" applyFont="1" applyAlignment="1">
      <alignment horizontal="right"/>
    </xf>
    <xf numFmtId="0" fontId="0" fillId="0" borderId="53" xfId="0" applyBorder="1"/>
    <xf numFmtId="0" fontId="13" fillId="0" borderId="31" xfId="0" applyFont="1" applyBorder="1" applyAlignment="1">
      <alignment vertical="top" wrapText="1"/>
    </xf>
    <xf numFmtId="0" fontId="13" fillId="0" borderId="52" xfId="0" applyFont="1" applyBorder="1" applyAlignment="1">
      <alignment horizontal="center" vertical="top" wrapText="1"/>
    </xf>
    <xf numFmtId="0" fontId="13" fillId="0" borderId="49" xfId="0" applyFont="1" applyBorder="1" applyAlignment="1">
      <alignment horizontal="center" vertical="top" wrapText="1"/>
    </xf>
    <xf numFmtId="0" fontId="37" fillId="0" borderId="50" xfId="0" applyFont="1" applyBorder="1"/>
    <xf numFmtId="0" fontId="37" fillId="0" borderId="31" xfId="0" applyFont="1" applyBorder="1"/>
    <xf numFmtId="0" fontId="39" fillId="0" borderId="31" xfId="0" applyFont="1" applyBorder="1"/>
    <xf numFmtId="0" fontId="39" fillId="0" borderId="50" xfId="0" applyFont="1" applyBorder="1" applyAlignment="1">
      <alignment horizontal="right"/>
    </xf>
    <xf numFmtId="175" fontId="39" fillId="0" borderId="50" xfId="0" applyNumberFormat="1" applyFont="1" applyBorder="1" applyAlignment="1">
      <alignment horizontal="right"/>
    </xf>
    <xf numFmtId="175" fontId="39" fillId="0" borderId="31" xfId="0" applyNumberFormat="1" applyFont="1" applyBorder="1" applyAlignment="1">
      <alignment horizontal="left"/>
    </xf>
    <xf numFmtId="0" fontId="0" fillId="0" borderId="50" xfId="0" applyBorder="1" applyAlignment="1">
      <alignment horizontal="right"/>
    </xf>
    <xf numFmtId="0" fontId="39" fillId="0" borderId="50" xfId="0" applyFont="1" applyBorder="1" applyAlignment="1">
      <alignment horizontal="right" vertical="center"/>
    </xf>
    <xf numFmtId="0" fontId="39" fillId="0" borderId="31" xfId="0" applyFont="1" applyBorder="1" applyAlignment="1">
      <alignment vertical="center"/>
    </xf>
    <xf numFmtId="0" fontId="39" fillId="0" borderId="50" xfId="0" applyFont="1" applyBorder="1" applyAlignment="1">
      <alignment horizontal="right" vertical="top" wrapText="1"/>
    </xf>
    <xf numFmtId="0" fontId="42" fillId="0" borderId="50" xfId="0" applyFont="1" applyBorder="1" applyAlignment="1">
      <alignment horizontal="right"/>
    </xf>
    <xf numFmtId="0" fontId="39" fillId="0" borderId="50" xfId="0" applyFont="1" applyBorder="1" applyAlignment="1">
      <alignment horizontal="justify" vertical="center"/>
    </xf>
    <xf numFmtId="0" fontId="39" fillId="0" borderId="31" xfId="0" applyFont="1" applyBorder="1" applyAlignment="1">
      <alignment horizontal="justify" vertical="center"/>
    </xf>
    <xf numFmtId="0" fontId="44" fillId="0" borderId="57" xfId="0" applyFont="1" applyBorder="1"/>
    <xf numFmtId="0" fontId="45" fillId="0" borderId="56" xfId="0" applyFont="1" applyBorder="1" applyAlignment="1">
      <alignment horizontal="right"/>
    </xf>
    <xf numFmtId="0" fontId="44" fillId="0" borderId="13" xfId="0" applyFont="1" applyBorder="1"/>
    <xf numFmtId="43" fontId="45" fillId="0" borderId="16" xfId="1" applyNumberFormat="1" applyFont="1" applyBorder="1" applyAlignment="1">
      <alignment horizontal="center"/>
    </xf>
    <xf numFmtId="43" fontId="45" fillId="0" borderId="15" xfId="1" applyNumberFormat="1" applyFont="1" applyBorder="1" applyAlignment="1">
      <alignment horizontal="right"/>
    </xf>
    <xf numFmtId="0" fontId="46" fillId="0" borderId="13" xfId="0" applyFont="1" applyBorder="1"/>
    <xf numFmtId="43" fontId="45" fillId="0" borderId="15" xfId="1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60" xfId="0" applyFont="1" applyBorder="1"/>
    <xf numFmtId="0" fontId="13" fillId="0" borderId="25" xfId="0" applyFont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0" fillId="0" borderId="61" xfId="0" applyBorder="1"/>
    <xf numFmtId="0" fontId="33" fillId="0" borderId="62" xfId="0" applyFont="1" applyBorder="1"/>
    <xf numFmtId="0" fontId="2" fillId="3" borderId="63" xfId="0" applyFont="1" applyFill="1" applyBorder="1"/>
    <xf numFmtId="0" fontId="2" fillId="3" borderId="25" xfId="0" applyFont="1" applyFill="1" applyBorder="1" applyAlignment="1">
      <alignment horizontal="center"/>
    </xf>
    <xf numFmtId="0" fontId="32" fillId="4" borderId="63" xfId="0" applyFont="1" applyFill="1" applyBorder="1"/>
    <xf numFmtId="4" fontId="16" fillId="4" borderId="25" xfId="0" applyNumberFormat="1" applyFont="1" applyFill="1" applyBorder="1" applyAlignment="1">
      <alignment horizontal="right"/>
    </xf>
    <xf numFmtId="4" fontId="16" fillId="0" borderId="43" xfId="0" applyNumberFormat="1" applyFont="1" applyBorder="1" applyAlignment="1">
      <alignment horizontal="right"/>
    </xf>
    <xf numFmtId="0" fontId="32" fillId="0" borderId="50" xfId="0" applyFont="1" applyBorder="1"/>
    <xf numFmtId="4" fontId="16" fillId="0" borderId="30" xfId="0" applyNumberFormat="1" applyFont="1" applyBorder="1" applyAlignment="1">
      <alignment horizontal="right"/>
    </xf>
    <xf numFmtId="0" fontId="32" fillId="0" borderId="64" xfId="0" applyFont="1" applyBorder="1"/>
    <xf numFmtId="4" fontId="16" fillId="0" borderId="65" xfId="0" applyNumberFormat="1" applyFont="1" applyBorder="1" applyAlignment="1">
      <alignment horizontal="right"/>
    </xf>
    <xf numFmtId="0" fontId="44" fillId="0" borderId="66" xfId="0" applyFont="1" applyBorder="1"/>
    <xf numFmtId="4" fontId="45" fillId="0" borderId="67" xfId="0" applyNumberFormat="1" applyFont="1" applyBorder="1" applyAlignment="1">
      <alignment horizontal="right"/>
    </xf>
    <xf numFmtId="0" fontId="32" fillId="0" borderId="66" xfId="0" applyFont="1" applyBorder="1"/>
    <xf numFmtId="4" fontId="16" fillId="0" borderId="67" xfId="0" applyNumberFormat="1" applyFont="1" applyBorder="1" applyAlignment="1">
      <alignment horizontal="right"/>
    </xf>
    <xf numFmtId="0" fontId="31" fillId="0" borderId="68" xfId="0" applyFont="1" applyBorder="1"/>
    <xf numFmtId="4" fontId="13" fillId="0" borderId="45" xfId="0" applyNumberFormat="1" applyFont="1" applyBorder="1" applyAlignment="1">
      <alignment horizontal="right"/>
    </xf>
    <xf numFmtId="0" fontId="31" fillId="0" borderId="61" xfId="0" applyFont="1" applyBorder="1"/>
    <xf numFmtId="4" fontId="13" fillId="0" borderId="26" xfId="0" applyNumberFormat="1" applyFont="1" applyBorder="1" applyAlignment="1">
      <alignment horizontal="right"/>
    </xf>
    <xf numFmtId="0" fontId="31" fillId="0" borderId="50" xfId="0" applyFont="1" applyBorder="1"/>
    <xf numFmtId="0" fontId="2" fillId="6" borderId="25" xfId="0" applyFont="1" applyFill="1" applyBorder="1" applyAlignment="1">
      <alignment horizontal="center"/>
    </xf>
    <xf numFmtId="0" fontId="30" fillId="0" borderId="50" xfId="0" applyFont="1" applyBorder="1"/>
    <xf numFmtId="2" fontId="2" fillId="6" borderId="25" xfId="0" applyNumberFormat="1" applyFont="1" applyFill="1" applyBorder="1" applyAlignment="1">
      <alignment horizontal="center"/>
    </xf>
    <xf numFmtId="0" fontId="2" fillId="0" borderId="50" xfId="0" applyFont="1" applyBorder="1"/>
    <xf numFmtId="0" fontId="2" fillId="0" borderId="51" xfId="0" applyFont="1" applyBorder="1"/>
    <xf numFmtId="0" fontId="2" fillId="0" borderId="52" xfId="0" applyFont="1" applyBorder="1"/>
    <xf numFmtId="0" fontId="28" fillId="0" borderId="69" xfId="0" applyFont="1" applyBorder="1"/>
    <xf numFmtId="12" fontId="13" fillId="0" borderId="29" xfId="0" applyNumberFormat="1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28" fillId="8" borderId="47" xfId="0" applyFont="1" applyFill="1" applyBorder="1"/>
    <xf numFmtId="0" fontId="28" fillId="8" borderId="69" xfId="0" applyFont="1" applyFill="1" applyBorder="1" applyAlignment="1">
      <alignment horizontal="center"/>
    </xf>
    <xf numFmtId="0" fontId="13" fillId="8" borderId="39" xfId="0" applyFont="1" applyFill="1" applyBorder="1" applyAlignment="1">
      <alignment horizontal="center"/>
    </xf>
    <xf numFmtId="176" fontId="13" fillId="8" borderId="39" xfId="0" applyNumberFormat="1" applyFont="1" applyFill="1" applyBorder="1" applyAlignment="1">
      <alignment horizontal="center"/>
    </xf>
    <xf numFmtId="2" fontId="13" fillId="8" borderId="39" xfId="0" applyNumberFormat="1" applyFont="1" applyFill="1" applyBorder="1" applyAlignment="1">
      <alignment horizontal="center"/>
    </xf>
    <xf numFmtId="12" fontId="13" fillId="8" borderId="39" xfId="0" applyNumberFormat="1" applyFont="1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12" fontId="0" fillId="8" borderId="39" xfId="0" applyNumberFormat="1" applyFill="1" applyBorder="1" applyAlignment="1">
      <alignment horizontal="center"/>
    </xf>
    <xf numFmtId="0" fontId="0" fillId="8" borderId="39" xfId="0" applyFill="1" applyBorder="1"/>
    <xf numFmtId="0" fontId="28" fillId="8" borderId="47" xfId="0" applyFont="1" applyFill="1" applyBorder="1" applyAlignment="1">
      <alignment horizontal="center"/>
    </xf>
    <xf numFmtId="0" fontId="28" fillId="8" borderId="39" xfId="0" applyFont="1" applyFill="1" applyBorder="1"/>
    <xf numFmtId="0" fontId="0" fillId="8" borderId="2" xfId="0" applyFill="1" applyBorder="1" applyAlignment="1">
      <alignment horizontal="center"/>
    </xf>
    <xf numFmtId="0" fontId="13" fillId="8" borderId="39" xfId="0" applyFont="1" applyFill="1" applyBorder="1"/>
    <xf numFmtId="0" fontId="13" fillId="8" borderId="2" xfId="0" applyFont="1" applyFill="1" applyBorder="1"/>
    <xf numFmtId="2" fontId="0" fillId="0" borderId="1" xfId="0" applyNumberFormat="1" applyBorder="1" applyAlignment="1">
      <alignment horizontal="center"/>
    </xf>
    <xf numFmtId="0" fontId="13" fillId="0" borderId="1" xfId="0" applyFont="1" applyBorder="1"/>
    <xf numFmtId="172" fontId="0" fillId="0" borderId="1" xfId="0" applyNumberFormat="1" applyBorder="1" applyAlignment="1">
      <alignment horizontal="center"/>
    </xf>
    <xf numFmtId="0" fontId="13" fillId="0" borderId="5" xfId="0" applyFont="1" applyBorder="1"/>
    <xf numFmtId="2" fontId="0" fillId="0" borderId="29" xfId="0" applyNumberFormat="1" applyBorder="1"/>
    <xf numFmtId="14" fontId="6" fillId="2" borderId="2" xfId="0" applyNumberFormat="1" applyFont="1" applyFill="1" applyBorder="1" applyAlignment="1">
      <alignment horizontal="center"/>
    </xf>
    <xf numFmtId="0" fontId="47" fillId="4" borderId="9" xfId="0" applyFont="1" applyFill="1" applyBorder="1"/>
    <xf numFmtId="0" fontId="48" fillId="0" borderId="59" xfId="0" applyFont="1" applyBorder="1"/>
    <xf numFmtId="1" fontId="6" fillId="7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77" fontId="0" fillId="0" borderId="0" xfId="0" applyNumberFormat="1" applyAlignment="1">
      <alignment horizontal="center"/>
    </xf>
    <xf numFmtId="0" fontId="49" fillId="0" borderId="4" xfId="0" applyFont="1" applyBorder="1" applyAlignment="1">
      <alignment horizontal="left"/>
    </xf>
    <xf numFmtId="0" fontId="49" fillId="0" borderId="4" xfId="0" applyFont="1" applyBorder="1"/>
    <xf numFmtId="0" fontId="49" fillId="0" borderId="9" xfId="0" applyFont="1" applyBorder="1"/>
    <xf numFmtId="178" fontId="6" fillId="2" borderId="1" xfId="0" applyNumberFormat="1" applyFont="1" applyFill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6" fillId="2" borderId="1" xfId="0" applyNumberFormat="1" applyFon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0" fillId="0" borderId="41" xfId="0" applyBorder="1"/>
    <xf numFmtId="0" fontId="51" fillId="0" borderId="74" xfId="2" applyFont="1" applyBorder="1" applyAlignment="1">
      <alignment vertical="center"/>
    </xf>
    <xf numFmtId="0" fontId="51" fillId="0" borderId="0" xfId="2" applyFont="1" applyAlignment="1">
      <alignment vertical="center"/>
    </xf>
    <xf numFmtId="0" fontId="50" fillId="0" borderId="0" xfId="2" applyFont="1" applyAlignment="1">
      <alignment vertical="center"/>
    </xf>
    <xf numFmtId="0" fontId="1" fillId="0" borderId="0" xfId="2"/>
    <xf numFmtId="0" fontId="53" fillId="0" borderId="0" xfId="2" applyFont="1"/>
    <xf numFmtId="0" fontId="54" fillId="0" borderId="0" xfId="2" applyFont="1"/>
    <xf numFmtId="0" fontId="50" fillId="0" borderId="0" xfId="2" applyFont="1"/>
    <xf numFmtId="0" fontId="50" fillId="0" borderId="0" xfId="2" applyFont="1" applyAlignment="1">
      <alignment horizontal="right"/>
    </xf>
    <xf numFmtId="0" fontId="1" fillId="0" borderId="75" xfId="2" applyBorder="1"/>
    <xf numFmtId="0" fontId="50" fillId="0" borderId="76" xfId="2" applyFont="1" applyBorder="1"/>
    <xf numFmtId="0" fontId="1" fillId="0" borderId="76" xfId="2" applyBorder="1"/>
    <xf numFmtId="0" fontId="0" fillId="8" borderId="29" xfId="0" applyFill="1" applyBorder="1"/>
    <xf numFmtId="0" fontId="0" fillId="8" borderId="29" xfId="0" applyFill="1" applyBorder="1" applyAlignment="1">
      <alignment horizontal="center"/>
    </xf>
    <xf numFmtId="0" fontId="0" fillId="9" borderId="24" xfId="0" applyFill="1" applyBorder="1"/>
    <xf numFmtId="0" fontId="0" fillId="9" borderId="24" xfId="0" applyFill="1" applyBorder="1" applyAlignment="1">
      <alignment horizontal="center"/>
    </xf>
    <xf numFmtId="0" fontId="0" fillId="9" borderId="39" xfId="0" applyFill="1" applyBorder="1"/>
    <xf numFmtId="0" fontId="0" fillId="9" borderId="39" xfId="0" applyFill="1" applyBorder="1" applyAlignment="1">
      <alignment horizontal="center"/>
    </xf>
    <xf numFmtId="0" fontId="0" fillId="9" borderId="2" xfId="0" applyFill="1" applyBorder="1"/>
    <xf numFmtId="0" fontId="28" fillId="0" borderId="39" xfId="0" applyFont="1" applyBorder="1"/>
    <xf numFmtId="0" fontId="28" fillId="0" borderId="47" xfId="0" applyFont="1" applyBorder="1" applyAlignment="1">
      <alignment horizontal="center"/>
    </xf>
    <xf numFmtId="9" fontId="6" fillId="2" borderId="1" xfId="0" applyNumberFormat="1" applyFont="1" applyFill="1" applyBorder="1" applyAlignment="1">
      <alignment horizontal="center"/>
    </xf>
    <xf numFmtId="9" fontId="6" fillId="7" borderId="1" xfId="0" applyNumberFormat="1" applyFont="1" applyFill="1" applyBorder="1" applyAlignment="1">
      <alignment horizontal="center"/>
    </xf>
    <xf numFmtId="1" fontId="0" fillId="9" borderId="39" xfId="0" applyNumberForma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9" borderId="39" xfId="0" applyFont="1" applyFill="1" applyBorder="1"/>
    <xf numFmtId="0" fontId="0" fillId="0" borderId="1" xfId="0" applyBorder="1"/>
    <xf numFmtId="0" fontId="13" fillId="0" borderId="41" xfId="0" applyFont="1" applyBorder="1"/>
    <xf numFmtId="0" fontId="13" fillId="0" borderId="37" xfId="0" applyFont="1" applyBorder="1"/>
    <xf numFmtId="182" fontId="0" fillId="0" borderId="1" xfId="0" applyNumberFormat="1" applyBorder="1" applyAlignment="1">
      <alignment horizontal="center"/>
    </xf>
    <xf numFmtId="183" fontId="13" fillId="0" borderId="1" xfId="3" applyNumberFormat="1" applyBorder="1" applyAlignment="1">
      <alignment horizontal="center"/>
    </xf>
    <xf numFmtId="183" fontId="13" fillId="10" borderId="1" xfId="3" applyNumberFormat="1" applyFill="1" applyBorder="1" applyAlignment="1">
      <alignment horizontal="center"/>
    </xf>
    <xf numFmtId="183" fontId="13" fillId="11" borderId="1" xfId="3" applyNumberFormat="1" applyFill="1" applyBorder="1" applyAlignment="1">
      <alignment horizontal="center"/>
    </xf>
    <xf numFmtId="184" fontId="13" fillId="11" borderId="1" xfId="3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0" borderId="29" xfId="0" applyFont="1" applyBorder="1"/>
    <xf numFmtId="12" fontId="28" fillId="0" borderId="23" xfId="0" applyNumberFormat="1" applyFont="1" applyBorder="1" applyAlignment="1">
      <alignment horizontal="left"/>
    </xf>
    <xf numFmtId="0" fontId="13" fillId="0" borderId="7" xfId="0" applyFont="1" applyBorder="1"/>
    <xf numFmtId="0" fontId="28" fillId="0" borderId="8" xfId="0" applyFont="1" applyBorder="1" applyAlignment="1">
      <alignment horizontal="left"/>
    </xf>
    <xf numFmtId="1" fontId="0" fillId="0" borderId="48" xfId="0" applyNumberFormat="1" applyBorder="1" applyAlignment="1">
      <alignment horizontal="center"/>
    </xf>
    <xf numFmtId="185" fontId="13" fillId="11" borderId="1" xfId="3" applyNumberFormat="1" applyFill="1" applyBorder="1" applyAlignment="1">
      <alignment horizontal="center"/>
    </xf>
    <xf numFmtId="186" fontId="13" fillId="10" borderId="1" xfId="3" applyNumberForma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13" fillId="0" borderId="22" xfId="0" applyFont="1" applyBorder="1"/>
    <xf numFmtId="187" fontId="0" fillId="0" borderId="22" xfId="0" applyNumberFormat="1" applyBorder="1" applyAlignment="1">
      <alignment horizontal="center"/>
    </xf>
    <xf numFmtId="187" fontId="0" fillId="0" borderId="0" xfId="0" applyNumberFormat="1" applyAlignment="1">
      <alignment horizontal="center"/>
    </xf>
    <xf numFmtId="0" fontId="13" fillId="0" borderId="29" xfId="0" applyFont="1" applyBorder="1" applyAlignment="1">
      <alignment horizontal="left"/>
    </xf>
    <xf numFmtId="187" fontId="0" fillId="0" borderId="48" xfId="0" applyNumberFormat="1" applyBorder="1" applyAlignment="1">
      <alignment horizontal="center"/>
    </xf>
    <xf numFmtId="177" fontId="0" fillId="0" borderId="48" xfId="0" applyNumberFormat="1" applyBorder="1" applyAlignment="1">
      <alignment horizontal="center"/>
    </xf>
    <xf numFmtId="0" fontId="13" fillId="9" borderId="2" xfId="0" applyFont="1" applyFill="1" applyBorder="1"/>
    <xf numFmtId="188" fontId="6" fillId="2" borderId="1" xfId="0" applyNumberFormat="1" applyFont="1" applyFill="1" applyBorder="1" applyAlignment="1">
      <alignment horizontal="center"/>
    </xf>
    <xf numFmtId="189" fontId="6" fillId="2" borderId="1" xfId="0" applyNumberFormat="1" applyFont="1" applyFill="1" applyBorder="1" applyAlignment="1">
      <alignment horizontal="center"/>
    </xf>
    <xf numFmtId="190" fontId="0" fillId="0" borderId="2" xfId="0" applyNumberFormat="1" applyBorder="1" applyAlignment="1">
      <alignment horizontal="center"/>
    </xf>
    <xf numFmtId="190" fontId="0" fillId="0" borderId="1" xfId="0" applyNumberForma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39" fillId="0" borderId="31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right"/>
    </xf>
    <xf numFmtId="0" fontId="0" fillId="12" borderId="1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9" fontId="0" fillId="12" borderId="2" xfId="0" applyNumberFormat="1" applyFill="1" applyBorder="1" applyAlignment="1">
      <alignment horizontal="center"/>
    </xf>
    <xf numFmtId="0" fontId="55" fillId="0" borderId="61" xfId="0" applyFont="1" applyBorder="1"/>
    <xf numFmtId="0" fontId="55" fillId="0" borderId="10" xfId="0" applyFont="1" applyBorder="1"/>
    <xf numFmtId="0" fontId="13" fillId="0" borderId="47" xfId="0" applyFont="1" applyBorder="1" applyAlignment="1">
      <alignment horizontal="center"/>
    </xf>
    <xf numFmtId="0" fontId="13" fillId="0" borderId="12" xfId="0" applyFont="1" applyBorder="1" applyAlignment="1">
      <alignment horizontal="right"/>
    </xf>
    <xf numFmtId="4" fontId="13" fillId="0" borderId="43" xfId="0" applyNumberFormat="1" applyFont="1" applyBorder="1" applyAlignment="1">
      <alignment horizontal="right"/>
    </xf>
    <xf numFmtId="0" fontId="55" fillId="0" borderId="66" xfId="0" applyFont="1" applyBorder="1"/>
    <xf numFmtId="0" fontId="55" fillId="0" borderId="57" xfId="0" applyFont="1" applyBorder="1"/>
    <xf numFmtId="0" fontId="13" fillId="0" borderId="58" xfId="0" applyFont="1" applyBorder="1" applyAlignment="1">
      <alignment horizontal="center"/>
    </xf>
    <xf numFmtId="0" fontId="13" fillId="0" borderId="56" xfId="0" applyFont="1" applyBorder="1" applyAlignment="1">
      <alignment horizontal="right"/>
    </xf>
    <xf numFmtId="4" fontId="13" fillId="0" borderId="65" xfId="0" applyNumberFormat="1" applyFont="1" applyBorder="1" applyAlignment="1">
      <alignment horizontal="right"/>
    </xf>
    <xf numFmtId="0" fontId="55" fillId="0" borderId="64" xfId="0" applyFont="1" applyBorder="1"/>
    <xf numFmtId="14" fontId="42" fillId="0" borderId="0" xfId="0" applyNumberFormat="1" applyFont="1" applyAlignment="1">
      <alignment horizontal="right"/>
    </xf>
    <xf numFmtId="0" fontId="0" fillId="9" borderId="2" xfId="0" applyFill="1" applyBorder="1" applyAlignment="1">
      <alignment horizontal="center"/>
    </xf>
    <xf numFmtId="0" fontId="0" fillId="13" borderId="77" xfId="0" applyFill="1" applyBorder="1"/>
    <xf numFmtId="0" fontId="0" fillId="13" borderId="80" xfId="0" applyFill="1" applyBorder="1"/>
    <xf numFmtId="0" fontId="0" fillId="13" borderId="82" xfId="0" applyFill="1" applyBorder="1"/>
    <xf numFmtId="0" fontId="0" fillId="13" borderId="0" xfId="0" applyFill="1"/>
    <xf numFmtId="0" fontId="0" fillId="13" borderId="81" xfId="0" applyFill="1" applyBorder="1"/>
    <xf numFmtId="0" fontId="0" fillId="13" borderId="83" xfId="0" applyFill="1" applyBorder="1"/>
    <xf numFmtId="0" fontId="0" fillId="13" borderId="84" xfId="0" applyFill="1" applyBorder="1"/>
    <xf numFmtId="0" fontId="0" fillId="13" borderId="79" xfId="0" applyFill="1" applyBorder="1"/>
    <xf numFmtId="0" fontId="0" fillId="13" borderId="78" xfId="0" applyFill="1" applyBorder="1"/>
    <xf numFmtId="0" fontId="0" fillId="0" borderId="34" xfId="0" applyBorder="1"/>
    <xf numFmtId="191" fontId="6" fillId="2" borderId="1" xfId="0" applyNumberFormat="1" applyFont="1" applyFill="1" applyBorder="1" applyAlignment="1">
      <alignment horizontal="center"/>
    </xf>
    <xf numFmtId="192" fontId="6" fillId="2" borderId="1" xfId="0" applyNumberFormat="1" applyFont="1" applyFill="1" applyBorder="1" applyAlignment="1">
      <alignment horizontal="center"/>
    </xf>
    <xf numFmtId="192" fontId="6" fillId="7" borderId="1" xfId="0" applyNumberFormat="1" applyFont="1" applyFill="1" applyBorder="1" applyAlignment="1">
      <alignment horizontal="center"/>
    </xf>
    <xf numFmtId="0" fontId="0" fillId="0" borderId="43" xfId="0" applyBorder="1"/>
    <xf numFmtId="0" fontId="0" fillId="0" borderId="28" xfId="0" applyBorder="1"/>
    <xf numFmtId="0" fontId="0" fillId="0" borderId="67" xfId="0" applyBorder="1"/>
    <xf numFmtId="0" fontId="0" fillId="0" borderId="44" xfId="0" applyBorder="1"/>
    <xf numFmtId="0" fontId="0" fillId="0" borderId="45" xfId="0" applyBorder="1"/>
    <xf numFmtId="0" fontId="0" fillId="0" borderId="36" xfId="0" applyBorder="1"/>
    <xf numFmtId="0" fontId="0" fillId="14" borderId="27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172" fontId="0" fillId="0" borderId="27" xfId="0" applyNumberFormat="1" applyBorder="1" applyAlignment="1">
      <alignment horizontal="center"/>
    </xf>
    <xf numFmtId="172" fontId="0" fillId="0" borderId="35" xfId="0" applyNumberFormat="1" applyBorder="1" applyAlignment="1">
      <alignment horizontal="center"/>
    </xf>
    <xf numFmtId="0" fontId="0" fillId="14" borderId="85" xfId="0" applyFill="1" applyBorder="1" applyAlignment="1">
      <alignment horizontal="center"/>
    </xf>
    <xf numFmtId="0" fontId="0" fillId="0" borderId="60" xfId="0" applyBorder="1"/>
    <xf numFmtId="2" fontId="0" fillId="0" borderId="37" xfId="0" applyNumberFormat="1" applyBorder="1" applyAlignment="1">
      <alignment horizontal="center"/>
    </xf>
    <xf numFmtId="0" fontId="0" fillId="0" borderId="38" xfId="0" applyBorder="1"/>
    <xf numFmtId="2" fontId="0" fillId="0" borderId="86" xfId="0" applyNumberFormat="1" applyBorder="1" applyAlignment="1">
      <alignment horizontal="center"/>
    </xf>
    <xf numFmtId="0" fontId="0" fillId="0" borderId="87" xfId="0" applyBorder="1"/>
    <xf numFmtId="2" fontId="0" fillId="0" borderId="88" xfId="0" applyNumberFormat="1" applyBorder="1" applyAlignment="1">
      <alignment horizontal="center"/>
    </xf>
    <xf numFmtId="0" fontId="0" fillId="0" borderId="89" xfId="0" applyBorder="1"/>
    <xf numFmtId="0" fontId="13" fillId="0" borderId="4" xfId="0" applyFont="1" applyBorder="1"/>
    <xf numFmtId="0" fontId="13" fillId="0" borderId="60" xfId="0" applyFont="1" applyBorder="1"/>
    <xf numFmtId="2" fontId="0" fillId="0" borderId="85" xfId="0" applyNumberFormat="1" applyBorder="1" applyAlignment="1">
      <alignment horizontal="center"/>
    </xf>
    <xf numFmtId="0" fontId="0" fillId="15" borderId="91" xfId="0" applyFill="1" applyBorder="1"/>
    <xf numFmtId="0" fontId="0" fillId="15" borderId="0" xfId="0" applyFill="1"/>
    <xf numFmtId="0" fontId="0" fillId="15" borderId="96" xfId="0" applyFill="1" applyBorder="1"/>
    <xf numFmtId="0" fontId="0" fillId="15" borderId="93" xfId="0" applyFill="1" applyBorder="1"/>
    <xf numFmtId="0" fontId="0" fillId="15" borderId="95" xfId="0" applyFill="1" applyBorder="1"/>
    <xf numFmtId="0" fontId="0" fillId="15" borderId="90" xfId="0" applyFill="1" applyBorder="1"/>
    <xf numFmtId="0" fontId="0" fillId="15" borderId="93" xfId="0" applyFill="1" applyBorder="1" applyAlignment="1">
      <alignment horizontal="right"/>
    </xf>
    <xf numFmtId="167" fontId="60" fillId="0" borderId="13" xfId="0" applyNumberFormat="1" applyFont="1" applyBorder="1"/>
    <xf numFmtId="15" fontId="0" fillId="0" borderId="0" xfId="0" applyNumberFormat="1"/>
    <xf numFmtId="15" fontId="39" fillId="0" borderId="0" xfId="0" applyNumberFormat="1" applyFont="1" applyAlignment="1">
      <alignment horizontal="center"/>
    </xf>
    <xf numFmtId="0" fontId="63" fillId="0" borderId="0" xfId="0" applyFont="1" applyAlignment="1">
      <alignment horizontal="center" vertical="center"/>
    </xf>
    <xf numFmtId="0" fontId="62" fillId="16" borderId="98" xfId="4" applyFont="1" applyFill="1" applyBorder="1" applyAlignment="1">
      <alignment horizontal="center"/>
    </xf>
    <xf numFmtId="15" fontId="62" fillId="0" borderId="99" xfId="4" applyNumberFormat="1" applyFont="1" applyBorder="1" applyAlignment="1">
      <alignment horizontal="right" wrapText="1"/>
    </xf>
    <xf numFmtId="15" fontId="62" fillId="0" borderId="100" xfId="4" applyNumberFormat="1" applyFont="1" applyBorder="1" applyAlignment="1">
      <alignment horizontal="right" wrapText="1"/>
    </xf>
    <xf numFmtId="0" fontId="45" fillId="0" borderId="0" xfId="0" applyFont="1"/>
    <xf numFmtId="0" fontId="13" fillId="0" borderId="0" xfId="5"/>
    <xf numFmtId="193" fontId="13" fillId="0" borderId="0" xfId="5" applyNumberFormat="1" applyAlignment="1">
      <alignment horizontal="center"/>
    </xf>
    <xf numFmtId="0" fontId="13" fillId="0" borderId="0" xfId="5" applyAlignment="1">
      <alignment horizontal="center"/>
    </xf>
    <xf numFmtId="193" fontId="13" fillId="0" borderId="0" xfId="5" applyNumberFormat="1"/>
    <xf numFmtId="164" fontId="13" fillId="0" borderId="0" xfId="5" applyNumberFormat="1"/>
    <xf numFmtId="1" fontId="0" fillId="0" borderId="0" xfId="0" applyNumberFormat="1"/>
    <xf numFmtId="0" fontId="39" fillId="0" borderId="7" xfId="0" applyFont="1" applyBorder="1" applyAlignment="1">
      <alignment vertical="center"/>
    </xf>
    <xf numFmtId="0" fontId="46" fillId="0" borderId="13" xfId="5" applyFont="1" applyBorder="1"/>
    <xf numFmtId="0" fontId="29" fillId="0" borderId="13" xfId="5" applyFont="1" applyBorder="1" applyAlignment="1">
      <alignment horizontal="left"/>
    </xf>
    <xf numFmtId="0" fontId="29" fillId="0" borderId="0" xfId="5" applyFont="1"/>
    <xf numFmtId="0" fontId="66" fillId="0" borderId="0" xfId="0" applyFont="1"/>
    <xf numFmtId="0" fontId="66" fillId="0" borderId="0" xfId="0" applyFont="1" applyAlignment="1">
      <alignment horizontal="center"/>
    </xf>
    <xf numFmtId="0" fontId="65" fillId="0" borderId="13" xfId="5" applyFont="1" applyBorder="1"/>
    <xf numFmtId="0" fontId="29" fillId="0" borderId="13" xfId="5" applyFont="1" applyBorder="1"/>
    <xf numFmtId="0" fontId="29" fillId="0" borderId="66" xfId="5" applyFont="1" applyBorder="1"/>
    <xf numFmtId="0" fontId="65" fillId="0" borderId="66" xfId="5" applyFont="1" applyBorder="1"/>
    <xf numFmtId="0" fontId="29" fillId="0" borderId="49" xfId="5" applyFont="1" applyBorder="1"/>
    <xf numFmtId="0" fontId="0" fillId="0" borderId="1" xfId="0" applyBorder="1" applyAlignment="1">
      <alignment horizontal="center"/>
    </xf>
    <xf numFmtId="173" fontId="6" fillId="7" borderId="1" xfId="0" applyNumberFormat="1" applyFont="1" applyFill="1" applyBorder="1" applyAlignment="1">
      <alignment horizontal="center"/>
    </xf>
    <xf numFmtId="173" fontId="6" fillId="0" borderId="1" xfId="0" applyNumberFormat="1" applyFont="1" applyBorder="1" applyAlignment="1">
      <alignment horizontal="center"/>
    </xf>
    <xf numFmtId="187" fontId="0" fillId="0" borderId="0" xfId="0" applyNumberFormat="1"/>
    <xf numFmtId="0" fontId="39" fillId="0" borderId="0" xfId="0" applyFont="1" applyAlignment="1">
      <alignment vertical="center" wrapText="1"/>
    </xf>
    <xf numFmtId="0" fontId="39" fillId="0" borderId="1" xfId="0" applyFont="1" applyBorder="1" applyAlignment="1">
      <alignment horizontal="center" vertical="center"/>
    </xf>
    <xf numFmtId="173" fontId="67" fillId="2" borderId="1" xfId="0" applyNumberFormat="1" applyFont="1" applyFill="1" applyBorder="1" applyAlignment="1">
      <alignment horizontal="center" vertical="center"/>
    </xf>
    <xf numFmtId="173" fontId="67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9" fillId="0" borderId="0" xfId="0" applyFont="1" applyAlignment="1">
      <alignment horizontal="right" vertical="center"/>
    </xf>
    <xf numFmtId="0" fontId="39" fillId="0" borderId="0" xfId="0" applyFont="1" applyAlignment="1">
      <alignment horizontal="left" vertical="center" wrapText="1"/>
    </xf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horizontal="right" vertical="top" wrapText="1"/>
    </xf>
    <xf numFmtId="0" fontId="39" fillId="0" borderId="0" xfId="0" applyFont="1" applyAlignment="1">
      <alignment horizontal="right"/>
    </xf>
    <xf numFmtId="175" fontId="39" fillId="0" borderId="0" xfId="0" applyNumberFormat="1" applyFont="1" applyAlignment="1">
      <alignment horizontal="right"/>
    </xf>
    <xf numFmtId="0" fontId="0" fillId="15" borderId="0" xfId="0" applyFill="1" applyAlignment="1">
      <alignment horizontal="center"/>
    </xf>
    <xf numFmtId="0" fontId="0" fillId="0" borderId="48" xfId="0" applyBorder="1" applyAlignment="1">
      <alignment horizontal="center"/>
    </xf>
    <xf numFmtId="0" fontId="13" fillId="0" borderId="0" xfId="0" applyFont="1" applyAlignment="1">
      <alignment horizontal="center"/>
    </xf>
    <xf numFmtId="0" fontId="0" fillId="15" borderId="96" xfId="0" applyFill="1" applyBorder="1" applyAlignment="1">
      <alignment horizontal="center"/>
    </xf>
    <xf numFmtId="0" fontId="0" fillId="15" borderId="92" xfId="0" applyFill="1" applyBorder="1" applyAlignment="1">
      <alignment horizontal="center"/>
    </xf>
    <xf numFmtId="0" fontId="0" fillId="15" borderId="94" xfId="0" applyFill="1" applyBorder="1" applyAlignment="1">
      <alignment horizontal="center"/>
    </xf>
    <xf numFmtId="0" fontId="0" fillId="15" borderId="97" xfId="0" applyFill="1" applyBorder="1" applyAlignment="1">
      <alignment horizontal="center"/>
    </xf>
    <xf numFmtId="0" fontId="13" fillId="0" borderId="49" xfId="5" applyBorder="1"/>
    <xf numFmtId="0" fontId="13" fillId="0" borderId="0" xfId="5" applyAlignment="1">
      <alignment horizontal="right"/>
    </xf>
    <xf numFmtId="0" fontId="69" fillId="2" borderId="32" xfId="5" applyFont="1" applyFill="1" applyBorder="1" applyAlignment="1">
      <alignment horizontal="center"/>
    </xf>
    <xf numFmtId="0" fontId="65" fillId="0" borderId="0" xfId="5" applyFont="1"/>
    <xf numFmtId="14" fontId="69" fillId="2" borderId="32" xfId="5" applyNumberFormat="1" applyFont="1" applyFill="1" applyBorder="1" applyAlignment="1">
      <alignment horizontal="center"/>
    </xf>
    <xf numFmtId="0" fontId="65" fillId="0" borderId="0" xfId="5" applyFont="1" applyAlignment="1">
      <alignment horizontal="center"/>
    </xf>
    <xf numFmtId="0" fontId="69" fillId="0" borderId="0" xfId="5" applyFont="1" applyAlignment="1">
      <alignment horizontal="center"/>
    </xf>
    <xf numFmtId="0" fontId="65" fillId="3" borderId="101" xfId="5" applyFont="1" applyFill="1" applyBorder="1"/>
    <xf numFmtId="0" fontId="65" fillId="3" borderId="102" xfId="5" applyFont="1" applyFill="1" applyBorder="1"/>
    <xf numFmtId="0" fontId="65" fillId="3" borderId="102" xfId="5" applyFont="1" applyFill="1" applyBorder="1" applyAlignment="1">
      <alignment horizontal="center"/>
    </xf>
    <xf numFmtId="0" fontId="65" fillId="3" borderId="32" xfId="5" applyFont="1" applyFill="1" applyBorder="1" applyAlignment="1">
      <alignment horizontal="center"/>
    </xf>
    <xf numFmtId="0" fontId="65" fillId="3" borderId="106" xfId="5" applyFont="1" applyFill="1" applyBorder="1" applyAlignment="1">
      <alignment horizontal="center"/>
    </xf>
    <xf numFmtId="0" fontId="65" fillId="0" borderId="103" xfId="6" applyNumberFormat="1" applyFont="1" applyBorder="1" applyAlignment="1">
      <alignment horizontal="center" vertical="center"/>
    </xf>
    <xf numFmtId="43" fontId="65" fillId="0" borderId="103" xfId="6" applyNumberFormat="1" applyFont="1" applyBorder="1" applyAlignment="1">
      <alignment horizontal="right" vertical="center"/>
    </xf>
    <xf numFmtId="4" fontId="29" fillId="0" borderId="103" xfId="5" applyNumberFormat="1" applyFont="1" applyBorder="1" applyAlignment="1">
      <alignment horizontal="right" vertical="center"/>
    </xf>
    <xf numFmtId="4" fontId="65" fillId="0" borderId="104" xfId="5" applyNumberFormat="1" applyFont="1" applyBorder="1" applyAlignment="1">
      <alignment horizontal="right" vertical="center"/>
    </xf>
    <xf numFmtId="0" fontId="65" fillId="0" borderId="104" xfId="6" applyNumberFormat="1" applyFont="1" applyBorder="1" applyAlignment="1">
      <alignment horizontal="center" vertical="center"/>
    </xf>
    <xf numFmtId="43" fontId="65" fillId="0" borderId="104" xfId="6" applyNumberFormat="1" applyFont="1" applyBorder="1" applyAlignment="1">
      <alignment horizontal="right" vertical="center"/>
    </xf>
    <xf numFmtId="0" fontId="65" fillId="0" borderId="105" xfId="6" applyNumberFormat="1" applyFont="1" applyBorder="1" applyAlignment="1">
      <alignment horizontal="center" vertical="center"/>
    </xf>
    <xf numFmtId="43" fontId="65" fillId="0" borderId="105" xfId="6" applyNumberFormat="1" applyFont="1" applyBorder="1" applyAlignment="1">
      <alignment horizontal="right" vertical="center"/>
    </xf>
    <xf numFmtId="4" fontId="65" fillId="0" borderId="104" xfId="5" applyNumberFormat="1" applyFont="1" applyBorder="1" applyAlignment="1">
      <alignment horizontal="right"/>
    </xf>
    <xf numFmtId="0" fontId="65" fillId="0" borderId="105" xfId="6" applyNumberFormat="1" applyFont="1" applyBorder="1" applyAlignment="1">
      <alignment horizontal="center"/>
    </xf>
    <xf numFmtId="4" fontId="29" fillId="0" borderId="105" xfId="5" applyNumberFormat="1" applyFont="1" applyBorder="1" applyAlignment="1">
      <alignment horizontal="right"/>
    </xf>
    <xf numFmtId="4" fontId="65" fillId="6" borderId="32" xfId="5" applyNumberFormat="1" applyFont="1" applyFill="1" applyBorder="1" applyAlignment="1">
      <alignment horizontal="right"/>
    </xf>
    <xf numFmtId="0" fontId="65" fillId="0" borderId="101" xfId="6" applyNumberFormat="1" applyFont="1" applyBorder="1" applyAlignment="1">
      <alignment horizontal="center"/>
    </xf>
    <xf numFmtId="9" fontId="65" fillId="0" borderId="102" xfId="6" applyNumberFormat="1" applyFont="1" applyBorder="1" applyAlignment="1">
      <alignment horizontal="center"/>
    </xf>
    <xf numFmtId="0" fontId="65" fillId="0" borderId="31" xfId="5" applyFont="1" applyBorder="1"/>
    <xf numFmtId="0" fontId="69" fillId="0" borderId="0" xfId="5" applyFont="1"/>
    <xf numFmtId="0" fontId="46" fillId="0" borderId="0" xfId="5" applyFont="1"/>
    <xf numFmtId="9" fontId="65" fillId="0" borderId="0" xfId="6" applyNumberFormat="1" applyFont="1" applyBorder="1" applyAlignment="1">
      <alignment horizontal="center"/>
    </xf>
    <xf numFmtId="4" fontId="65" fillId="6" borderId="41" xfId="5" applyNumberFormat="1" applyFont="1" applyFill="1" applyBorder="1" applyAlignment="1">
      <alignment horizontal="right"/>
    </xf>
    <xf numFmtId="4" fontId="65" fillId="0" borderId="102" xfId="5" applyNumberFormat="1" applyFont="1" applyBorder="1" applyAlignment="1">
      <alignment horizontal="right"/>
    </xf>
    <xf numFmtId="172" fontId="13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11" borderId="110" xfId="0" applyFill="1" applyBorder="1"/>
    <xf numFmtId="0" fontId="0" fillId="11" borderId="111" xfId="0" applyFill="1" applyBorder="1"/>
    <xf numFmtId="0" fontId="0" fillId="11" borderId="0" xfId="0" applyFill="1"/>
    <xf numFmtId="0" fontId="13" fillId="0" borderId="22" xfId="0" applyFont="1" applyBorder="1" applyAlignment="1">
      <alignment horizontal="right"/>
    </xf>
    <xf numFmtId="194" fontId="0" fillId="12" borderId="1" xfId="0" applyNumberFormat="1" applyFill="1" applyBorder="1" applyAlignment="1">
      <alignment horizontal="center"/>
    </xf>
    <xf numFmtId="0" fontId="0" fillId="11" borderId="112" xfId="0" applyFill="1" applyBorder="1"/>
    <xf numFmtId="0" fontId="13" fillId="11" borderId="0" xfId="0" applyFont="1" applyFill="1"/>
    <xf numFmtId="194" fontId="0" fillId="0" borderId="0" xfId="0" applyNumberFormat="1" applyAlignment="1">
      <alignment horizontal="center"/>
    </xf>
    <xf numFmtId="194" fontId="0" fillId="0" borderId="23" xfId="0" applyNumberFormat="1" applyBorder="1" applyAlignment="1">
      <alignment horizontal="center"/>
    </xf>
    <xf numFmtId="0" fontId="13" fillId="11" borderId="112" xfId="0" applyFont="1" applyFill="1" applyBorder="1"/>
    <xf numFmtId="195" fontId="0" fillId="0" borderId="0" xfId="0" applyNumberFormat="1" applyAlignment="1">
      <alignment horizontal="center"/>
    </xf>
    <xf numFmtId="195" fontId="0" fillId="0" borderId="23" xfId="0" applyNumberFormat="1" applyBorder="1" applyAlignment="1">
      <alignment horizontal="center"/>
    </xf>
    <xf numFmtId="195" fontId="0" fillId="0" borderId="48" xfId="0" applyNumberFormat="1" applyBorder="1" applyAlignment="1">
      <alignment horizontal="center"/>
    </xf>
    <xf numFmtId="195" fontId="0" fillId="0" borderId="8" xfId="0" applyNumberFormat="1" applyBorder="1" applyAlignment="1">
      <alignment horizontal="center"/>
    </xf>
    <xf numFmtId="0" fontId="0" fillId="11" borderId="113" xfId="0" applyFill="1" applyBorder="1"/>
    <xf numFmtId="0" fontId="0" fillId="11" borderId="114" xfId="0" applyFill="1" applyBorder="1"/>
    <xf numFmtId="164" fontId="13" fillId="0" borderId="0" xfId="10" applyFont="1" applyAlignment="1">
      <alignment horizontal="center"/>
    </xf>
    <xf numFmtId="164" fontId="13" fillId="0" borderId="0" xfId="10" applyFont="1" applyBorder="1" applyAlignment="1">
      <alignment horizontal="center"/>
    </xf>
    <xf numFmtId="0" fontId="29" fillId="0" borderId="107" xfId="5" applyFont="1" applyBorder="1"/>
    <xf numFmtId="0" fontId="29" fillId="0" borderId="108" xfId="5" applyFont="1" applyBorder="1"/>
    <xf numFmtId="0" fontId="29" fillId="0" borderId="109" xfId="5" applyFont="1" applyBorder="1"/>
    <xf numFmtId="1" fontId="65" fillId="0" borderId="103" xfId="6" applyNumberFormat="1" applyFont="1" applyBorder="1" applyAlignment="1">
      <alignment horizontal="center" vertical="center"/>
    </xf>
    <xf numFmtId="4" fontId="65" fillId="0" borderId="103" xfId="5" applyNumberFormat="1" applyFont="1" applyBorder="1" applyAlignment="1">
      <alignment horizontal="right" vertical="center"/>
    </xf>
    <xf numFmtId="1" fontId="65" fillId="0" borderId="104" xfId="6" applyNumberFormat="1" applyFont="1" applyBorder="1" applyAlignment="1">
      <alignment horizontal="center" vertical="center"/>
    </xf>
    <xf numFmtId="0" fontId="29" fillId="0" borderId="13" xfId="5" applyFont="1" applyBorder="1" applyAlignment="1">
      <alignment horizontal="left" vertical="top" wrapText="1"/>
    </xf>
    <xf numFmtId="0" fontId="65" fillId="3" borderId="101" xfId="5" applyFont="1" applyFill="1" applyBorder="1" applyAlignment="1">
      <alignment horizontal="center"/>
    </xf>
    <xf numFmtId="0" fontId="29" fillId="0" borderId="118" xfId="5" applyFont="1" applyBorder="1"/>
    <xf numFmtId="0" fontId="13" fillId="0" borderId="104" xfId="5" applyBorder="1"/>
    <xf numFmtId="0" fontId="46" fillId="0" borderId="66" xfId="5" applyFont="1" applyBorder="1"/>
    <xf numFmtId="0" fontId="46" fillId="0" borderId="118" xfId="5" applyFont="1" applyBorder="1"/>
    <xf numFmtId="4" fontId="65" fillId="6" borderId="54" xfId="5" applyNumberFormat="1" applyFont="1" applyFill="1" applyBorder="1" applyAlignment="1">
      <alignment horizontal="right"/>
    </xf>
    <xf numFmtId="0" fontId="65" fillId="0" borderId="118" xfId="5" applyFont="1" applyBorder="1"/>
    <xf numFmtId="0" fontId="13" fillId="0" borderId="105" xfId="5" applyBorder="1"/>
    <xf numFmtId="0" fontId="29" fillId="0" borderId="108" xfId="5" applyFont="1" applyBorder="1" applyAlignment="1">
      <alignment horizontal="left"/>
    </xf>
    <xf numFmtId="0" fontId="46" fillId="0" borderId="108" xfId="5" applyFont="1" applyBorder="1"/>
    <xf numFmtId="0" fontId="13" fillId="0" borderId="103" xfId="5" applyBorder="1" applyAlignment="1">
      <alignment horizontal="center" vertical="center"/>
    </xf>
    <xf numFmtId="0" fontId="13" fillId="0" borderId="104" xfId="5" applyBorder="1" applyAlignment="1">
      <alignment horizontal="center" vertical="center"/>
    </xf>
    <xf numFmtId="0" fontId="13" fillId="0" borderId="66" xfId="5" applyBorder="1" applyAlignment="1">
      <alignment horizontal="center" vertical="center"/>
    </xf>
    <xf numFmtId="0" fontId="13" fillId="0" borderId="107" xfId="5" applyBorder="1" applyAlignment="1">
      <alignment horizontal="center" vertical="center"/>
    </xf>
    <xf numFmtId="0" fontId="46" fillId="0" borderId="104" xfId="6" applyNumberFormat="1" applyFont="1" applyBorder="1" applyAlignment="1">
      <alignment horizontal="center" vertical="center"/>
    </xf>
    <xf numFmtId="43" fontId="46" fillId="0" borderId="104" xfId="6" applyNumberFormat="1" applyFont="1" applyBorder="1" applyAlignment="1">
      <alignment horizontal="right" vertical="center"/>
    </xf>
    <xf numFmtId="4" fontId="46" fillId="0" borderId="104" xfId="5" applyNumberFormat="1" applyFont="1" applyBorder="1" applyAlignment="1">
      <alignment horizontal="right" vertical="center"/>
    </xf>
    <xf numFmtId="4" fontId="29" fillId="0" borderId="105" xfId="5" applyNumberFormat="1" applyFont="1" applyBorder="1" applyAlignment="1">
      <alignment horizontal="right" vertical="center"/>
    </xf>
    <xf numFmtId="0" fontId="29" fillId="0" borderId="118" xfId="5" applyFont="1" applyBorder="1" applyAlignment="1">
      <alignment horizontal="left" vertical="top" wrapText="1"/>
    </xf>
    <xf numFmtId="0" fontId="65" fillId="0" borderId="101" xfId="6" applyNumberFormat="1" applyFont="1" applyBorder="1" applyAlignment="1">
      <alignment horizontal="right" vertical="center"/>
    </xf>
    <xf numFmtId="0" fontId="13" fillId="0" borderId="0" xfId="5" applyAlignment="1">
      <alignment horizontal="center" vertical="center"/>
    </xf>
    <xf numFmtId="0" fontId="13" fillId="0" borderId="5" xfId="0" applyFont="1" applyBorder="1" applyAlignment="1">
      <alignment horizontal="center"/>
    </xf>
    <xf numFmtId="173" fontId="68" fillId="7" borderId="4" xfId="0" applyNumberFormat="1" applyFon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12" fontId="6" fillId="2" borderId="1" xfId="0" applyNumberFormat="1" applyFont="1" applyFill="1" applyBorder="1" applyAlignment="1">
      <alignment horizontal="left"/>
    </xf>
    <xf numFmtId="0" fontId="13" fillId="0" borderId="48" xfId="0" applyFont="1" applyBorder="1" applyAlignment="1">
      <alignment horizontal="center"/>
    </xf>
    <xf numFmtId="9" fontId="6" fillId="2" borderId="1" xfId="11" applyFont="1" applyFill="1" applyBorder="1" applyAlignment="1">
      <alignment horizontal="center"/>
    </xf>
    <xf numFmtId="0" fontId="13" fillId="0" borderId="104" xfId="6" applyNumberFormat="1" applyFont="1" applyBorder="1" applyAlignment="1">
      <alignment horizontal="center" vertical="center"/>
    </xf>
    <xf numFmtId="43" fontId="13" fillId="0" borderId="104" xfId="6" applyNumberFormat="1" applyFont="1" applyBorder="1" applyAlignment="1">
      <alignment horizontal="right" vertical="center"/>
    </xf>
    <xf numFmtId="4" fontId="13" fillId="0" borderId="104" xfId="5" applyNumberFormat="1" applyBorder="1" applyAlignment="1">
      <alignment horizontal="right" vertical="center"/>
    </xf>
    <xf numFmtId="1" fontId="13" fillId="0" borderId="104" xfId="6" applyNumberFormat="1" applyFont="1" applyBorder="1" applyAlignment="1">
      <alignment horizontal="center" vertical="center"/>
    </xf>
    <xf numFmtId="4" fontId="13" fillId="0" borderId="104" xfId="5" applyNumberFormat="1" applyBorder="1" applyAlignment="1">
      <alignment horizontal="right"/>
    </xf>
    <xf numFmtId="0" fontId="13" fillId="0" borderId="103" xfId="5" applyBorder="1" applyAlignment="1">
      <alignment horizontal="center"/>
    </xf>
    <xf numFmtId="0" fontId="13" fillId="0" borderId="103" xfId="6" applyNumberFormat="1" applyFont="1" applyBorder="1" applyAlignment="1">
      <alignment horizontal="center"/>
    </xf>
    <xf numFmtId="4" fontId="16" fillId="0" borderId="103" xfId="5" applyNumberFormat="1" applyFont="1" applyBorder="1" applyAlignment="1">
      <alignment horizontal="right"/>
    </xf>
    <xf numFmtId="0" fontId="13" fillId="0" borderId="104" xfId="5" applyBorder="1" applyAlignment="1">
      <alignment horizontal="center"/>
    </xf>
    <xf numFmtId="0" fontId="13" fillId="0" borderId="104" xfId="6" applyNumberFormat="1" applyFont="1" applyBorder="1" applyAlignment="1">
      <alignment horizontal="center"/>
    </xf>
    <xf numFmtId="0" fontId="13" fillId="0" borderId="107" xfId="5" applyBorder="1" applyAlignment="1">
      <alignment horizontal="center"/>
    </xf>
    <xf numFmtId="0" fontId="16" fillId="0" borderId="107" xfId="5" applyFont="1" applyBorder="1"/>
    <xf numFmtId="0" fontId="16" fillId="0" borderId="108" xfId="5" applyFont="1" applyBorder="1"/>
    <xf numFmtId="0" fontId="13" fillId="0" borderId="105" xfId="6" applyNumberFormat="1" applyFont="1" applyBorder="1" applyAlignment="1">
      <alignment horizontal="center"/>
    </xf>
    <xf numFmtId="43" fontId="13" fillId="0" borderId="105" xfId="6" applyNumberFormat="1" applyFont="1" applyBorder="1" applyAlignment="1">
      <alignment horizontal="right"/>
    </xf>
    <xf numFmtId="4" fontId="16" fillId="0" borderId="105" xfId="5" applyNumberFormat="1" applyFont="1" applyBorder="1" applyAlignment="1">
      <alignment horizontal="right"/>
    </xf>
    <xf numFmtId="0" fontId="13" fillId="0" borderId="66" xfId="5" applyBorder="1" applyAlignment="1">
      <alignment vertical="center"/>
    </xf>
    <xf numFmtId="0" fontId="13" fillId="0" borderId="13" xfId="5" applyBorder="1" applyAlignment="1">
      <alignment vertical="center"/>
    </xf>
    <xf numFmtId="0" fontId="16" fillId="0" borderId="13" xfId="5" applyFont="1" applyBorder="1" applyAlignment="1">
      <alignment horizontal="left" vertical="center"/>
    </xf>
    <xf numFmtId="0" fontId="45" fillId="0" borderId="13" xfId="5" applyFont="1" applyBorder="1" applyAlignment="1">
      <alignment vertical="center"/>
    </xf>
    <xf numFmtId="0" fontId="13" fillId="0" borderId="105" xfId="5" applyBorder="1" applyAlignment="1">
      <alignment vertical="center"/>
    </xf>
    <xf numFmtId="0" fontId="29" fillId="0" borderId="107" xfId="5" applyFont="1" applyBorder="1" applyAlignment="1">
      <alignment vertical="center"/>
    </xf>
    <xf numFmtId="0" fontId="29" fillId="0" borderId="108" xfId="5" applyFont="1" applyBorder="1" applyAlignment="1">
      <alignment horizontal="left" vertical="center"/>
    </xf>
    <xf numFmtId="0" fontId="46" fillId="0" borderId="108" xfId="5" applyFont="1" applyBorder="1" applyAlignment="1">
      <alignment vertical="center"/>
    </xf>
    <xf numFmtId="0" fontId="13" fillId="0" borderId="13" xfId="5" applyBorder="1" applyAlignment="1">
      <alignment horizontal="center" vertical="center"/>
    </xf>
    <xf numFmtId="0" fontId="16" fillId="0" borderId="105" xfId="5" applyFont="1" applyBorder="1"/>
    <xf numFmtId="0" fontId="16" fillId="0" borderId="13" xfId="5" applyFont="1" applyBorder="1" applyAlignment="1">
      <alignment horizontal="center" vertical="center"/>
    </xf>
    <xf numFmtId="0" fontId="13" fillId="0" borderId="118" xfId="5" applyBorder="1" applyAlignment="1">
      <alignment horizontal="center" vertical="center"/>
    </xf>
    <xf numFmtId="0" fontId="29" fillId="0" borderId="105" xfId="5" applyFont="1" applyBorder="1" applyAlignment="1">
      <alignment horizontal="center" vertical="center"/>
    </xf>
    <xf numFmtId="49" fontId="6" fillId="2" borderId="24" xfId="0" applyNumberFormat="1" applyFont="1" applyFill="1" applyBorder="1" applyAlignment="1">
      <alignment horizontal="center"/>
    </xf>
    <xf numFmtId="9" fontId="0" fillId="0" borderId="0" xfId="11" applyFont="1"/>
    <xf numFmtId="9" fontId="0" fillId="0" borderId="0" xfId="0" applyNumberFormat="1"/>
    <xf numFmtId="0" fontId="73" fillId="0" borderId="0" xfId="0" applyFont="1"/>
    <xf numFmtId="0" fontId="63" fillId="0" borderId="0" xfId="0" applyFont="1" applyAlignment="1">
      <alignment horizontal="right"/>
    </xf>
    <xf numFmtId="0" fontId="73" fillId="0" borderId="0" xfId="0" applyFont="1" applyAlignment="1">
      <alignment horizontal="right"/>
    </xf>
    <xf numFmtId="173" fontId="39" fillId="0" borderId="0" xfId="0" applyNumberFormat="1" applyFont="1" applyAlignment="1">
      <alignment horizontal="center"/>
    </xf>
    <xf numFmtId="43" fontId="13" fillId="0" borderId="103" xfId="6" applyNumberFormat="1" applyFont="1" applyBorder="1" applyAlignment="1">
      <alignment horizontal="right" vertical="center"/>
    </xf>
    <xf numFmtId="0" fontId="6" fillId="2" borderId="1" xfId="11" applyNumberFormat="1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3" xfId="0" applyBorder="1" applyAlignment="1">
      <alignment horizontal="left"/>
    </xf>
    <xf numFmtId="0" fontId="39" fillId="0" borderId="29" xfId="0" applyFont="1" applyBorder="1" applyAlignment="1">
      <alignment horizontal="center" textRotation="45" wrapText="1"/>
    </xf>
    <xf numFmtId="0" fontId="56" fillId="0" borderId="29" xfId="0" applyFont="1" applyBorder="1" applyAlignment="1">
      <alignment horizontal="center" textRotation="45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13" fillId="9" borderId="24" xfId="0" applyFont="1" applyFill="1" applyBorder="1" applyAlignment="1">
      <alignment horizontal="center" wrapText="1"/>
    </xf>
    <xf numFmtId="0" fontId="13" fillId="9" borderId="2" xfId="0" applyFont="1" applyFill="1" applyBorder="1" applyAlignment="1">
      <alignment horizontal="center" wrapText="1"/>
    </xf>
    <xf numFmtId="0" fontId="28" fillId="0" borderId="4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9" fillId="15" borderId="91" xfId="0" applyFont="1" applyFill="1" applyBorder="1" applyAlignment="1">
      <alignment horizontal="center" vertical="center"/>
    </xf>
    <xf numFmtId="0" fontId="59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29" xfId="0" applyFont="1" applyBorder="1" applyAlignment="1">
      <alignment horizontal="left" vertical="center"/>
    </xf>
    <xf numFmtId="0" fontId="13" fillId="0" borderId="22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2" fontId="34" fillId="2" borderId="4" xfId="0" applyNumberFormat="1" applyFont="1" applyFill="1" applyBorder="1" applyAlignment="1">
      <alignment horizontal="center"/>
    </xf>
    <xf numFmtId="12" fontId="34" fillId="2" borderId="3" xfId="0" applyNumberFormat="1" applyFont="1" applyFill="1" applyBorder="1" applyAlignment="1">
      <alignment horizontal="center"/>
    </xf>
    <xf numFmtId="12" fontId="34" fillId="2" borderId="9" xfId="0" applyNumberFormat="1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0" fillId="0" borderId="4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70" xfId="0" applyFont="1" applyBorder="1" applyAlignment="1">
      <alignment horizontal="left" vertical="top" wrapText="1"/>
    </xf>
    <xf numFmtId="0" fontId="9" fillId="0" borderId="71" xfId="0" applyFont="1" applyBorder="1" applyAlignment="1">
      <alignment horizontal="left" vertical="top" wrapText="1"/>
    </xf>
    <xf numFmtId="0" fontId="9" fillId="0" borderId="72" xfId="0" applyFont="1" applyBorder="1" applyAlignment="1">
      <alignment horizontal="left" vertical="top" wrapText="1"/>
    </xf>
    <xf numFmtId="0" fontId="9" fillId="0" borderId="29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48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54" fillId="0" borderId="74" xfId="2" applyFont="1" applyBorder="1" applyAlignment="1">
      <alignment horizontal="left" indent="2"/>
    </xf>
    <xf numFmtId="0" fontId="52" fillId="0" borderId="0" xfId="2" applyFont="1" applyAlignment="1">
      <alignment horizontal="center"/>
    </xf>
    <xf numFmtId="1" fontId="68" fillId="0" borderId="4" xfId="0" applyNumberFormat="1" applyFont="1" applyBorder="1" applyAlignment="1">
      <alignment horizontal="center" vertical="center"/>
    </xf>
    <xf numFmtId="1" fontId="68" fillId="0" borderId="3" xfId="0" applyNumberFormat="1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1" fontId="71" fillId="2" borderId="4" xfId="0" applyNumberFormat="1" applyFont="1" applyFill="1" applyBorder="1" applyAlignment="1">
      <alignment horizontal="center"/>
    </xf>
    <xf numFmtId="1" fontId="71" fillId="2" borderId="3" xfId="0" applyNumberFormat="1" applyFont="1" applyFill="1" applyBorder="1" applyAlignment="1">
      <alignment horizontal="center"/>
    </xf>
    <xf numFmtId="0" fontId="56" fillId="0" borderId="4" xfId="0" applyFont="1" applyBorder="1" applyAlignment="1">
      <alignment horizontal="center"/>
    </xf>
    <xf numFmtId="0" fontId="56" fillId="0" borderId="3" xfId="0" applyFont="1" applyBorder="1" applyAlignment="1">
      <alignment horizontal="center"/>
    </xf>
    <xf numFmtId="0" fontId="39" fillId="0" borderId="0" xfId="0" applyFont="1" applyAlignment="1">
      <alignment horizontal="center" vertical="top" wrapText="1"/>
    </xf>
    <xf numFmtId="0" fontId="39" fillId="0" borderId="0" xfId="0" applyFont="1" applyAlignment="1">
      <alignment horizontal="left" vertical="center" wrapText="1"/>
    </xf>
    <xf numFmtId="173" fontId="67" fillId="7" borderId="4" xfId="0" applyNumberFormat="1" applyFont="1" applyFill="1" applyBorder="1" applyAlignment="1">
      <alignment horizontal="center" vertical="center"/>
    </xf>
    <xf numFmtId="173" fontId="67" fillId="7" borderId="3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center"/>
    </xf>
    <xf numFmtId="0" fontId="39" fillId="0" borderId="4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73" fillId="0" borderId="0" xfId="0" applyFont="1" applyAlignment="1">
      <alignment horizontal="left" wrapText="1"/>
    </xf>
    <xf numFmtId="0" fontId="37" fillId="0" borderId="0" xfId="0" applyFont="1" applyAlignment="1">
      <alignment horizontal="center" vertical="center"/>
    </xf>
    <xf numFmtId="175" fontId="39" fillId="0" borderId="0" xfId="0" applyNumberFormat="1" applyFont="1" applyAlignment="1">
      <alignment horizontal="left"/>
    </xf>
    <xf numFmtId="173" fontId="39" fillId="0" borderId="0" xfId="0" applyNumberFormat="1" applyFont="1" applyAlignment="1">
      <alignment horizontal="left"/>
    </xf>
    <xf numFmtId="0" fontId="29" fillId="0" borderId="66" xfId="5" applyFont="1" applyBorder="1" applyAlignment="1">
      <alignment horizontal="left" vertical="center" wrapText="1"/>
    </xf>
    <xf numFmtId="0" fontId="29" fillId="0" borderId="13" xfId="5" applyFont="1" applyBorder="1" applyAlignment="1">
      <alignment horizontal="left" vertical="center" wrapText="1"/>
    </xf>
    <xf numFmtId="0" fontId="29" fillId="0" borderId="118" xfId="5" applyFont="1" applyBorder="1" applyAlignment="1">
      <alignment horizontal="left" vertical="center" wrapText="1"/>
    </xf>
    <xf numFmtId="0" fontId="65" fillId="6" borderId="101" xfId="5" applyFont="1" applyFill="1" applyBorder="1" applyAlignment="1">
      <alignment horizontal="center"/>
    </xf>
    <xf numFmtId="0" fontId="65" fillId="6" borderId="106" xfId="5" applyFont="1" applyFill="1" applyBorder="1" applyAlignment="1">
      <alignment horizontal="center"/>
    </xf>
    <xf numFmtId="0" fontId="65" fillId="6" borderId="41" xfId="5" applyFont="1" applyFill="1" applyBorder="1" applyAlignment="1">
      <alignment horizontal="center" vertical="center"/>
    </xf>
    <xf numFmtId="0" fontId="65" fillId="6" borderId="54" xfId="5" applyFont="1" applyFill="1" applyBorder="1" applyAlignment="1">
      <alignment horizontal="center" vertical="center"/>
    </xf>
    <xf numFmtId="4" fontId="65" fillId="6" borderId="41" xfId="5" applyNumberFormat="1" applyFont="1" applyFill="1" applyBorder="1" applyAlignment="1">
      <alignment horizontal="right" vertical="center"/>
    </xf>
    <xf numFmtId="4" fontId="65" fillId="6" borderId="54" xfId="5" applyNumberFormat="1" applyFont="1" applyFill="1" applyBorder="1" applyAlignment="1">
      <alignment horizontal="right" vertical="center"/>
    </xf>
    <xf numFmtId="0" fontId="65" fillId="6" borderId="102" xfId="5" applyFont="1" applyFill="1" applyBorder="1" applyAlignment="1">
      <alignment horizontal="center"/>
    </xf>
    <xf numFmtId="0" fontId="29" fillId="0" borderId="115" xfId="5" applyFont="1" applyBorder="1" applyAlignment="1">
      <alignment horizontal="left" vertical="top" wrapText="1"/>
    </xf>
    <xf numFmtId="0" fontId="29" fillId="0" borderId="116" xfId="5" applyFont="1" applyBorder="1" applyAlignment="1">
      <alignment horizontal="left" vertical="top" wrapText="1"/>
    </xf>
    <xf numFmtId="0" fontId="29" fillId="0" borderId="117" xfId="5" applyFont="1" applyBorder="1" applyAlignment="1">
      <alignment horizontal="left" vertical="top" wrapText="1"/>
    </xf>
    <xf numFmtId="0" fontId="29" fillId="0" borderId="66" xfId="5" applyFont="1" applyBorder="1" applyAlignment="1">
      <alignment horizontal="left" vertical="top" wrapText="1"/>
    </xf>
    <xf numFmtId="0" fontId="29" fillId="0" borderId="13" xfId="5" applyFont="1" applyBorder="1" applyAlignment="1">
      <alignment horizontal="left" vertical="top" wrapText="1"/>
    </xf>
    <xf numFmtId="0" fontId="65" fillId="6" borderId="54" xfId="5" applyFont="1" applyFill="1" applyBorder="1" applyAlignment="1">
      <alignment horizontal="center"/>
    </xf>
    <xf numFmtId="0" fontId="29" fillId="4" borderId="101" xfId="5" applyFont="1" applyFill="1" applyBorder="1" applyAlignment="1">
      <alignment horizontal="center"/>
    </xf>
    <xf numFmtId="0" fontId="29" fillId="4" borderId="102" xfId="5" applyFont="1" applyFill="1" applyBorder="1" applyAlignment="1">
      <alignment horizontal="center"/>
    </xf>
    <xf numFmtId="0" fontId="29" fillId="4" borderId="106" xfId="5" applyFont="1" applyFill="1" applyBorder="1" applyAlignment="1">
      <alignment horizontal="center"/>
    </xf>
    <xf numFmtId="0" fontId="39" fillId="0" borderId="0" xfId="5" applyFont="1" applyAlignment="1">
      <alignment horizontal="center"/>
    </xf>
    <xf numFmtId="0" fontId="29" fillId="0" borderId="118" xfId="5" applyFont="1" applyBorder="1" applyAlignment="1">
      <alignment horizontal="left" vertical="top" wrapText="1"/>
    </xf>
    <xf numFmtId="0" fontId="65" fillId="0" borderId="101" xfId="5" applyFont="1" applyBorder="1" applyAlignment="1">
      <alignment horizontal="center"/>
    </xf>
    <xf numFmtId="0" fontId="65" fillId="0" borderId="106" xfId="5" applyFont="1" applyBorder="1" applyAlignment="1">
      <alignment horizontal="center"/>
    </xf>
    <xf numFmtId="0" fontId="16" fillId="0" borderId="66" xfId="5" applyFont="1" applyBorder="1" applyAlignment="1">
      <alignment horizontal="left" vertical="center"/>
    </xf>
    <xf numFmtId="0" fontId="16" fillId="0" borderId="13" xfId="5" applyFont="1" applyBorder="1" applyAlignment="1">
      <alignment horizontal="left" vertical="center"/>
    </xf>
    <xf numFmtId="0" fontId="16" fillId="0" borderId="66" xfId="5" applyFont="1" applyBorder="1" applyAlignment="1">
      <alignment horizontal="left"/>
    </xf>
    <xf numFmtId="0" fontId="16" fillId="0" borderId="13" xfId="5" applyFont="1" applyBorder="1" applyAlignment="1">
      <alignment horizontal="left"/>
    </xf>
    <xf numFmtId="0" fontId="16" fillId="0" borderId="115" xfId="5" applyFont="1" applyBorder="1" applyAlignment="1">
      <alignment horizontal="left"/>
    </xf>
    <xf numFmtId="0" fontId="16" fillId="0" borderId="116" xfId="5" applyFont="1" applyBorder="1" applyAlignment="1">
      <alignment horizontal="left"/>
    </xf>
    <xf numFmtId="0" fontId="3" fillId="0" borderId="4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73" xfId="0" applyFont="1" applyFill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3" fillId="0" borderId="0" xfId="0" applyFont="1" applyAlignment="1">
      <alignment horizontal="center" vertical="top" wrapText="1"/>
    </xf>
    <xf numFmtId="0" fontId="13" fillId="0" borderId="52" xfId="0" applyFont="1" applyBorder="1" applyAlignment="1">
      <alignment horizontal="center" vertical="top" wrapText="1"/>
    </xf>
    <xf numFmtId="0" fontId="39" fillId="0" borderId="50" xfId="0" applyFont="1" applyBorder="1" applyAlignment="1">
      <alignment horizontal="left" vertical="top" wrapText="1"/>
    </xf>
    <xf numFmtId="0" fontId="39" fillId="0" borderId="31" xfId="0" applyFont="1" applyBorder="1" applyAlignment="1">
      <alignment horizontal="left" vertical="top" wrapText="1"/>
    </xf>
    <xf numFmtId="0" fontId="39" fillId="0" borderId="50" xfId="0" applyFont="1" applyBorder="1" applyAlignment="1">
      <alignment horizontal="left" vertical="center"/>
    </xf>
    <xf numFmtId="0" fontId="39" fillId="0" borderId="31" xfId="0" applyFont="1" applyBorder="1" applyAlignment="1">
      <alignment horizontal="left" vertical="center"/>
    </xf>
    <xf numFmtId="0" fontId="13" fillId="0" borderId="49" xfId="0" applyFont="1" applyBorder="1" applyAlignment="1">
      <alignment horizontal="center" vertical="top" wrapText="1"/>
    </xf>
    <xf numFmtId="0" fontId="63" fillId="0" borderId="0" xfId="0" applyFont="1" applyAlignment="1">
      <alignment horizontal="center" vertical="top" wrapText="1"/>
    </xf>
    <xf numFmtId="0" fontId="37" fillId="0" borderId="50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31" xfId="0" applyFont="1" applyBorder="1" applyAlignment="1">
      <alignment horizontal="center"/>
    </xf>
    <xf numFmtId="173" fontId="39" fillId="0" borderId="31" xfId="0" applyNumberFormat="1" applyFont="1" applyBorder="1" applyAlignment="1">
      <alignment horizontal="left"/>
    </xf>
  </cellXfs>
  <cellStyles count="12">
    <cellStyle name="Comma 2" xfId="7" xr:uid="{00000000-0005-0000-0000-000000000000}"/>
    <cellStyle name="COPIED CELLS" xfId="8" xr:uid="{00000000-0005-0000-0000-000001000000}"/>
    <cellStyle name="Millares 2" xfId="1" xr:uid="{00000000-0005-0000-0000-000002000000}"/>
    <cellStyle name="Millares 2 2" xfId="6" xr:uid="{00000000-0005-0000-0000-000003000000}"/>
    <cellStyle name="Moneda" xfId="10" builtinId="4"/>
    <cellStyle name="Normal" xfId="0" builtinId="0"/>
    <cellStyle name="Normal 2" xfId="2" xr:uid="{00000000-0005-0000-0000-000006000000}"/>
    <cellStyle name="Normal 2 2" xfId="9" xr:uid="{00000000-0005-0000-0000-000007000000}"/>
    <cellStyle name="Normal 3" xfId="5" xr:uid="{00000000-0005-0000-0000-000008000000}"/>
    <cellStyle name="Normal_planilla acidos Repsol BJSSA rev 17" xfId="3" xr:uid="{00000000-0005-0000-0000-000009000000}"/>
    <cellStyle name="Normal_Programa YPF 2" xfId="4" xr:uid="{00000000-0005-0000-0000-00000A000000}"/>
    <cellStyle name="Porcentaje" xfId="11" builtinId="5"/>
  </cellStyles>
  <dxfs count="3">
    <dxf>
      <font>
        <color theme="0"/>
      </font>
    </dxf>
    <dxf>
      <font>
        <color theme="0"/>
      </font>
    </dxf>
    <dxf>
      <font>
        <color rgb="FFFFFF99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microsoft.com/office/2007/relationships/hdphoto" Target="../media/hdphoto1.wdp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5.jpeg"/><Relationship Id="rId1" Type="http://schemas.openxmlformats.org/officeDocument/2006/relationships/image" Target="../media/image14.jpeg"/><Relationship Id="rId6" Type="http://schemas.openxmlformats.org/officeDocument/2006/relationships/image" Target="../media/image19.jpeg"/><Relationship Id="rId5" Type="http://schemas.openxmlformats.org/officeDocument/2006/relationships/image" Target="../media/image18.jpeg"/><Relationship Id="rId4" Type="http://schemas.openxmlformats.org/officeDocument/2006/relationships/image" Target="../media/image17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26</xdr:row>
      <xdr:rowOff>19050</xdr:rowOff>
    </xdr:from>
    <xdr:to>
      <xdr:col>6</xdr:col>
      <xdr:colOff>704850</xdr:colOff>
      <xdr:row>28</xdr:row>
      <xdr:rowOff>104775</xdr:rowOff>
    </xdr:to>
    <xdr:sp macro="" textlink="">
      <xdr:nvSpPr>
        <xdr:cNvPr id="3" name="2 Flecha a la derecha con banda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57800" y="4467225"/>
          <a:ext cx="762000" cy="428625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AR" sz="1100"/>
            <a:t>Divergente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62</xdr:row>
          <xdr:rowOff>9525</xdr:rowOff>
        </xdr:from>
        <xdr:to>
          <xdr:col>16</xdr:col>
          <xdr:colOff>438150</xdr:colOff>
          <xdr:row>64</xdr:row>
          <xdr:rowOff>57150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65</xdr:row>
          <xdr:rowOff>9525</xdr:rowOff>
        </xdr:from>
        <xdr:to>
          <xdr:col>15</xdr:col>
          <xdr:colOff>933450</xdr:colOff>
          <xdr:row>67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933450</xdr:colOff>
          <xdr:row>76</xdr:row>
          <xdr:rowOff>66675</xdr:rowOff>
        </xdr:from>
        <xdr:to>
          <xdr:col>18</xdr:col>
          <xdr:colOff>438150</xdr:colOff>
          <xdr:row>80</xdr:row>
          <xdr:rowOff>28575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80</xdr:row>
          <xdr:rowOff>85725</xdr:rowOff>
        </xdr:from>
        <xdr:to>
          <xdr:col>20</xdr:col>
          <xdr:colOff>533400</xdr:colOff>
          <xdr:row>82</xdr:row>
          <xdr:rowOff>85725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19050</xdr:rowOff>
    </xdr:from>
    <xdr:to>
      <xdr:col>0</xdr:col>
      <xdr:colOff>638175</xdr:colOff>
      <xdr:row>4</xdr:row>
      <xdr:rowOff>95250</xdr:rowOff>
    </xdr:to>
    <xdr:pic>
      <xdr:nvPicPr>
        <xdr:cNvPr id="1456" name="Picture 1" descr="Icono Bolland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80975"/>
          <a:ext cx="4476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514350</xdr:colOff>
      <xdr:row>2</xdr:row>
      <xdr:rowOff>0</xdr:rowOff>
    </xdr:from>
    <xdr:to>
      <xdr:col>5</xdr:col>
      <xdr:colOff>762000</xdr:colOff>
      <xdr:row>4</xdr:row>
      <xdr:rowOff>133350</xdr:rowOff>
    </xdr:to>
    <xdr:pic>
      <xdr:nvPicPr>
        <xdr:cNvPr id="1457" name="Picture 2" descr="logo pqb registrado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305300" y="323850"/>
          <a:ext cx="10191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384830</xdr:colOff>
      <xdr:row>15</xdr:row>
      <xdr:rowOff>106459</xdr:rowOff>
    </xdr:from>
    <xdr:to>
      <xdr:col>8</xdr:col>
      <xdr:colOff>395008</xdr:colOff>
      <xdr:row>30</xdr:row>
      <xdr:rowOff>20171</xdr:rowOff>
    </xdr:to>
    <xdr:cxnSp macro="">
      <xdr:nvCxnSpPr>
        <xdr:cNvPr id="7" name="7 Conector recto de flecha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rot="16200000" flipV="1">
          <a:off x="5352445" y="3588079"/>
          <a:ext cx="2266948" cy="10178"/>
        </a:xfrm>
        <a:prstGeom prst="straightConnector1">
          <a:avLst/>
        </a:prstGeom>
        <a:ln>
          <a:solidFill>
            <a:srgbClr val="18F46C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392206</xdr:colOff>
      <xdr:row>15</xdr:row>
      <xdr:rowOff>156882</xdr:rowOff>
    </xdr:from>
    <xdr:to>
      <xdr:col>11</xdr:col>
      <xdr:colOff>358591</xdr:colOff>
      <xdr:row>16</xdr:row>
      <xdr:rowOff>0</xdr:rowOff>
    </xdr:to>
    <xdr:cxnSp macro="">
      <xdr:nvCxnSpPr>
        <xdr:cNvPr id="8" name="8 Conector recto de flech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6488206" y="2510117"/>
          <a:ext cx="2252385" cy="1"/>
        </a:xfrm>
        <a:prstGeom prst="straightConnector1">
          <a:avLst/>
        </a:prstGeom>
        <a:ln>
          <a:solidFill>
            <a:srgbClr val="18F46C"/>
          </a:solidFill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144276</xdr:colOff>
      <xdr:row>10</xdr:row>
      <xdr:rowOff>76198</xdr:rowOff>
    </xdr:from>
    <xdr:to>
      <xdr:col>11</xdr:col>
      <xdr:colOff>526876</xdr:colOff>
      <xdr:row>14</xdr:row>
      <xdr:rowOff>41274</xdr:rowOff>
    </xdr:to>
    <xdr:sp macro="" textlink="">
      <xdr:nvSpPr>
        <xdr:cNvPr id="9" name="20 CuadroText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6240276" y="1645022"/>
          <a:ext cx="2668600" cy="592605"/>
        </a:xfrm>
        <a:prstGeom prst="rect">
          <a:avLst/>
        </a:prstGeom>
        <a:solidFill>
          <a:srgbClr val="18F46C"/>
        </a:solidFill>
        <a:ln w="9525">
          <a:noFill/>
          <a:miter lim="800000"/>
          <a:headEnd/>
          <a:tailEnd/>
        </a:ln>
      </xdr:spPr>
      <xdr:txBody>
        <a:bodyPr wrap="square">
          <a:noAutofit/>
        </a:bodyPr>
        <a:lstStyle/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Desplazamiento: ..... lts</a:t>
          </a:r>
        </a:p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Qi=  401 Lts/m          Qf= 355 Lts/m</a:t>
          </a:r>
        </a:p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Pi=  1244 psi             Pf=  522 psi</a:t>
          </a:r>
        </a:p>
      </xdr:txBody>
    </xdr:sp>
    <xdr:clientData/>
  </xdr:twoCellAnchor>
  <xdr:twoCellAnchor>
    <xdr:from>
      <xdr:col>15</xdr:col>
      <xdr:colOff>209830</xdr:colOff>
      <xdr:row>2</xdr:row>
      <xdr:rowOff>101133</xdr:rowOff>
    </xdr:from>
    <xdr:to>
      <xdr:col>18</xdr:col>
      <xdr:colOff>592430</xdr:colOff>
      <xdr:row>6</xdr:row>
      <xdr:rowOff>66208</xdr:rowOff>
    </xdr:to>
    <xdr:sp macro="" textlink="">
      <xdr:nvSpPr>
        <xdr:cNvPr id="10" name="20 CuadroText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11639830" y="414898"/>
          <a:ext cx="2668600" cy="592604"/>
        </a:xfrm>
        <a:prstGeom prst="rect">
          <a:avLst/>
        </a:prstGeom>
        <a:solidFill>
          <a:srgbClr val="FFC000"/>
        </a:solidFill>
        <a:ln w="9525">
          <a:noFill/>
          <a:miter lim="800000"/>
          <a:headEnd/>
          <a:tailEnd/>
        </a:ln>
      </xdr:spPr>
      <xdr:txBody>
        <a:bodyPr wrap="square">
          <a:noAutofit/>
        </a:bodyPr>
        <a:lstStyle/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Tatamiento: 4.500 lts</a:t>
          </a:r>
        </a:p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Qi=  N/A Lts/m         Qf=  N/A Lts/m</a:t>
          </a:r>
        </a:p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Pi=   0   psi              Pf=  0 psi</a:t>
          </a:r>
        </a:p>
      </xdr:txBody>
    </xdr:sp>
    <xdr:clientData/>
  </xdr:twoCellAnchor>
  <xdr:twoCellAnchor>
    <xdr:from>
      <xdr:col>11</xdr:col>
      <xdr:colOff>336740</xdr:colOff>
      <xdr:row>15</xdr:row>
      <xdr:rowOff>133729</xdr:rowOff>
    </xdr:from>
    <xdr:to>
      <xdr:col>11</xdr:col>
      <xdr:colOff>358219</xdr:colOff>
      <xdr:row>30</xdr:row>
      <xdr:rowOff>15691</xdr:rowOff>
    </xdr:to>
    <xdr:cxnSp macro="">
      <xdr:nvCxnSpPr>
        <xdr:cNvPr id="11" name="11 Conector recto de flecha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rot="5400000" flipH="1" flipV="1">
          <a:off x="7611881" y="3593823"/>
          <a:ext cx="2235198" cy="21479"/>
        </a:xfrm>
        <a:prstGeom prst="straightConnector1">
          <a:avLst/>
        </a:prstGeom>
        <a:ln>
          <a:solidFill>
            <a:srgbClr val="18F46C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425264</xdr:colOff>
      <xdr:row>19</xdr:row>
      <xdr:rowOff>20827</xdr:rowOff>
    </xdr:from>
    <xdr:to>
      <xdr:col>3</xdr:col>
      <xdr:colOff>431564</xdr:colOff>
      <xdr:row>30</xdr:row>
      <xdr:rowOff>21295</xdr:rowOff>
    </xdr:to>
    <xdr:cxnSp macro="">
      <xdr:nvCxnSpPr>
        <xdr:cNvPr id="12" name="4 Conector recto de flecha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rot="5400000" flipH="1" flipV="1">
          <a:off x="1851327" y="3861529"/>
          <a:ext cx="1726174" cy="630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363630</xdr:colOff>
      <xdr:row>19</xdr:row>
      <xdr:rowOff>77882</xdr:rowOff>
    </xdr:from>
    <xdr:to>
      <xdr:col>8</xdr:col>
      <xdr:colOff>373155</xdr:colOff>
      <xdr:row>30</xdr:row>
      <xdr:rowOff>19051</xdr:rowOff>
    </xdr:to>
    <xdr:cxnSp macro="">
      <xdr:nvCxnSpPr>
        <xdr:cNvPr id="13" name="5 Conector recto de flecha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rot="5400000" flipH="1" flipV="1">
          <a:off x="5630955" y="3887322"/>
          <a:ext cx="1666875" cy="952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19</xdr:row>
      <xdr:rowOff>65558</xdr:rowOff>
    </xdr:from>
    <xdr:to>
      <xdr:col>8</xdr:col>
      <xdr:colOff>347382</xdr:colOff>
      <xdr:row>19</xdr:row>
      <xdr:rowOff>89647</xdr:rowOff>
    </xdr:to>
    <xdr:cxnSp macro="">
      <xdr:nvCxnSpPr>
        <xdr:cNvPr id="3365" name="6 Conector recto de flecha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CxnSpPr>
          <a:cxnSpLocks noChangeShapeType="1"/>
        </xdr:cNvCxnSpPr>
      </xdr:nvCxnSpPr>
      <xdr:spPr bwMode="auto">
        <a:xfrm>
          <a:off x="2714625" y="3046323"/>
          <a:ext cx="3728757" cy="24089"/>
        </a:xfrm>
        <a:prstGeom prst="straightConnector1">
          <a:avLst/>
        </a:prstGeom>
        <a:noFill/>
        <a:ln w="25400" algn="ctr">
          <a:solidFill>
            <a:srgbClr val="FFC000"/>
          </a:solidFill>
          <a:round/>
          <a:headEnd type="arrow" w="med" len="med"/>
          <a:tailEnd type="arrow" w="med" len="med"/>
        </a:ln>
        <a:effectLst>
          <a:outerShdw dist="20000" dir="5400000" rotWithShape="0">
            <a:srgbClr val="000000">
              <a:alpha val="37999"/>
            </a:srgbClr>
          </a:outerShdw>
        </a:effectLst>
      </xdr:spPr>
    </xdr:cxnSp>
    <xdr:clientData/>
  </xdr:twoCellAnchor>
  <xdr:twoCellAnchor>
    <xdr:from>
      <xdr:col>19</xdr:col>
      <xdr:colOff>158461</xdr:colOff>
      <xdr:row>19</xdr:row>
      <xdr:rowOff>74757</xdr:rowOff>
    </xdr:from>
    <xdr:to>
      <xdr:col>19</xdr:col>
      <xdr:colOff>158461</xdr:colOff>
      <xdr:row>38</xdr:row>
      <xdr:rowOff>2598</xdr:rowOff>
    </xdr:to>
    <xdr:cxnSp macro="">
      <xdr:nvCxnSpPr>
        <xdr:cNvPr id="15" name="7 Conector recto de flecha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V="1">
          <a:off x="14636461" y="3036166"/>
          <a:ext cx="0" cy="2889250"/>
        </a:xfrm>
        <a:prstGeom prst="straightConnector1">
          <a:avLst/>
        </a:prstGeom>
        <a:ln>
          <a:solidFill>
            <a:srgbClr val="18F46C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158461</xdr:colOff>
      <xdr:row>19</xdr:row>
      <xdr:rowOff>82694</xdr:rowOff>
    </xdr:from>
    <xdr:to>
      <xdr:col>22</xdr:col>
      <xdr:colOff>33049</xdr:colOff>
      <xdr:row>19</xdr:row>
      <xdr:rowOff>82694</xdr:rowOff>
    </xdr:to>
    <xdr:cxnSp macro="">
      <xdr:nvCxnSpPr>
        <xdr:cNvPr id="16" name="8 Conector recto de flecha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14636461" y="3044103"/>
          <a:ext cx="2160588" cy="0"/>
        </a:xfrm>
        <a:prstGeom prst="straightConnector1">
          <a:avLst/>
        </a:prstGeom>
        <a:ln>
          <a:solidFill>
            <a:srgbClr val="18F46C"/>
          </a:solidFill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704561</xdr:colOff>
      <xdr:row>15</xdr:row>
      <xdr:rowOff>34636</xdr:rowOff>
    </xdr:from>
    <xdr:to>
      <xdr:col>22</xdr:col>
      <xdr:colOff>248949</xdr:colOff>
      <xdr:row>18</xdr:row>
      <xdr:rowOff>142994</xdr:rowOff>
    </xdr:to>
    <xdr:sp macro="" textlink="">
      <xdr:nvSpPr>
        <xdr:cNvPr id="17" name="20 CuadroTexto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14420561" y="2387871"/>
          <a:ext cx="2592388" cy="579005"/>
        </a:xfrm>
        <a:prstGeom prst="rect">
          <a:avLst/>
        </a:prstGeom>
        <a:solidFill>
          <a:srgbClr val="18F46C"/>
        </a:solidFill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r>
            <a:rPr lang="es-AR" sz="1100"/>
            <a:t>Desplazamiento: 6.400lts</a:t>
          </a:r>
        </a:p>
        <a:p>
          <a:r>
            <a:rPr lang="es-AR" sz="1100"/>
            <a:t>Qi=  110 Lts/m          Qf= 164 Lts/m</a:t>
          </a:r>
        </a:p>
        <a:p>
          <a:r>
            <a:rPr lang="es-AR" sz="1100"/>
            <a:t>Pi=   3572 psi            Pf= 3435 psi</a:t>
          </a:r>
        </a:p>
      </xdr:txBody>
    </xdr:sp>
    <xdr:clientData/>
  </xdr:twoCellAnchor>
  <xdr:twoCellAnchor>
    <xdr:from>
      <xdr:col>4</xdr:col>
      <xdr:colOff>84553</xdr:colOff>
      <xdr:row>13</xdr:row>
      <xdr:rowOff>142357</xdr:rowOff>
    </xdr:from>
    <xdr:to>
      <xdr:col>7</xdr:col>
      <xdr:colOff>390941</xdr:colOff>
      <xdr:row>17</xdr:row>
      <xdr:rowOff>93833</xdr:rowOff>
    </xdr:to>
    <xdr:sp macro="" textlink="">
      <xdr:nvSpPr>
        <xdr:cNvPr id="18" name="20 CuadroTexto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3132553" y="2181828"/>
          <a:ext cx="2592388" cy="579005"/>
        </a:xfrm>
        <a:prstGeom prst="rect">
          <a:avLst/>
        </a:prstGeom>
        <a:solidFill>
          <a:srgbClr val="FFC000"/>
        </a:solidFill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r>
            <a:rPr lang="es-AR" sz="1100"/>
            <a:t>Tatamiento: .....</a:t>
          </a:r>
          <a:r>
            <a:rPr lang="es-AR" sz="1100" baseline="0"/>
            <a:t> </a:t>
          </a:r>
          <a:r>
            <a:rPr lang="es-AR" sz="1100"/>
            <a:t>lts</a:t>
          </a:r>
        </a:p>
        <a:p>
          <a:r>
            <a:rPr lang="es-AR" sz="1100"/>
            <a:t>Qi=  300</a:t>
          </a:r>
          <a:r>
            <a:rPr lang="es-AR" sz="1100" baseline="0"/>
            <a:t> </a:t>
          </a:r>
          <a:r>
            <a:rPr lang="es-AR" sz="1100"/>
            <a:t>Lts/m         Qf= 401 Lts/m</a:t>
          </a:r>
        </a:p>
        <a:p>
          <a:r>
            <a:rPr lang="es-AR" sz="1100"/>
            <a:t>Pi=   0 psi                 Pf=  1244</a:t>
          </a:r>
          <a:r>
            <a:rPr lang="es-AR" sz="1100" baseline="0"/>
            <a:t> </a:t>
          </a:r>
          <a:r>
            <a:rPr lang="es-AR" sz="1100"/>
            <a:t>psi</a:t>
          </a:r>
        </a:p>
      </xdr:txBody>
    </xdr:sp>
    <xdr:clientData/>
  </xdr:twoCellAnchor>
  <xdr:twoCellAnchor>
    <xdr:from>
      <xdr:col>22</xdr:col>
      <xdr:colOff>33049</xdr:colOff>
      <xdr:row>19</xdr:row>
      <xdr:rowOff>74757</xdr:rowOff>
    </xdr:from>
    <xdr:to>
      <xdr:col>22</xdr:col>
      <xdr:colOff>33049</xdr:colOff>
      <xdr:row>38</xdr:row>
      <xdr:rowOff>2598</xdr:rowOff>
    </xdr:to>
    <xdr:cxnSp macro="">
      <xdr:nvCxnSpPr>
        <xdr:cNvPr id="19" name="11 Conector recto de flecha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V="1">
          <a:off x="16797049" y="3036166"/>
          <a:ext cx="0" cy="2889250"/>
        </a:xfrm>
        <a:prstGeom prst="straightConnector1">
          <a:avLst/>
        </a:prstGeom>
        <a:ln>
          <a:solidFill>
            <a:srgbClr val="18F46C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6</xdr:col>
      <xdr:colOff>963706</xdr:colOff>
      <xdr:row>34</xdr:row>
      <xdr:rowOff>160111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7664" b="72555" l="4904" r="96362">
                      <a14:foregroundMark x1="58394" y1="61439" x2="58394" y2="61439"/>
                      <a14:foregroundMark x1="54271" y1="62530" x2="54271" y2="62530"/>
                      <a14:foregroundMark x1="55241" y1="62854" x2="55241" y2="62854"/>
                      <a14:foregroundMark x1="60092" y1="61924" x2="60092" y2="61924"/>
                      <a14:foregroundMark x1="60954" y1="63015" x2="60954" y2="63015"/>
                      <a14:foregroundMark x1="60954" y1="65885" x2="60954" y2="65885"/>
                      <a14:foregroundMark x1="58933" y1="60631" x2="58933" y2="60631"/>
                      <a14:foregroundMark x1="60738" y1="58569" x2="60738" y2="58569"/>
                      <a14:foregroundMark x1="55322" y1="58246" x2="55322" y2="58246"/>
                      <a14:foregroundMark x1="47400" y1="59216" x2="47400" y2="59216"/>
                      <a14:foregroundMark x1="45298" y1="60792" x2="45298" y2="60792"/>
                      <a14:foregroundMark x1="42846" y1="62530" x2="42846" y2="62530"/>
                      <a14:foregroundMark x1="37456" y1="61924" x2="37456" y2="61924"/>
                      <a14:foregroundMark x1="37995" y1="55255" x2="37995" y2="55255"/>
                      <a14:foregroundMark x1="40097" y1="56023" x2="40097" y2="56023"/>
                      <a14:foregroundMark x1="39585" y1="57478" x2="44867" y2="56993"/>
                      <a14:foregroundMark x1="44867" y1="56993" x2="44867" y2="56993"/>
                      <a14:foregroundMark x1="44867" y1="56993" x2="44867" y2="56993"/>
                      <a14:foregroundMark x1="48989" y1="61924" x2="48989" y2="61924"/>
                      <a14:foregroundMark x1="57235" y1="58407" x2="57235" y2="58407"/>
                      <a14:foregroundMark x1="57235" y1="58407" x2="57235" y2="58407"/>
                      <a14:foregroundMark x1="56804" y1="58407" x2="56804" y2="58407"/>
                      <a14:foregroundMark x1="56077" y1="59054" x2="56077" y2="59054"/>
                      <a14:foregroundMark x1="65697" y1="46362" x2="65697" y2="46362"/>
                      <a14:foregroundMark x1="68014" y1="42401" x2="68014" y2="42401"/>
                      <a14:foregroundMark x1="69092" y1="44301" x2="69092" y2="44301"/>
                      <a14:foregroundMark x1="72460" y1="45109" x2="72460" y2="45109"/>
                      <a14:foregroundMark x1="74373" y1="52870" x2="74373" y2="52870"/>
                      <a14:foregroundMark x1="78496" y1="54446" x2="78496" y2="54446"/>
                      <a14:foregroundMark x1="82835" y1="52870" x2="82835" y2="52870"/>
                      <a14:foregroundMark x1="83482" y1="45877" x2="83482" y2="45877"/>
                      <a14:foregroundMark x1="79547" y1="43331" x2="79547" y2="43331"/>
                      <a14:foregroundMark x1="74050" y1="38763" x2="74050" y2="38763"/>
                      <a14:foregroundMark x1="73727" y1="41916" x2="73727" y2="41916"/>
                      <a14:foregroundMark x1="44031" y1="63339" x2="44031" y2="63339"/>
                      <a14:foregroundMark x1="42846" y1="58731" x2="42846" y2="58731"/>
                      <a14:foregroundMark x1="76179" y1="53193" x2="76179" y2="53193"/>
                      <a14:foregroundMark x1="80086" y1="54285" x2="80086" y2="54285"/>
                      <a14:foregroundMark x1="80922" y1="52870" x2="80922" y2="52870"/>
                      <a14:foregroundMark x1="84101" y1="50647" x2="84101" y2="50647"/>
                      <a14:foregroundMark x1="86419" y1="46524" x2="86419" y2="46524"/>
                      <a14:foregroundMark x1="88979" y1="46686" x2="88979" y2="46686"/>
                      <a14:foregroundMark x1="91620" y1="47777" x2="91620" y2="47777"/>
                      <a14:foregroundMark x1="93317" y1="46524" x2="93317" y2="46524"/>
                      <a14:foregroundMark x1="94584" y1="53355" x2="94584" y2="53355"/>
                      <a14:foregroundMark x1="87604" y1="53193" x2="87604" y2="53193"/>
                      <a14:foregroundMark x1="89491" y1="59863" x2="89491" y2="59863"/>
                      <a14:foregroundMark x1="89922" y1="65238" x2="89922" y2="65238"/>
                      <a14:foregroundMark x1="87497" y1="50485" x2="87497" y2="50485"/>
                      <a14:foregroundMark x1="93506" y1="62247" x2="93506" y2="62247"/>
                      <a14:foregroundMark x1="94260" y1="60954" x2="94260" y2="60954"/>
                      <a14:foregroundMark x1="93102" y1="64915" x2="93102" y2="64915"/>
                      <a14:foregroundMark x1="72164" y1="55255" x2="72164" y2="55255"/>
                      <a14:foregroundMark x1="75020" y1="43492" x2="75020" y2="43492"/>
                      <a14:foregroundMark x1="74373" y1="43048" x2="74373" y2="43048"/>
                      <a14:foregroundMark x1="78928" y1="37955" x2="78928" y2="37955"/>
                      <a14:foregroundMark x1="71948" y1="35893" x2="71948" y2="35893"/>
                      <a14:foregroundMark x1="69307" y1="35408" x2="69307" y2="35408"/>
                      <a14:foregroundMark x1="70574" y1="25263" x2="70574" y2="25263"/>
                      <a14:foregroundMark x1="66855" y1="29547" x2="66855" y2="29547"/>
                      <a14:foregroundMark x1="80086" y1="21140" x2="80086" y2="21140"/>
                      <a14:foregroundMark x1="85368" y1="21625" x2="85368" y2="21625"/>
                      <a14:foregroundMark x1="77553" y1="68108" x2="77553" y2="68108"/>
                      <a14:foregroundMark x1="77661" y1="61924" x2="77661" y2="61924"/>
                      <a14:foregroundMark x1="72784" y1="22878" x2="72784" y2="22878"/>
                      <a14:foregroundMark x1="73835" y1="57316" x2="73835" y2="57316"/>
                      <a14:foregroundMark x1="78712" y1="57639" x2="78712" y2="57639"/>
                      <a14:foregroundMark x1="82404" y1="27486" x2="82404" y2="27486"/>
                      <a14:foregroundMark x1="82404" y1="17664" x2="82404" y2="17664"/>
                      <a14:foregroundMark x1="94153" y1="59539" x2="94153" y2="59539"/>
                      <a14:foregroundMark x1="93209" y1="54123" x2="93209" y2="54123"/>
                      <a14:foregroundMark x1="94476" y1="45715" x2="94476" y2="45715"/>
                      <a14:foregroundMark x1="87712" y1="37955" x2="87712" y2="37955"/>
                      <a14:foregroundMark x1="85152" y1="28577" x2="85152" y2="28577"/>
                      <a14:foregroundMark x1="92994" y1="34923" x2="92994" y2="34923"/>
                      <a14:foregroundMark x1="69604" y1="61277" x2="69604" y2="61277"/>
                      <a14:foregroundMark x1="73727" y1="54931" x2="73727" y2="54931"/>
                      <a14:foregroundMark x1="86634" y1="56993" x2="86634" y2="56993"/>
                      <a14:foregroundMark x1="95419" y1="58569" x2="95419" y2="58569"/>
                      <a14:foregroundMark x1="32902" y1="41269" x2="32902" y2="41269"/>
                      <a14:foregroundMark x1="61789" y1="50323" x2="61789" y2="50323"/>
                      <a14:foregroundMark x1="64753" y1="61924" x2="64753" y2="61924"/>
                      <a14:foregroundMark x1="84101" y1="41148" x2="84101" y2="41148"/>
                      <a14:foregroundMark x1="86311" y1="70331" x2="86311" y2="70331"/>
                      <a14:foregroundMark x1="93398" y1="67947" x2="93398" y2="67947"/>
                      <a14:foregroundMark x1="12288" y1="31932" x2="12288" y2="31932"/>
                      <a14:foregroundMark x1="12072" y1="43492" x2="12072" y2="43492"/>
                      <a14:foregroundMark x1="8812" y1="45877" x2="8812" y2="45877"/>
                      <a14:foregroundMark x1="7006" y1="45877" x2="7006" y2="45877"/>
                      <a14:foregroundMark x1="4985" y1="43492" x2="4985" y2="43492"/>
                      <a14:foregroundMark x1="46861" y1="66977" x2="46861" y2="66977"/>
                      <a14:foregroundMark x1="65158" y1="63015" x2="65158" y2="63015"/>
                      <a14:foregroundMark x1="34276" y1="37146" x2="34276" y2="37146"/>
                      <a14:foregroundMark x1="4985" y1="41431" x2="4985" y2="41431"/>
                      <a14:foregroundMark x1="5201" y1="39531" x2="5201" y2="39531"/>
                      <a14:foregroundMark x1="90030" y1="69523" x2="90030" y2="69523"/>
                      <a14:foregroundMark x1="73538" y1="72555" x2="73538" y2="72555"/>
                      <a14:foregroundMark x1="80706" y1="70170" x2="80706" y2="70170"/>
                      <a14:foregroundMark x1="81461" y1="70170" x2="81461" y2="70170"/>
                      <a14:foregroundMark x1="82835" y1="70170" x2="82835" y2="70170"/>
                      <a14:foregroundMark x1="82727" y1="71261" x2="82727" y2="71261"/>
                      <a14:foregroundMark x1="84425" y1="71099" x2="84425" y2="71099"/>
                      <a14:foregroundMark x1="83562" y1="71584" x2="83562" y2="71584"/>
                      <a14:foregroundMark x1="87497" y1="69523" x2="87497" y2="69523"/>
                      <a14:foregroundMark x1="88548" y1="69523" x2="88548" y2="69523"/>
                      <a14:foregroundMark x1="89275" y1="69523" x2="89275" y2="69523"/>
                      <a14:foregroundMark x1="90973" y1="68876" x2="90973" y2="68876"/>
                      <a14:foregroundMark x1="94045" y1="68432" x2="94045" y2="68432"/>
                      <a14:foregroundMark x1="94260" y1="69038" x2="94260" y2="69038"/>
                      <a14:foregroundMark x1="94988" y1="67623" x2="94988" y2="67623"/>
                      <a14:foregroundMark x1="95742" y1="66653" x2="95742" y2="66653"/>
                      <a14:foregroundMark x1="96362" y1="51900" x2="96362" y2="51900"/>
                      <a14:foregroundMark x1="96066" y1="50000" x2="96066" y2="50000"/>
                      <a14:foregroundMark x1="96066" y1="49070" x2="96066" y2="49070"/>
                      <a14:foregroundMark x1="95850" y1="61439" x2="95850" y2="61439"/>
                      <a14:foregroundMark x1="7518" y1="42239" x2="7518" y2="42239"/>
                      <a14:foregroundMark x1="7410" y1="42886" x2="7410" y2="42886"/>
                      <a14:foregroundMark x1="7410" y1="43977" x2="7410" y2="43977"/>
                      <a14:foregroundMark x1="7410" y1="43654" x2="7410" y2="43654"/>
                      <a14:foregroundMark x1="7410" y1="41593" x2="7410" y2="41593"/>
                      <a14:foregroundMark x1="4877" y1="39086" x2="4877" y2="39086"/>
                      <a14:foregroundMark x1="5093" y1="40340" x2="5093" y2="40340"/>
                      <a14:foregroundMark x1="9970" y1="38278" x2="9970" y2="38278"/>
                      <a14:foregroundMark x1="8057" y1="38440" x2="8057" y2="38440"/>
                      <a14:foregroundMark x1="6144" y1="41593" x2="6144" y2="41593"/>
                      <a14:foregroundMark x1="18324" y1="61601" x2="18324" y2="61601"/>
                      <a14:foregroundMark x1="18647" y1="61116" x2="18647" y2="61116"/>
                      <a14:foregroundMark x1="19590" y1="61116" x2="19590" y2="61116"/>
                      <a14:foregroundMark x1="20857" y1="61601" x2="20857" y2="61601"/>
                      <a14:foregroundMark x1="52573" y1="67300" x2="52573" y2="67300"/>
                      <a14:foregroundMark x1="54163" y1="67138" x2="54163" y2="67138"/>
                      <a14:foregroundMark x1="54379" y1="67623" x2="54379" y2="67623"/>
                      <a14:foregroundMark x1="59256" y1="68108" x2="59256" y2="68108"/>
                      <a14:backgroundMark x1="19267" y1="67300" x2="19267" y2="67300"/>
                      <a14:backgroundMark x1="20749" y1="69038" x2="20749" y2="69038"/>
                      <a14:backgroundMark x1="23929" y1="68108" x2="23929" y2="68108"/>
                      <a14:backgroundMark x1="28483" y1="68715" x2="28483" y2="68715"/>
                      <a14:backgroundMark x1="27109" y1="68432" x2="27109" y2="68432"/>
                      <a14:backgroundMark x1="19267" y1="66209" x2="19267" y2="66209"/>
                      <a14:backgroundMark x1="14713" y1="23525" x2="14713" y2="23525"/>
                      <a14:backgroundMark x1="7734" y1="34155" x2="7734" y2="34155"/>
                      <a14:backgroundMark x1="25815" y1="29386" x2="25815" y2="29386"/>
                      <a14:backgroundMark x1="37241" y1="37470" x2="37241" y2="37470"/>
                      <a14:backgroundMark x1="37780" y1="40986" x2="37780" y2="40986"/>
                      <a14:backgroundMark x1="57020" y1="52546" x2="57020" y2="52546"/>
                      <a14:backgroundMark x1="59876" y1="46686" x2="59876" y2="46686"/>
                      <a14:backgroundMark x1="73727" y1="75707" x2="73727" y2="75707"/>
                      <a14:backgroundMark x1="73430" y1="75707" x2="73430" y2="75707"/>
                      <a14:backgroundMark x1="25923" y1="68432" x2="25923" y2="68432"/>
                      <a14:backgroundMark x1="29210" y1="68432" x2="29210" y2="68432"/>
                      <a14:backgroundMark x1="30154" y1="68108" x2="30154" y2="68108"/>
                      <a14:backgroundMark x1="27836" y1="67947" x2="27836" y2="67947"/>
                      <a14:backgroundMark x1="21908" y1="66815" x2="21908" y2="66815"/>
                      <a14:backgroundMark x1="20641" y1="66047" x2="20641" y2="66047"/>
                      <a14:backgroundMark x1="17569" y1="65077" x2="17569" y2="65077"/>
                      <a14:backgroundMark x1="24980" y1="67785" x2="24980" y2="67785"/>
                      <a14:backgroundMark x1="51738" y1="71584" x2="51738" y2="71584"/>
                      <a14:backgroundMark x1="53651" y1="71746" x2="53651" y2="71746"/>
                      <a14:backgroundMark x1="53948" y1="72070" x2="53948" y2="72070"/>
                      <a14:backgroundMark x1="37995" y1="70008" x2="37995" y2="70008"/>
                      <a14:backgroundMark x1="39369" y1="69685" x2="39369" y2="69685"/>
                      <a14:backgroundMark x1="38831" y1="69846" x2="38831" y2="69846"/>
                      <a14:backgroundMark x1="59876" y1="49677" x2="59876" y2="49677"/>
                      <a14:backgroundMark x1="59660" y1="50808" x2="59660" y2="50808"/>
                      <a14:backgroundMark x1="5632" y1="52385" x2="5632" y2="52385"/>
                      <a14:backgroundMark x1="57451" y1="52061" x2="57451" y2="52061"/>
                      <a14:backgroundMark x1="55969" y1="52546" x2="55969" y2="52546"/>
                      <a14:backgroundMark x1="15980" y1="61924" x2="15980" y2="61924"/>
                      <a14:backgroundMark x1="50903" y1="71746" x2="50903" y2="71746"/>
                      <a14:backgroundMark x1="52789" y1="71908" x2="52789" y2="71908"/>
                      <a14:backgroundMark x1="54379" y1="71908" x2="54379" y2="71908"/>
                      <a14:backgroundMark x1="35651" y1="69523" x2="35651" y2="69523"/>
                      <a14:backgroundMark x1="39881" y1="69685" x2="39881" y2="69685"/>
                      <a14:backgroundMark x1="8812" y1="40986" x2="8812" y2="40986"/>
                      <a14:backgroundMark x1="6359" y1="43654" x2="6359" y2="43654"/>
                      <a14:backgroundMark x1="8488" y1="44301" x2="8488" y2="44301"/>
                      <a14:backgroundMark x1="5955" y1="39693" x2="5955" y2="39693"/>
                      <a14:backgroundMark x1="23498" y1="65562" x2="23498" y2="65562"/>
                      <a14:backgroundMark x1="24656" y1="66653" x2="24656" y2="66653"/>
                      <a14:backgroundMark x1="21584" y1="65400" x2="21584" y2="65400"/>
                      <a14:backgroundMark x1="18728" y1="64753" x2="18728" y2="64753"/>
                      <a14:backgroundMark x1="15144" y1="64147" x2="15144" y2="64147"/>
                      <a14:backgroundMark x1="13878" y1="64309" x2="13878" y2="64309"/>
                      <a14:backgroundMark x1="13042" y1="64470" x2="13042" y2="64470"/>
                      <a14:backgroundMark x1="13123" y1="64309" x2="13123" y2="64309"/>
                      <a14:backgroundMark x1="12503" y1="64309" x2="12503" y2="64309"/>
                      <a14:backgroundMark x1="59256" y1="72231" x2="59256" y2="72231"/>
                      <a14:backgroundMark x1="60307" y1="72716" x2="60307" y2="72716"/>
                      <a14:backgroundMark x1="61574" y1="72878" x2="61574" y2="72878"/>
                      <a14:backgroundMark x1="57235" y1="71584" x2="57235" y2="71584"/>
                      <a14:backgroundMark x1="56184" y1="71908" x2="56184" y2="71908"/>
                      <a14:backgroundMark x1="55538" y1="71584" x2="55538" y2="71584"/>
                      <a14:backgroundMark x1="65265" y1="73646" x2="65265" y2="73646"/>
                      <a14:backgroundMark x1="51523" y1="70816" x2="51523" y2="70816"/>
                      <a14:backgroundMark x1="50148" y1="70816" x2="50148" y2="70816"/>
                      <a14:backgroundMark x1="49205" y1="70655" x2="49205" y2="70655"/>
                      <a14:backgroundMark x1="48666" y1="70655" x2="48666" y2="70655"/>
                      <a14:backgroundMark x1="40959" y1="69846" x2="40959" y2="69846"/>
                    </a14:backgroundRemoval>
                  </a14:imgEffect>
                  <a14:imgEffect>
                    <a14:artisticPencil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209" t="12930" r="2997" b="23333"/>
        <a:stretch/>
      </xdr:blipFill>
      <xdr:spPr>
        <a:xfrm>
          <a:off x="0" y="5109883"/>
          <a:ext cx="6712324" cy="307364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100855</xdr:colOff>
      <xdr:row>161</xdr:row>
      <xdr:rowOff>168089</xdr:rowOff>
    </xdr:from>
    <xdr:to>
      <xdr:col>6</xdr:col>
      <xdr:colOff>952501</xdr:colOff>
      <xdr:row>198</xdr:row>
      <xdr:rowOff>123264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5" y="34682207"/>
          <a:ext cx="6600264" cy="8247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44</xdr:row>
      <xdr:rowOff>66675</xdr:rowOff>
    </xdr:from>
    <xdr:to>
      <xdr:col>6</xdr:col>
      <xdr:colOff>171450</xdr:colOff>
      <xdr:row>49</xdr:row>
      <xdr:rowOff>76200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81025"/>
          <a:ext cx="512445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95251</xdr:colOff>
      <xdr:row>4</xdr:row>
      <xdr:rowOff>0</xdr:rowOff>
    </xdr:from>
    <xdr:to>
      <xdr:col>16</xdr:col>
      <xdr:colOff>495301</xdr:colOff>
      <xdr:row>10</xdr:row>
      <xdr:rowOff>104775</xdr:rowOff>
    </xdr:to>
    <xdr:sp macro="" textlink="">
      <xdr:nvSpPr>
        <xdr:cNvPr id="13" name="12 Triángulo rectángulo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3430251" y="1143000"/>
          <a:ext cx="400050" cy="1581150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16</xdr:col>
      <xdr:colOff>523875</xdr:colOff>
      <xdr:row>11</xdr:row>
      <xdr:rowOff>142875</xdr:rowOff>
    </xdr:from>
    <xdr:to>
      <xdr:col>17</xdr:col>
      <xdr:colOff>542925</xdr:colOff>
      <xdr:row>14</xdr:row>
      <xdr:rowOff>133350</xdr:rowOff>
    </xdr:to>
    <xdr:sp macro="" textlink="">
      <xdr:nvSpPr>
        <xdr:cNvPr id="17" name="16 Elipse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13858875" y="2962275"/>
          <a:ext cx="781050" cy="7810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114300</xdr:rowOff>
    </xdr:from>
    <xdr:to>
      <xdr:col>0</xdr:col>
      <xdr:colOff>962025</xdr:colOff>
      <xdr:row>5</xdr:row>
      <xdr:rowOff>142875</xdr:rowOff>
    </xdr:to>
    <xdr:pic>
      <xdr:nvPicPr>
        <xdr:cNvPr id="6353" name="Picture 1" descr="Icono Bolland">
          <a:extLst>
            <a:ext uri="{FF2B5EF4-FFF2-40B4-BE49-F238E27FC236}">
              <a16:creationId xmlns:a16="http://schemas.microsoft.com/office/drawing/2014/main" id="{00000000-0008-0000-0800-0000D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114300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76200</xdr:colOff>
      <xdr:row>1</xdr:row>
      <xdr:rowOff>95250</xdr:rowOff>
    </xdr:from>
    <xdr:to>
      <xdr:col>6</xdr:col>
      <xdr:colOff>628650</xdr:colOff>
      <xdr:row>5</xdr:row>
      <xdr:rowOff>85725</xdr:rowOff>
    </xdr:to>
    <xdr:pic>
      <xdr:nvPicPr>
        <xdr:cNvPr id="6354" name="Picture 2" descr="logo pqb registrado">
          <a:extLst>
            <a:ext uri="{FF2B5EF4-FFF2-40B4-BE49-F238E27FC236}">
              <a16:creationId xmlns:a16="http://schemas.microsoft.com/office/drawing/2014/main" id="{00000000-0008-0000-0800-0000D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24450" y="323850"/>
          <a:ext cx="14097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46</xdr:row>
      <xdr:rowOff>114300</xdr:rowOff>
    </xdr:from>
    <xdr:to>
      <xdr:col>0</xdr:col>
      <xdr:colOff>781050</xdr:colOff>
      <xdr:row>50</xdr:row>
      <xdr:rowOff>142875</xdr:rowOff>
    </xdr:to>
    <xdr:pic>
      <xdr:nvPicPr>
        <xdr:cNvPr id="13889" name="9 Imagen" descr="logo bolland.jpg">
          <a:extLst>
            <a:ext uri="{FF2B5EF4-FFF2-40B4-BE49-F238E27FC236}">
              <a16:creationId xmlns:a16="http://schemas.microsoft.com/office/drawing/2014/main" id="{00000000-0008-0000-0900-000041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0172700"/>
          <a:ext cx="590550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304800</xdr:colOff>
      <xdr:row>47</xdr:row>
      <xdr:rowOff>9525</xdr:rowOff>
    </xdr:from>
    <xdr:to>
      <xdr:col>6</xdr:col>
      <xdr:colOff>647700</xdr:colOff>
      <xdr:row>50</xdr:row>
      <xdr:rowOff>85725</xdr:rowOff>
    </xdr:to>
    <xdr:pic>
      <xdr:nvPicPr>
        <xdr:cNvPr id="13890" name="10 Imagen" descr="logo PQB.jpg">
          <a:extLst>
            <a:ext uri="{FF2B5EF4-FFF2-40B4-BE49-F238E27FC236}">
              <a16:creationId xmlns:a16="http://schemas.microsoft.com/office/drawing/2014/main" id="{00000000-0008-0000-0900-000042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24400" y="10277475"/>
          <a:ext cx="15811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</xdr:colOff>
      <xdr:row>0</xdr:row>
      <xdr:rowOff>76200</xdr:rowOff>
    </xdr:from>
    <xdr:to>
      <xdr:col>0</xdr:col>
      <xdr:colOff>742950</xdr:colOff>
      <xdr:row>4</xdr:row>
      <xdr:rowOff>114300</xdr:rowOff>
    </xdr:to>
    <xdr:pic>
      <xdr:nvPicPr>
        <xdr:cNvPr id="13891" name="9 Imagen" descr="logo bolland.jpg">
          <a:extLst>
            <a:ext uri="{FF2B5EF4-FFF2-40B4-BE49-F238E27FC236}">
              <a16:creationId xmlns:a16="http://schemas.microsoft.com/office/drawing/2014/main" id="{00000000-0008-0000-0900-000043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1925" y="76200"/>
          <a:ext cx="5810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6</xdr:col>
      <xdr:colOff>609600</xdr:colOff>
      <xdr:row>4</xdr:row>
      <xdr:rowOff>0</xdr:rowOff>
    </xdr:to>
    <xdr:pic>
      <xdr:nvPicPr>
        <xdr:cNvPr id="13892" name="10 Imagen" descr="logo PQB.jpg">
          <a:extLst>
            <a:ext uri="{FF2B5EF4-FFF2-40B4-BE49-F238E27FC236}">
              <a16:creationId xmlns:a16="http://schemas.microsoft.com/office/drawing/2014/main" id="{00000000-0008-0000-0900-000044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86300" y="133350"/>
          <a:ext cx="15811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94</xdr:row>
      <xdr:rowOff>95250</xdr:rowOff>
    </xdr:from>
    <xdr:to>
      <xdr:col>0</xdr:col>
      <xdr:colOff>733425</xdr:colOff>
      <xdr:row>98</xdr:row>
      <xdr:rowOff>123825</xdr:rowOff>
    </xdr:to>
    <xdr:pic>
      <xdr:nvPicPr>
        <xdr:cNvPr id="13893" name="9 Imagen" descr="logo bolland.jpg">
          <a:extLst>
            <a:ext uri="{FF2B5EF4-FFF2-40B4-BE49-F238E27FC236}">
              <a16:creationId xmlns:a16="http://schemas.microsoft.com/office/drawing/2014/main" id="{00000000-0008-0000-0900-000045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20212050"/>
          <a:ext cx="590550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257175</xdr:colOff>
      <xdr:row>94</xdr:row>
      <xdr:rowOff>152400</xdr:rowOff>
    </xdr:from>
    <xdr:to>
      <xdr:col>6</xdr:col>
      <xdr:colOff>600075</xdr:colOff>
      <xdr:row>98</xdr:row>
      <xdr:rowOff>19050</xdr:rowOff>
    </xdr:to>
    <xdr:pic>
      <xdr:nvPicPr>
        <xdr:cNvPr id="13894" name="10 Imagen" descr="logo PQB.jpg">
          <a:extLst>
            <a:ext uri="{FF2B5EF4-FFF2-40B4-BE49-F238E27FC236}">
              <a16:creationId xmlns:a16="http://schemas.microsoft.com/office/drawing/2014/main" id="{00000000-0008-0000-0900-000046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76775" y="20269200"/>
          <a:ext cx="15811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90</xdr:row>
      <xdr:rowOff>95250</xdr:rowOff>
    </xdr:from>
    <xdr:to>
      <xdr:col>0</xdr:col>
      <xdr:colOff>771525</xdr:colOff>
      <xdr:row>93</xdr:row>
      <xdr:rowOff>85725</xdr:rowOff>
    </xdr:to>
    <xdr:pic>
      <xdr:nvPicPr>
        <xdr:cNvPr id="13895" name="7 Imagen" descr="SGT_ISO 9001-2008_TCL">
          <a:extLst>
            <a:ext uri="{FF2B5EF4-FFF2-40B4-BE49-F238E27FC236}">
              <a16:creationId xmlns:a16="http://schemas.microsoft.com/office/drawing/2014/main" id="{00000000-0008-0000-0900-000047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2875" y="19373850"/>
          <a:ext cx="6286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90</xdr:row>
      <xdr:rowOff>76200</xdr:rowOff>
    </xdr:from>
    <xdr:to>
      <xdr:col>6</xdr:col>
      <xdr:colOff>676275</xdr:colOff>
      <xdr:row>93</xdr:row>
      <xdr:rowOff>76200</xdr:rowOff>
    </xdr:to>
    <xdr:pic>
      <xdr:nvPicPr>
        <xdr:cNvPr id="13896" name="8 Imagen" descr="SGT_ISO 9001-2008_TCL">
          <a:extLst>
            <a:ext uri="{FF2B5EF4-FFF2-40B4-BE49-F238E27FC236}">
              <a16:creationId xmlns:a16="http://schemas.microsoft.com/office/drawing/2014/main" id="{00000000-0008-0000-0900-000048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05475" y="19354800"/>
          <a:ext cx="6286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41</xdr:row>
      <xdr:rowOff>95250</xdr:rowOff>
    </xdr:from>
    <xdr:to>
      <xdr:col>6</xdr:col>
      <xdr:colOff>676275</xdr:colOff>
      <xdr:row>44</xdr:row>
      <xdr:rowOff>85725</xdr:rowOff>
    </xdr:to>
    <xdr:pic>
      <xdr:nvPicPr>
        <xdr:cNvPr id="13897" name="9 Imagen" descr="SGT_ISO 9001-2008_TCL">
          <a:extLst>
            <a:ext uri="{FF2B5EF4-FFF2-40B4-BE49-F238E27FC236}">
              <a16:creationId xmlns:a16="http://schemas.microsoft.com/office/drawing/2014/main" id="{00000000-0008-0000-0900-000049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05475" y="9105900"/>
          <a:ext cx="6286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41</xdr:row>
      <xdr:rowOff>76200</xdr:rowOff>
    </xdr:from>
    <xdr:to>
      <xdr:col>0</xdr:col>
      <xdr:colOff>781050</xdr:colOff>
      <xdr:row>44</xdr:row>
      <xdr:rowOff>66675</xdr:rowOff>
    </xdr:to>
    <xdr:pic>
      <xdr:nvPicPr>
        <xdr:cNvPr id="13898" name="10 Imagen" descr="SGT_ISO 9001-2008_TCL">
          <a:extLst>
            <a:ext uri="{FF2B5EF4-FFF2-40B4-BE49-F238E27FC236}">
              <a16:creationId xmlns:a16="http://schemas.microsoft.com/office/drawing/2014/main" id="{00000000-0008-0000-0900-00004A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2400" y="9086850"/>
          <a:ext cx="6286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141</xdr:row>
      <xdr:rowOff>95250</xdr:rowOff>
    </xdr:from>
    <xdr:to>
      <xdr:col>0</xdr:col>
      <xdr:colOff>885825</xdr:colOff>
      <xdr:row>144</xdr:row>
      <xdr:rowOff>85725</xdr:rowOff>
    </xdr:to>
    <xdr:pic>
      <xdr:nvPicPr>
        <xdr:cNvPr id="13899" name="11 Imagen" descr="SGT_ISO 9001-2008_TCL">
          <a:extLst>
            <a:ext uri="{FF2B5EF4-FFF2-40B4-BE49-F238E27FC236}">
              <a16:creationId xmlns:a16="http://schemas.microsoft.com/office/drawing/2014/main" id="{00000000-0008-0000-0900-00004B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" y="27755850"/>
          <a:ext cx="6286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180975</xdr:colOff>
      <xdr:row>141</xdr:row>
      <xdr:rowOff>76200</xdr:rowOff>
    </xdr:from>
    <xdr:to>
      <xdr:col>6</xdr:col>
      <xdr:colOff>800100</xdr:colOff>
      <xdr:row>144</xdr:row>
      <xdr:rowOff>76200</xdr:rowOff>
    </xdr:to>
    <xdr:pic>
      <xdr:nvPicPr>
        <xdr:cNvPr id="13900" name="12 Imagen" descr="SGT_ISO 9001-2008_TCL">
          <a:extLst>
            <a:ext uri="{FF2B5EF4-FFF2-40B4-BE49-F238E27FC236}">
              <a16:creationId xmlns:a16="http://schemas.microsoft.com/office/drawing/2014/main" id="{00000000-0008-0000-0900-00004C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838825" y="27736800"/>
          <a:ext cx="6191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276225</xdr:colOff>
      <xdr:row>145</xdr:row>
      <xdr:rowOff>85725</xdr:rowOff>
    </xdr:from>
    <xdr:to>
      <xdr:col>0</xdr:col>
      <xdr:colOff>857250</xdr:colOff>
      <xdr:row>149</xdr:row>
      <xdr:rowOff>123825</xdr:rowOff>
    </xdr:to>
    <xdr:pic>
      <xdr:nvPicPr>
        <xdr:cNvPr id="14" name="9 Imagen" descr="logo bolland.jpg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6225" y="30099000"/>
          <a:ext cx="5810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381000</xdr:colOff>
      <xdr:row>145</xdr:row>
      <xdr:rowOff>142875</xdr:rowOff>
    </xdr:from>
    <xdr:to>
      <xdr:col>6</xdr:col>
      <xdr:colOff>723900</xdr:colOff>
      <xdr:row>149</xdr:row>
      <xdr:rowOff>9525</xdr:rowOff>
    </xdr:to>
    <xdr:pic>
      <xdr:nvPicPr>
        <xdr:cNvPr id="15" name="10 Imagen" descr="logo PQB.jpg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86325" y="30156150"/>
          <a:ext cx="15811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285750</xdr:colOff>
      <xdr:row>188</xdr:row>
      <xdr:rowOff>95250</xdr:rowOff>
    </xdr:from>
    <xdr:to>
      <xdr:col>0</xdr:col>
      <xdr:colOff>914400</xdr:colOff>
      <xdr:row>191</xdr:row>
      <xdr:rowOff>85725</xdr:rowOff>
    </xdr:to>
    <xdr:pic>
      <xdr:nvPicPr>
        <xdr:cNvPr id="16" name="11 Imagen" descr="SGT_ISO 9001-2008_TCL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50" y="39624000"/>
          <a:ext cx="6286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152400</xdr:colOff>
      <xdr:row>188</xdr:row>
      <xdr:rowOff>76200</xdr:rowOff>
    </xdr:from>
    <xdr:to>
      <xdr:col>6</xdr:col>
      <xdr:colOff>771525</xdr:colOff>
      <xdr:row>191</xdr:row>
      <xdr:rowOff>76200</xdr:rowOff>
    </xdr:to>
    <xdr:pic>
      <xdr:nvPicPr>
        <xdr:cNvPr id="17" name="12 Imagen" descr="SGT_ISO 9001-2008_TCL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895975" y="39604950"/>
          <a:ext cx="6191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209550</xdr:colOff>
      <xdr:row>76</xdr:row>
      <xdr:rowOff>9525</xdr:rowOff>
    </xdr:from>
    <xdr:to>
      <xdr:col>9</xdr:col>
      <xdr:colOff>552450</xdr:colOff>
      <xdr:row>82</xdr:row>
      <xdr:rowOff>66675</xdr:rowOff>
    </xdr:to>
    <xdr:sp macro="" textlink="">
      <xdr:nvSpPr>
        <xdr:cNvPr id="18" name="17 CuadroTexto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6981825" y="15725775"/>
          <a:ext cx="282892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AR" sz="1100"/>
            <a:t>Falta modificar Secuencia operativa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114300</xdr:rowOff>
    </xdr:from>
    <xdr:to>
      <xdr:col>0</xdr:col>
      <xdr:colOff>962025</xdr:colOff>
      <xdr:row>5</xdr:row>
      <xdr:rowOff>142875</xdr:rowOff>
    </xdr:to>
    <xdr:pic>
      <xdr:nvPicPr>
        <xdr:cNvPr id="14433" name="Picture 1" descr="Icono Bolland">
          <a:extLst>
            <a:ext uri="{FF2B5EF4-FFF2-40B4-BE49-F238E27FC236}">
              <a16:creationId xmlns:a16="http://schemas.microsoft.com/office/drawing/2014/main" id="{00000000-0008-0000-0A00-000061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114300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76200</xdr:colOff>
      <xdr:row>1</xdr:row>
      <xdr:rowOff>95250</xdr:rowOff>
    </xdr:from>
    <xdr:to>
      <xdr:col>6</xdr:col>
      <xdr:colOff>628650</xdr:colOff>
      <xdr:row>5</xdr:row>
      <xdr:rowOff>85725</xdr:rowOff>
    </xdr:to>
    <xdr:pic>
      <xdr:nvPicPr>
        <xdr:cNvPr id="14434" name="Picture 2" descr="logo pqb registrado">
          <a:extLst>
            <a:ext uri="{FF2B5EF4-FFF2-40B4-BE49-F238E27FC236}">
              <a16:creationId xmlns:a16="http://schemas.microsoft.com/office/drawing/2014/main" id="{00000000-0008-0000-0A00-000062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10200" y="323850"/>
          <a:ext cx="14097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S/AFE2043.XL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NT\Profiles\abo\Personal\AFEX204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ERF\MENDOZA\ALVEAR\ALVEAR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ing 7&quot; desig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TOTAL"/>
      <sheetName val="REQUISICION"/>
      <sheetName val="PRESUPUESTO"/>
    </sheetNames>
    <sheetDataSet>
      <sheetData sheetId="0">
        <row r="1">
          <cell r="C1" t="str">
            <v>TECPETROL S.A.</v>
          </cell>
          <cell r="AH1" t="str">
            <v>C 10</v>
          </cell>
        </row>
        <row r="2">
          <cell r="K2" t="str">
            <v>FORMULARIO RESUMEN PROYECTO N°:</v>
          </cell>
          <cell r="AE2" t="str">
            <v>ETPE-1011</v>
          </cell>
        </row>
        <row r="4">
          <cell r="C4" t="str">
            <v>DESCRIPCION GENERAL DEL PROYECTO</v>
          </cell>
          <cell r="R4" t="str">
            <v>PERFORACION</v>
          </cell>
        </row>
        <row r="6">
          <cell r="C6" t="str">
            <v>Yac. / Div.:</v>
          </cell>
          <cell r="G6" t="str">
            <v>El Tordillo</v>
          </cell>
          <cell r="L6" t="str">
            <v>/</v>
          </cell>
          <cell r="M6" t="str">
            <v>PERFORACION</v>
          </cell>
          <cell r="T6" t="str">
            <v>Presup. Presidencia</v>
          </cell>
          <cell r="AD6" t="str">
            <v>si</v>
          </cell>
          <cell r="AG6" t="str">
            <v xml:space="preserve">Fecha: </v>
          </cell>
          <cell r="AJ6">
            <v>35720.680044560184</v>
          </cell>
        </row>
        <row r="7">
          <cell r="T7" t="str">
            <v>Presup. Socios</v>
          </cell>
          <cell r="AD7" t="str">
            <v>SI</v>
          </cell>
        </row>
        <row r="8">
          <cell r="M8" t="str">
            <v>Tipo de Proyecto (A, B o C):</v>
          </cell>
          <cell r="N8" t="str">
            <v>A</v>
          </cell>
          <cell r="T8" t="str">
            <v>Proyecto:</v>
          </cell>
          <cell r="Y8" t="str">
            <v>PERFORACION</v>
          </cell>
        </row>
        <row r="9">
          <cell r="J9" t="str">
            <v>Título del Proyecto:</v>
          </cell>
          <cell r="K9" t="str">
            <v>S-2047</v>
          </cell>
        </row>
        <row r="10">
          <cell r="J10" t="str">
            <v xml:space="preserve">Project Leader: </v>
          </cell>
          <cell r="K10" t="str">
            <v>SAQ</v>
          </cell>
        </row>
        <row r="13">
          <cell r="C13" t="str">
            <v>Objetivo:</v>
          </cell>
        </row>
        <row r="14">
          <cell r="B14" t="str">
            <v>a.</v>
          </cell>
          <cell r="C14" t="str">
            <v>Explotación:</v>
          </cell>
        </row>
        <row r="15">
          <cell r="C15" t="str">
            <v>Continuar con el desarrollo del área de pozos surgentes. Determinar la extención y potencialidad de los horizontes</v>
          </cell>
        </row>
        <row r="16">
          <cell r="C16" t="str">
            <v>profundos de la Fm. M. E. Carmen.</v>
          </cell>
        </row>
        <row r="17">
          <cell r="C17" t="str">
            <v>Como objetivo secundario los niveles de las formaciones C. Rivadavia y El Trebol.</v>
          </cell>
        </row>
        <row r="18">
          <cell r="B18" t="str">
            <v xml:space="preserve">b. </v>
          </cell>
          <cell r="C18" t="str">
            <v>Exploración:</v>
          </cell>
        </row>
        <row r="19">
          <cell r="C19" t="str">
            <v>Investigar la sección cuspidal de la Fm. D129 y la sección basal de la Fm. M. E. Carmen, en el bloque alto de la</v>
          </cell>
        </row>
        <row r="20">
          <cell r="C20" t="str">
            <v>falla "ACN" en una posición estructural alta y cercana a la mencionada falla, donde se preve la existencia de roca reservorio.</v>
          </cell>
        </row>
        <row r="21">
          <cell r="C21" t="str">
            <v>Descripción:</v>
          </cell>
        </row>
        <row r="22">
          <cell r="B22" t="str">
            <v>a.</v>
          </cell>
          <cell r="C22" t="str">
            <v>Explotación:</v>
          </cell>
        </row>
        <row r="23">
          <cell r="C23" t="str">
            <v>De ser solo un pozo de desarrollo alcanzaría una profundidad aproximada de 3100 m. entubado con una guía</v>
          </cell>
        </row>
        <row r="24">
          <cell r="C24" t="str">
            <v>9 5/8" a 1100 m y casing de producción de 7".</v>
          </cell>
        </row>
        <row r="25">
          <cell r="B25" t="str">
            <v xml:space="preserve">b. </v>
          </cell>
          <cell r="C25" t="str">
            <v>Exploración:</v>
          </cell>
        </row>
        <row r="26">
          <cell r="C26" t="str">
            <v xml:space="preserve">Profundizar el pozo S-2047 hasta 3700 mbbp (por ésta razón se entubará con 7" hasta +/-3300 m), con lo que se </v>
          </cell>
        </row>
        <row r="27">
          <cell r="C27" t="str">
            <v xml:space="preserve">preve atravesar el tramo basal de la fm. M. E. Carmen y 300 m cuspidales de la fm. D129. </v>
          </cell>
        </row>
        <row r="28">
          <cell r="C28" t="str">
            <v>Estos intervalos aun no han sido evaluados en  El Tordillo, por lo que solo de dispone de información regional</v>
          </cell>
        </row>
        <row r="29">
          <cell r="C29" t="str">
            <v>e información sísmica que permite inferir condiciones de reservorio, entrampamiento, etc. similares a</v>
          </cell>
        </row>
        <row r="30">
          <cell r="C30" t="str">
            <v>la "Zona Surgente".</v>
          </cell>
        </row>
        <row r="31">
          <cell r="C31" t="str">
            <v>Justificación:</v>
          </cell>
        </row>
        <row r="32">
          <cell r="B32" t="str">
            <v>a.</v>
          </cell>
          <cell r="C32" t="str">
            <v>Explotación:</v>
          </cell>
        </row>
        <row r="33">
          <cell r="C33" t="str">
            <v>La presente locación fue definida por sísmica 3D y el apoyo geológico aportado por los pozos S-2025 y S-2028.</v>
          </cell>
        </row>
        <row r="34">
          <cell r="C34" t="str">
            <v xml:space="preserve">La misma aportará un mayor conocimiento de la geometría y desarrollo de los niveles de alta productividad alojados </v>
          </cell>
        </row>
        <row r="35">
          <cell r="C35" t="str">
            <v>en la formación M. E. Carmen.</v>
          </cell>
        </row>
        <row r="36">
          <cell r="AB36" t="str">
            <v>Tir explotación:</v>
          </cell>
          <cell r="AC36">
            <v>0.33</v>
          </cell>
        </row>
        <row r="37">
          <cell r="B37" t="str">
            <v>b.</v>
          </cell>
          <cell r="C37" t="str">
            <v>Exploración:</v>
          </cell>
        </row>
        <row r="38">
          <cell r="C38" t="str">
            <v>Iniciar la investigación mediante pozos de intervalos estratigráficos más profundos a los actualmente en desarrollo.</v>
          </cell>
        </row>
        <row r="39">
          <cell r="C39" t="str">
            <v>El pronto comienzo de esta actividad resulta crítico por los plazos del contrato.</v>
          </cell>
        </row>
        <row r="40">
          <cell r="C40" t="str">
            <v xml:space="preserve">Los recursos recuperables medios a descubrir se estiman en 782 Mm3 de petroleo y 440 MMm3. de gas y el presente </v>
          </cell>
        </row>
        <row r="41">
          <cell r="C41" t="str">
            <v>pozo podría acumular 100 Mm3 de petroleo y 57 MMm3 de gas en 15 años.</v>
          </cell>
        </row>
        <row r="42">
          <cell r="AB42" t="str">
            <v>Tir exploración + explotacion:</v>
          </cell>
          <cell r="AC42">
            <v>0.86</v>
          </cell>
        </row>
        <row r="43">
          <cell r="C43" t="str">
            <v>Nota:</v>
          </cell>
          <cell r="D43" t="str">
            <v>La locación ha sido desplazada 50 m al Norte. El objetivo exploratorio terminará 150 m ó mas hacia el Sur.</v>
          </cell>
        </row>
        <row r="44">
          <cell r="C44" t="str">
            <v>TIR:</v>
          </cell>
          <cell r="K44" t="str">
            <v>Budget Presidencia</v>
          </cell>
          <cell r="Y44" t="str">
            <v>Comprometido + Proy.:</v>
          </cell>
          <cell r="AJ44" t="str">
            <v>Diferencia:</v>
          </cell>
        </row>
        <row r="45">
          <cell r="E45" t="str">
            <v>Descripción:</v>
          </cell>
        </row>
        <row r="46">
          <cell r="E46" t="str">
            <v>Monto:</v>
          </cell>
          <cell r="I46" t="str">
            <v>U$s</v>
          </cell>
          <cell r="K46">
            <v>32000000</v>
          </cell>
          <cell r="O46" t="str">
            <v>*</v>
          </cell>
          <cell r="Z46" t="str">
            <v xml:space="preserve">U$s </v>
          </cell>
          <cell r="AA46">
            <v>15646915.883049078</v>
          </cell>
          <cell r="AJ46" t="str">
            <v>U$s</v>
          </cell>
          <cell r="AK46">
            <v>16353084.116950922</v>
          </cell>
        </row>
        <row r="47">
          <cell r="C47" t="str">
            <v>Sectores Involucrados:</v>
          </cell>
        </row>
        <row r="50">
          <cell r="C50" t="str">
            <v>Duración Estimada:</v>
          </cell>
          <cell r="J50">
            <v>91.817605128205116</v>
          </cell>
          <cell r="L50" t="str">
            <v>dias</v>
          </cell>
          <cell r="R50" t="str">
            <v>Monto Inversión:</v>
          </cell>
          <cell r="AF50" t="str">
            <v>U$S</v>
          </cell>
          <cell r="AH50">
            <v>3117754.8830490774</v>
          </cell>
        </row>
        <row r="52">
          <cell r="C52" t="str">
            <v>Fecha de inicio:</v>
          </cell>
          <cell r="R52" t="str">
            <v>Total:</v>
          </cell>
          <cell r="AF52" t="str">
            <v>U$S</v>
          </cell>
          <cell r="AH52">
            <v>3117754.8830490774</v>
          </cell>
        </row>
        <row r="55">
          <cell r="C55" t="str">
            <v>RUTEO DEL LEGAJO Y APROBACION DEL PROYECTO</v>
          </cell>
        </row>
        <row r="57">
          <cell r="C57" t="str">
            <v>1</v>
          </cell>
          <cell r="K57" t="str">
            <v>2</v>
          </cell>
          <cell r="U57" t="str">
            <v>3</v>
          </cell>
          <cell r="AE57" t="str">
            <v>4</v>
          </cell>
        </row>
        <row r="59">
          <cell r="C59" t="str">
            <v>Fecha:</v>
          </cell>
          <cell r="L59" t="str">
            <v>Fecha:</v>
          </cell>
          <cell r="V59" t="str">
            <v>Fecha:</v>
          </cell>
          <cell r="AF59" t="str">
            <v>Fecha:</v>
          </cell>
        </row>
        <row r="60">
          <cell r="C60" t="str">
            <v>Sigla:</v>
          </cell>
          <cell r="L60" t="str">
            <v>Sigla:</v>
          </cell>
          <cell r="V60" t="str">
            <v>Sigla:</v>
          </cell>
          <cell r="AF60" t="str">
            <v>Sigla:</v>
          </cell>
        </row>
        <row r="61">
          <cell r="C61" t="str">
            <v>5</v>
          </cell>
          <cell r="K61" t="str">
            <v>6</v>
          </cell>
          <cell r="U61" t="str">
            <v>7</v>
          </cell>
          <cell r="AE61" t="str">
            <v>8</v>
          </cell>
        </row>
        <row r="63">
          <cell r="C63" t="str">
            <v>Fecha:</v>
          </cell>
          <cell r="L63" t="str">
            <v>Fecha:</v>
          </cell>
          <cell r="V63" t="str">
            <v>Fecha:</v>
          </cell>
          <cell r="AF63" t="str">
            <v>Fecha:</v>
          </cell>
        </row>
        <row r="64">
          <cell r="C64" t="str">
            <v>Sigla:</v>
          </cell>
          <cell r="L64" t="str">
            <v>Sigla:</v>
          </cell>
          <cell r="V64" t="str">
            <v>Sigla:</v>
          </cell>
          <cell r="AF64" t="str">
            <v>Sigla:</v>
          </cell>
        </row>
        <row r="65">
          <cell r="C65" t="str">
            <v>Observaciones:</v>
          </cell>
        </row>
        <row r="66">
          <cell r="C66" t="str">
            <v>No se incluye AIB</v>
          </cell>
        </row>
        <row r="67">
          <cell r="C67" t="str">
            <v>TIR calculada con WTI 18 U$s/bbl.</v>
          </cell>
        </row>
        <row r="69">
          <cell r="C69" t="str">
            <v>* Monto estimado para Budget 1997/1998</v>
          </cell>
        </row>
      </sheetData>
      <sheetData sheetId="1">
        <row r="1">
          <cell r="A1" t="str">
            <v>ESTIMACION DE COSTOS DE PERFORACION Y TERMINACION</v>
          </cell>
        </row>
        <row r="3">
          <cell r="A3" t="str">
            <v>YACIMIENTO :</v>
          </cell>
          <cell r="B3" t="str">
            <v>El Tordillo</v>
          </cell>
          <cell r="D3" t="str">
            <v>PREPARADO POR :</v>
          </cell>
          <cell r="E3" t="str">
            <v>Ingenieria el Tordillo</v>
          </cell>
        </row>
        <row r="4">
          <cell r="A4" t="str">
            <v>NOMBRE DEL POZO :</v>
          </cell>
          <cell r="B4" t="str">
            <v>S-2047</v>
          </cell>
          <cell r="D4" t="str">
            <v>DEPARTAMENTO :</v>
          </cell>
          <cell r="E4" t="str">
            <v>Perforación y Workover</v>
          </cell>
        </row>
        <row r="5">
          <cell r="A5" t="str">
            <v>AREA :</v>
          </cell>
          <cell r="B5" t="str">
            <v>El Tordillo</v>
          </cell>
          <cell r="D5" t="str">
            <v>FECHA:</v>
          </cell>
          <cell r="E5">
            <v>35690</v>
          </cell>
        </row>
        <row r="6">
          <cell r="A6" t="str">
            <v>PROVINCIA :</v>
          </cell>
          <cell r="B6" t="str">
            <v>Chubut</v>
          </cell>
          <cell r="D6" t="str">
            <v>CANTIDAD SOLICITADA ($) :</v>
          </cell>
          <cell r="E6">
            <v>3117754.8830490778</v>
          </cell>
        </row>
        <row r="7">
          <cell r="A7" t="str">
            <v>AFE # :</v>
          </cell>
          <cell r="B7" t="str">
            <v>ETPE-1011</v>
          </cell>
          <cell r="D7" t="str">
            <v>CATEGORIA (BUDGET) :</v>
          </cell>
        </row>
        <row r="8">
          <cell r="A8" t="str">
            <v>PETROLEO / GAS :</v>
          </cell>
          <cell r="D8" t="str">
            <v>CLASE DE OPERACION :</v>
          </cell>
          <cell r="E8" t="str">
            <v>PERFORACION</v>
          </cell>
        </row>
        <row r="9">
          <cell r="A9" t="str">
            <v>BUDGET :</v>
          </cell>
          <cell r="D9" t="str">
            <v>CATEGORIA:</v>
          </cell>
        </row>
        <row r="10">
          <cell r="A10" t="str">
            <v>TVD / MD :</v>
          </cell>
          <cell r="B10" t="str">
            <v>3700/3700</v>
          </cell>
          <cell r="D10" t="str">
            <v>AREA :</v>
          </cell>
        </row>
        <row r="11">
          <cell r="A11" t="str">
            <v>LOCACION DE SUPERFICIE  x:</v>
          </cell>
          <cell r="B11">
            <v>4921669</v>
          </cell>
        </row>
        <row r="12">
          <cell r="A12" t="str">
            <v>y:</v>
          </cell>
          <cell r="B12">
            <v>2577977</v>
          </cell>
          <cell r="E12" t="str">
            <v>Productivo</v>
          </cell>
          <cell r="F12" t="str">
            <v>Seco</v>
          </cell>
        </row>
        <row r="13">
          <cell r="A13" t="str">
            <v xml:space="preserve"> z:</v>
          </cell>
          <cell r="B13">
            <v>630</v>
          </cell>
          <cell r="D13" t="str">
            <v>DIAS :</v>
          </cell>
          <cell r="E13">
            <v>91.817605128205116</v>
          </cell>
          <cell r="F13">
            <v>71.817605128205116</v>
          </cell>
        </row>
        <row r="14">
          <cell r="D14" t="str">
            <v>TOTAL AFE (M$) :</v>
          </cell>
          <cell r="E14">
            <v>3117.7548830490773</v>
          </cell>
          <cell r="F14">
            <v>2797.0836046128811</v>
          </cell>
        </row>
        <row r="16">
          <cell r="B16" t="str">
            <v>DESCRIPCION DEL PROYECTO :</v>
          </cell>
          <cell r="C16" t="str">
            <v>Productor Vertical a 3706 m</v>
          </cell>
        </row>
        <row r="22">
          <cell r="A22" t="str">
            <v>LISTA DE ASUNCIONES HECHAS PARA LA ESTIMACION DE COSTOS</v>
          </cell>
        </row>
        <row r="30">
          <cell r="B30" t="str">
            <v>A - PERFORACION</v>
          </cell>
        </row>
        <row r="31">
          <cell r="B31" t="str">
            <v>INTANGIBLE</v>
          </cell>
          <cell r="C31" t="str">
            <v>PRODUCTIVO</v>
          </cell>
          <cell r="D31" t="str">
            <v>SECO</v>
          </cell>
        </row>
        <row r="32">
          <cell r="C32" t="str">
            <v>M $'s</v>
          </cell>
          <cell r="D32" t="str">
            <v>M $'s</v>
          </cell>
        </row>
        <row r="33">
          <cell r="B33" t="str">
            <v>LOCACION</v>
          </cell>
          <cell r="C33">
            <v>40</v>
          </cell>
          <cell r="D33">
            <v>40</v>
          </cell>
        </row>
        <row r="34">
          <cell r="B34" t="str">
            <v>EQUIPO PERFORACION</v>
          </cell>
          <cell r="C34">
            <v>911.81126153846151</v>
          </cell>
          <cell r="D34">
            <v>911.81126153846151</v>
          </cell>
        </row>
        <row r="35">
          <cell r="B35" t="str">
            <v>LODO PERFORACION</v>
          </cell>
          <cell r="C35">
            <v>159.18372631971556</v>
          </cell>
          <cell r="D35">
            <v>159.18372631971556</v>
          </cell>
        </row>
        <row r="36">
          <cell r="B36" t="str">
            <v>CEMENTACION</v>
          </cell>
          <cell r="C36">
            <v>136.0275515191058</v>
          </cell>
          <cell r="D36">
            <v>26.927713082909552</v>
          </cell>
        </row>
        <row r="37">
          <cell r="B37" t="str">
            <v>SERVICIOS DE GEOLOGIA</v>
          </cell>
          <cell r="C37">
            <v>301.22855333333337</v>
          </cell>
          <cell r="D37">
            <v>301.22855333333337</v>
          </cell>
        </row>
        <row r="38">
          <cell r="B38" t="str">
            <v>OPERACIONES ESPECIALES</v>
          </cell>
          <cell r="C38">
            <v>265.98903333333334</v>
          </cell>
          <cell r="D38">
            <v>265.98903333333334</v>
          </cell>
        </row>
        <row r="39">
          <cell r="B39" t="str">
            <v>SUPERVISION</v>
          </cell>
          <cell r="C39">
            <v>55.658643974358974</v>
          </cell>
          <cell r="D39">
            <v>55.658643974358974</v>
          </cell>
        </row>
        <row r="40">
          <cell r="B40" t="str">
            <v>ECOLOGIA</v>
          </cell>
          <cell r="C40">
            <v>57.454084102564089</v>
          </cell>
          <cell r="D40">
            <v>57.454084102564089</v>
          </cell>
        </row>
        <row r="41">
          <cell r="B41" t="str">
            <v>ENTUBAMIENTO</v>
          </cell>
          <cell r="C41">
            <v>30</v>
          </cell>
          <cell r="D41">
            <v>18</v>
          </cell>
        </row>
        <row r="42">
          <cell r="B42" t="str">
            <v>TRANSPORTE</v>
          </cell>
          <cell r="C42">
            <v>49.706443333333326</v>
          </cell>
          <cell r="D42">
            <v>49.706443333333326</v>
          </cell>
        </row>
        <row r="43">
          <cell r="B43" t="str">
            <v>ALQUILER EQUIPOS</v>
          </cell>
          <cell r="C43">
            <v>0</v>
          </cell>
          <cell r="D43">
            <v>0</v>
          </cell>
        </row>
        <row r="44">
          <cell r="B44" t="str">
            <v>ALQUILER HERRAMIENTAS</v>
          </cell>
          <cell r="C44">
            <v>153.21621487179488</v>
          </cell>
          <cell r="D44">
            <v>153.21621487179488</v>
          </cell>
        </row>
        <row r="45">
          <cell r="B45" t="str">
            <v>TREPANOS</v>
          </cell>
          <cell r="C45">
            <v>145.19999999999999</v>
          </cell>
          <cell r="D45">
            <v>145.19999999999999</v>
          </cell>
        </row>
        <row r="46">
          <cell r="B46" t="str">
            <v>SEGURO</v>
          </cell>
          <cell r="C46">
            <v>6.6978537999999999</v>
          </cell>
          <cell r="D46">
            <v>6.6978537999999999</v>
          </cell>
        </row>
        <row r="47">
          <cell r="B47" t="str">
            <v>AGUA</v>
          </cell>
          <cell r="C47">
            <v>0</v>
          </cell>
          <cell r="D47">
            <v>0</v>
          </cell>
        </row>
        <row r="48">
          <cell r="B48" t="str">
            <v>Total INTANGIBLE</v>
          </cell>
          <cell r="C48">
            <v>2312.1733661260005</v>
          </cell>
          <cell r="D48">
            <v>2191.073527689804</v>
          </cell>
        </row>
        <row r="50">
          <cell r="B50" t="str">
            <v>TANGIBLE</v>
          </cell>
          <cell r="C50" t="str">
            <v>PRODUCTIVO</v>
          </cell>
          <cell r="D50" t="str">
            <v>SECO</v>
          </cell>
        </row>
        <row r="51">
          <cell r="C51" t="str">
            <v>M $'s</v>
          </cell>
          <cell r="D51" t="str">
            <v>M $'s</v>
          </cell>
        </row>
        <row r="52">
          <cell r="B52" t="str">
            <v>CASING CONDUCTOR</v>
          </cell>
          <cell r="C52">
            <v>7</v>
          </cell>
          <cell r="D52">
            <v>7</v>
          </cell>
        </row>
        <row r="53">
          <cell r="B53" t="str">
            <v>CASING GUIA</v>
          </cell>
          <cell r="C53">
            <v>83</v>
          </cell>
          <cell r="D53">
            <v>83</v>
          </cell>
        </row>
        <row r="54">
          <cell r="B54" t="str">
            <v>CASING INTERMEDIO</v>
          </cell>
          <cell r="C54">
            <v>0</v>
          </cell>
          <cell r="D54">
            <v>0</v>
          </cell>
        </row>
        <row r="55">
          <cell r="B55" t="str">
            <v>2° CASING INTERMEDIO</v>
          </cell>
          <cell r="C55">
            <v>0</v>
          </cell>
          <cell r="D55">
            <v>0</v>
          </cell>
        </row>
        <row r="56">
          <cell r="B56" t="str">
            <v>LINER INTERMEDIO</v>
          </cell>
          <cell r="C56">
            <v>0</v>
          </cell>
          <cell r="D56">
            <v>0</v>
          </cell>
        </row>
        <row r="57">
          <cell r="B57" t="str">
            <v>CASING PRODUCCIÓN</v>
          </cell>
          <cell r="C57">
            <v>231.53607692307693</v>
          </cell>
          <cell r="D57">
            <v>231.53607692307693</v>
          </cell>
        </row>
        <row r="58">
          <cell r="B58" t="str">
            <v>LINER PRODUCCIÓN</v>
          </cell>
          <cell r="C58">
            <v>31.459439999999997</v>
          </cell>
          <cell r="D58">
            <v>0</v>
          </cell>
        </row>
        <row r="59">
          <cell r="B59" t="str">
            <v>CABEZA COLGADORA</v>
          </cell>
          <cell r="C59">
            <v>20</v>
          </cell>
          <cell r="D59">
            <v>20</v>
          </cell>
        </row>
        <row r="60">
          <cell r="B60" t="str">
            <v>COLGADOR LINER</v>
          </cell>
          <cell r="C60">
            <v>20</v>
          </cell>
          <cell r="D60">
            <v>0</v>
          </cell>
        </row>
        <row r="61">
          <cell r="B61" t="str">
            <v>ELEMENTOS DE ENTUBACIÓN</v>
          </cell>
          <cell r="C61">
            <v>1.8</v>
          </cell>
          <cell r="D61">
            <v>1.8</v>
          </cell>
        </row>
        <row r="62">
          <cell r="B62" t="str">
            <v>Total TANGIBLE</v>
          </cell>
          <cell r="C62">
            <v>394.79551692307695</v>
          </cell>
          <cell r="D62">
            <v>343.33607692307697</v>
          </cell>
        </row>
        <row r="64">
          <cell r="B64" t="str">
            <v>COSTO TOTAL PERFORACION</v>
          </cell>
          <cell r="C64">
            <v>2706.9688830490772</v>
          </cell>
          <cell r="D64">
            <v>2534.4096046128811</v>
          </cell>
        </row>
      </sheetData>
      <sheetData sheetId="2">
        <row r="1">
          <cell r="B1" t="str">
            <v>A -</v>
          </cell>
          <cell r="C1" t="str">
            <v>PERFORACION</v>
          </cell>
          <cell r="D1" t="str">
            <v>AFE N°: ETPE-1011</v>
          </cell>
        </row>
        <row r="2">
          <cell r="B2" t="str">
            <v>I -</v>
          </cell>
          <cell r="C2" t="str">
            <v>COSTOS INTANGIBLES</v>
          </cell>
        </row>
        <row r="3">
          <cell r="A3" t="str">
            <v>Item</v>
          </cell>
          <cell r="B3" t="str">
            <v>Código</v>
          </cell>
          <cell r="C3" t="str">
            <v>Descripción</v>
          </cell>
          <cell r="D3" t="str">
            <v>Detalle</v>
          </cell>
          <cell r="E3" t="str">
            <v>PRODUCTIVO</v>
          </cell>
          <cell r="F3" t="str">
            <v>SECO</v>
          </cell>
        </row>
        <row r="4">
          <cell r="B4" t="str">
            <v>a -</v>
          </cell>
          <cell r="C4" t="str">
            <v>ESTUDIOS DE INGENIERIA</v>
          </cell>
          <cell r="E4">
            <v>0</v>
          </cell>
          <cell r="F4">
            <v>0</v>
          </cell>
        </row>
        <row r="5">
          <cell r="A5" t="str">
            <v>01</v>
          </cell>
          <cell r="B5" t="str">
            <v>P121002</v>
          </cell>
          <cell r="F5">
            <v>0</v>
          </cell>
        </row>
        <row r="6">
          <cell r="B6" t="str">
            <v>b -</v>
          </cell>
          <cell r="C6" t="str">
            <v>LOCACION</v>
          </cell>
          <cell r="E6">
            <v>40000</v>
          </cell>
          <cell r="F6">
            <v>40000</v>
          </cell>
        </row>
        <row r="7">
          <cell r="A7" t="str">
            <v>02</v>
          </cell>
          <cell r="B7" t="str">
            <v>P111001</v>
          </cell>
          <cell r="C7" t="str">
            <v>Locación</v>
          </cell>
          <cell r="D7" t="str">
            <v>Explanación - Material(movimiento+aporte)</v>
          </cell>
          <cell r="E7">
            <v>24000</v>
          </cell>
          <cell r="F7">
            <v>24000</v>
          </cell>
        </row>
        <row r="8">
          <cell r="A8" t="str">
            <v>03</v>
          </cell>
          <cell r="B8" t="str">
            <v>P111002</v>
          </cell>
          <cell r="C8" t="str">
            <v>Caminos y Acceso</v>
          </cell>
          <cell r="D8" t="str">
            <v>Explanación - Material(movimiento+aporte)</v>
          </cell>
          <cell r="E8">
            <v>12800</v>
          </cell>
          <cell r="F8">
            <v>12800</v>
          </cell>
        </row>
        <row r="9">
          <cell r="A9" t="str">
            <v>04</v>
          </cell>
          <cell r="B9" t="str">
            <v>P111003</v>
          </cell>
          <cell r="C9" t="str">
            <v>Pileta</v>
          </cell>
          <cell r="D9" t="str">
            <v xml:space="preserve">Construcción - Impermeabilización - Tapado </v>
          </cell>
          <cell r="E9">
            <v>3200</v>
          </cell>
          <cell r="F9">
            <v>3200</v>
          </cell>
        </row>
        <row r="10">
          <cell r="B10" t="str">
            <v>c -</v>
          </cell>
          <cell r="C10" t="str">
            <v>EQUIPO DE PERFORACION</v>
          </cell>
          <cell r="D10" t="str">
            <v>(72 dias)</v>
          </cell>
          <cell r="E10">
            <v>911811.26153846155</v>
          </cell>
          <cell r="F10">
            <v>911811.26153846155</v>
          </cell>
        </row>
        <row r="11">
          <cell r="A11" t="str">
            <v>05</v>
          </cell>
          <cell r="B11" t="str">
            <v>P112001</v>
          </cell>
          <cell r="C11" t="str">
            <v>Tarifa Horaria  o Métrica</v>
          </cell>
          <cell r="E11">
            <v>861811.26153846155</v>
          </cell>
          <cell r="F11">
            <v>861811.26153846155</v>
          </cell>
        </row>
        <row r="12">
          <cell r="A12" t="str">
            <v>06</v>
          </cell>
          <cell r="B12" t="str">
            <v>P112007</v>
          </cell>
          <cell r="C12" t="str">
            <v>Movilización/Desmovilización/DTM</v>
          </cell>
          <cell r="E12">
            <v>50000</v>
          </cell>
          <cell r="F12">
            <v>50000</v>
          </cell>
        </row>
        <row r="13">
          <cell r="B13" t="str">
            <v>d -</v>
          </cell>
          <cell r="C13" t="str">
            <v>LODO DE PERFORACION</v>
          </cell>
          <cell r="E13">
            <v>159183.72631971556</v>
          </cell>
          <cell r="F13">
            <v>159183.72631971556</v>
          </cell>
        </row>
        <row r="14">
          <cell r="A14" t="str">
            <v>07</v>
          </cell>
          <cell r="B14" t="str">
            <v>P112002</v>
          </cell>
          <cell r="C14" t="str">
            <v>Servicio Técnico</v>
          </cell>
          <cell r="E14">
            <v>25136.16179487179</v>
          </cell>
          <cell r="F14">
            <v>25136.16179487179</v>
          </cell>
        </row>
        <row r="15">
          <cell r="A15" t="str">
            <v>08</v>
          </cell>
          <cell r="B15" t="str">
            <v>P321001</v>
          </cell>
          <cell r="C15" t="str">
            <v>Productos</v>
          </cell>
          <cell r="E15">
            <v>134047.56452484376</v>
          </cell>
          <cell r="F15">
            <v>134047.56452484376</v>
          </cell>
        </row>
        <row r="16">
          <cell r="B16" t="str">
            <v>e -</v>
          </cell>
          <cell r="C16" t="str">
            <v>CEMENTACION</v>
          </cell>
          <cell r="E16">
            <v>136027.55151910579</v>
          </cell>
          <cell r="F16">
            <v>26927.713082909551</v>
          </cell>
        </row>
        <row r="17">
          <cell r="A17" t="str">
            <v>09</v>
          </cell>
          <cell r="B17" t="str">
            <v>P112003</v>
          </cell>
          <cell r="C17" t="str">
            <v>Servicios</v>
          </cell>
          <cell r="E17">
            <v>53000</v>
          </cell>
          <cell r="F17">
            <v>10000</v>
          </cell>
        </row>
        <row r="18">
          <cell r="A18">
            <v>10</v>
          </cell>
          <cell r="B18" t="str">
            <v>P321003</v>
          </cell>
          <cell r="C18" t="str">
            <v>Cemento</v>
          </cell>
          <cell r="D18" t="str">
            <v>1809 bolsas</v>
          </cell>
          <cell r="E18">
            <v>23227.5515191058</v>
          </cell>
          <cell r="F18">
            <v>12127.713082909551</v>
          </cell>
        </row>
        <row r="19">
          <cell r="A19">
            <v>11</v>
          </cell>
          <cell r="B19" t="str">
            <v>P321004</v>
          </cell>
          <cell r="C19" t="str">
            <v>Aditivos de cementación.</v>
          </cell>
          <cell r="E19">
            <v>59800</v>
          </cell>
          <cell r="F19">
            <v>4800</v>
          </cell>
        </row>
        <row r="20">
          <cell r="B20" t="str">
            <v>f -</v>
          </cell>
          <cell r="C20" t="str">
            <v>SERVICIOS GEOLOGIA</v>
          </cell>
          <cell r="E20">
            <v>301228.55333333334</v>
          </cell>
          <cell r="F20">
            <v>301228.55333333334</v>
          </cell>
        </row>
        <row r="21">
          <cell r="A21">
            <v>12</v>
          </cell>
          <cell r="B21" t="str">
            <v>P112006</v>
          </cell>
          <cell r="C21" t="str">
            <v>Extracción de Testigos Corona</v>
          </cell>
          <cell r="E21">
            <v>49000</v>
          </cell>
          <cell r="F21">
            <v>49000</v>
          </cell>
        </row>
        <row r="22">
          <cell r="A22">
            <v>13</v>
          </cell>
          <cell r="B22" t="str">
            <v>P112009</v>
          </cell>
          <cell r="C22" t="str">
            <v>Perfilaje a pozo abierto</v>
          </cell>
          <cell r="E22">
            <v>170000</v>
          </cell>
          <cell r="F22">
            <v>170000</v>
          </cell>
        </row>
        <row r="23">
          <cell r="A23">
            <v>14</v>
          </cell>
          <cell r="B23" t="str">
            <v>P112011</v>
          </cell>
          <cell r="C23" t="str">
            <v>Control geológico</v>
          </cell>
          <cell r="E23">
            <v>82228.553333333344</v>
          </cell>
          <cell r="F23">
            <v>82228.553333333344</v>
          </cell>
        </row>
        <row r="24">
          <cell r="A24">
            <v>15</v>
          </cell>
          <cell r="B24" t="str">
            <v>P112015</v>
          </cell>
          <cell r="C24" t="str">
            <v>Otros servicios</v>
          </cell>
          <cell r="F24">
            <v>0</v>
          </cell>
        </row>
        <row r="25">
          <cell r="B25" t="str">
            <v>g -</v>
          </cell>
          <cell r="C25" t="str">
            <v>OPERACIONES ESPECIALES</v>
          </cell>
          <cell r="E25">
            <v>265989.03333333333</v>
          </cell>
          <cell r="F25">
            <v>265989.03333333333</v>
          </cell>
        </row>
        <row r="26">
          <cell r="A26">
            <v>16</v>
          </cell>
          <cell r="B26" t="str">
            <v>P315001</v>
          </cell>
          <cell r="C26" t="str">
            <v>Direccional</v>
          </cell>
          <cell r="E26">
            <v>230080.23076923075</v>
          </cell>
          <cell r="F26">
            <v>230080.23076923075</v>
          </cell>
        </row>
        <row r="27">
          <cell r="A27">
            <v>17</v>
          </cell>
          <cell r="B27" t="str">
            <v>P315002</v>
          </cell>
          <cell r="C27" t="str">
            <v>Centrífuga / compresores</v>
          </cell>
          <cell r="E27">
            <v>35908.80256410256</v>
          </cell>
          <cell r="F27">
            <v>35908.80256410256</v>
          </cell>
        </row>
        <row r="28">
          <cell r="A28">
            <v>18</v>
          </cell>
          <cell r="B28" t="str">
            <v>P315009</v>
          </cell>
          <cell r="C28" t="str">
            <v>Varios</v>
          </cell>
          <cell r="F28">
            <v>0</v>
          </cell>
        </row>
        <row r="29">
          <cell r="B29" t="str">
            <v>h -</v>
          </cell>
          <cell r="C29" t="str">
            <v>SUPERVISION</v>
          </cell>
          <cell r="E29">
            <v>55658.643974358973</v>
          </cell>
          <cell r="F29">
            <v>55658.643974358973</v>
          </cell>
        </row>
        <row r="30">
          <cell r="A30">
            <v>19</v>
          </cell>
          <cell r="B30" t="str">
            <v>P112008</v>
          </cell>
          <cell r="C30" t="str">
            <v>Perforación</v>
          </cell>
          <cell r="E30">
            <v>21545.281538461535</v>
          </cell>
          <cell r="F30">
            <v>21545.281538461535</v>
          </cell>
        </row>
        <row r="31">
          <cell r="A31">
            <v>20</v>
          </cell>
          <cell r="B31" t="str">
            <v>P121007</v>
          </cell>
          <cell r="C31" t="str">
            <v>Geología.</v>
          </cell>
          <cell r="F31">
            <v>0</v>
          </cell>
        </row>
        <row r="32">
          <cell r="A32">
            <v>21</v>
          </cell>
          <cell r="B32" t="str">
            <v>P131005</v>
          </cell>
          <cell r="C32" t="str">
            <v>Asistencia técnica.</v>
          </cell>
          <cell r="E32">
            <v>34113.362435897434</v>
          </cell>
          <cell r="F32">
            <v>34113.362435897434</v>
          </cell>
        </row>
        <row r="33">
          <cell r="B33" t="str">
            <v>i -</v>
          </cell>
          <cell r="C33" t="str">
            <v>ECOLOGIA</v>
          </cell>
          <cell r="E33">
            <v>57454.084102564091</v>
          </cell>
          <cell r="F33">
            <v>57454.084102564091</v>
          </cell>
        </row>
        <row r="34">
          <cell r="A34">
            <v>22</v>
          </cell>
          <cell r="B34" t="str">
            <v>P121009</v>
          </cell>
          <cell r="C34" t="str">
            <v>Monitoreo ambiental</v>
          </cell>
          <cell r="F34">
            <v>0</v>
          </cell>
        </row>
        <row r="35">
          <cell r="A35">
            <v>23</v>
          </cell>
          <cell r="B35" t="str">
            <v>P121010</v>
          </cell>
          <cell r="C35" t="str">
            <v>Tratamiento de efluentes</v>
          </cell>
          <cell r="E35">
            <v>57454.084102564091</v>
          </cell>
          <cell r="F35">
            <v>57454.084102564091</v>
          </cell>
        </row>
        <row r="36">
          <cell r="B36" t="str">
            <v>j -</v>
          </cell>
          <cell r="C36" t="str">
            <v>ENTUBAMIENTO</v>
          </cell>
          <cell r="E36">
            <v>30000</v>
          </cell>
          <cell r="F36">
            <v>18000</v>
          </cell>
        </row>
        <row r="37">
          <cell r="A37">
            <v>24</v>
          </cell>
          <cell r="B37" t="str">
            <v>P112004</v>
          </cell>
          <cell r="C37" t="str">
            <v>Llave hidráulica/equipo manipuleo.</v>
          </cell>
          <cell r="E37">
            <v>30000</v>
          </cell>
          <cell r="F37">
            <v>18000</v>
          </cell>
        </row>
        <row r="38">
          <cell r="B38" t="str">
            <v>k -</v>
          </cell>
          <cell r="C38" t="str">
            <v>TRANSPORTE</v>
          </cell>
          <cell r="E38">
            <v>49706.443333333329</v>
          </cell>
          <cell r="F38">
            <v>49706.443333333329</v>
          </cell>
        </row>
        <row r="39">
          <cell r="A39">
            <v>25</v>
          </cell>
          <cell r="B39" t="str">
            <v>P191101</v>
          </cell>
          <cell r="C39" t="str">
            <v>Transporte de cargas líquidas.</v>
          </cell>
          <cell r="E39">
            <v>46681.443333333329</v>
          </cell>
          <cell r="F39">
            <v>46681.443333333329</v>
          </cell>
        </row>
        <row r="40">
          <cell r="A40">
            <v>26</v>
          </cell>
          <cell r="B40" t="str">
            <v>P191102</v>
          </cell>
          <cell r="C40" t="str">
            <v>Transporte de cargas sólidas.</v>
          </cell>
          <cell r="E40">
            <v>3025</v>
          </cell>
          <cell r="F40">
            <v>3025</v>
          </cell>
        </row>
        <row r="41">
          <cell r="B41" t="str">
            <v>l -</v>
          </cell>
          <cell r="C41" t="str">
            <v>ALQUILER EQUIPOS</v>
          </cell>
          <cell r="E41">
            <v>0</v>
          </cell>
          <cell r="F41">
            <v>0</v>
          </cell>
        </row>
        <row r="42">
          <cell r="A42">
            <v>27</v>
          </cell>
          <cell r="B42" t="str">
            <v>P210001</v>
          </cell>
          <cell r="C42" t="str">
            <v>Alquiler de grúas.</v>
          </cell>
          <cell r="F42">
            <v>0</v>
          </cell>
        </row>
        <row r="43">
          <cell r="A43">
            <v>28</v>
          </cell>
          <cell r="B43" t="str">
            <v>P210002</v>
          </cell>
          <cell r="C43" t="str">
            <v>Alquiler de camiones</v>
          </cell>
          <cell r="F43">
            <v>0</v>
          </cell>
        </row>
        <row r="44">
          <cell r="A44">
            <v>29</v>
          </cell>
          <cell r="B44" t="str">
            <v>P210003</v>
          </cell>
          <cell r="C44" t="str">
            <v>Alquiler de máquinas viales</v>
          </cell>
          <cell r="F44">
            <v>0</v>
          </cell>
        </row>
        <row r="45">
          <cell r="B45" t="str">
            <v>m -</v>
          </cell>
          <cell r="C45" t="str">
            <v>ALQUILER DE HERRAMIENTAS</v>
          </cell>
          <cell r="E45">
            <v>153216.21487179489</v>
          </cell>
          <cell r="F45">
            <v>153216.21487179489</v>
          </cell>
        </row>
        <row r="46">
          <cell r="A46">
            <v>30</v>
          </cell>
          <cell r="B46" t="str">
            <v>P290101</v>
          </cell>
          <cell r="C46" t="str">
            <v>Alquiler herramientas de perforación</v>
          </cell>
          <cell r="E46">
            <v>153216.21487179489</v>
          </cell>
          <cell r="F46">
            <v>153216.21487179489</v>
          </cell>
        </row>
        <row r="47">
          <cell r="B47" t="str">
            <v>n -</v>
          </cell>
          <cell r="C47" t="str">
            <v>TREPANOS</v>
          </cell>
          <cell r="E47">
            <v>145200</v>
          </cell>
          <cell r="F47">
            <v>145200</v>
          </cell>
        </row>
        <row r="48">
          <cell r="A48">
            <v>31</v>
          </cell>
          <cell r="B48" t="str">
            <v>P325001</v>
          </cell>
          <cell r="C48" t="str">
            <v>Trépanos</v>
          </cell>
          <cell r="E48">
            <v>145200</v>
          </cell>
          <cell r="F48">
            <v>145200</v>
          </cell>
        </row>
        <row r="49">
          <cell r="B49" t="str">
            <v>o -</v>
          </cell>
          <cell r="C49" t="str">
            <v>SEGUROS</v>
          </cell>
          <cell r="E49">
            <v>6697.8537999999999</v>
          </cell>
          <cell r="F49">
            <v>6697.8537999999999</v>
          </cell>
        </row>
        <row r="50">
          <cell r="A50">
            <v>32</v>
          </cell>
          <cell r="B50" t="str">
            <v>P720005</v>
          </cell>
          <cell r="C50" t="str">
            <v>Seguro de la perforación</v>
          </cell>
          <cell r="E50">
            <v>6697.8537999999999</v>
          </cell>
          <cell r="F50">
            <v>6697.8537999999999</v>
          </cell>
        </row>
        <row r="51">
          <cell r="B51" t="str">
            <v>p -</v>
          </cell>
          <cell r="C51" t="str">
            <v>AGUA</v>
          </cell>
          <cell r="E51">
            <v>0</v>
          </cell>
          <cell r="F51">
            <v>0</v>
          </cell>
        </row>
        <row r="52">
          <cell r="A52" t="str">
            <v>08</v>
          </cell>
          <cell r="B52" t="str">
            <v>P321002</v>
          </cell>
          <cell r="C52" t="str">
            <v>Agua de perforacion</v>
          </cell>
          <cell r="F52">
            <v>0</v>
          </cell>
        </row>
        <row r="53">
          <cell r="A53" t="str">
            <v>TOTAL COSTOS INTANGIBLES</v>
          </cell>
          <cell r="E53">
            <v>2312173.3661260009</v>
          </cell>
          <cell r="F53">
            <v>2191073.5276898048</v>
          </cell>
        </row>
        <row r="54">
          <cell r="B54" t="str">
            <v>II -</v>
          </cell>
          <cell r="C54" t="str">
            <v>COSTOS TANGIBLES</v>
          </cell>
        </row>
        <row r="55">
          <cell r="A55" t="str">
            <v>Item</v>
          </cell>
          <cell r="B55" t="str">
            <v>Código</v>
          </cell>
          <cell r="C55" t="str">
            <v>Descripción</v>
          </cell>
          <cell r="D55" t="str">
            <v>Detalle</v>
          </cell>
          <cell r="E55" t="str">
            <v>PRODUCTIVO</v>
          </cell>
          <cell r="F55" t="str">
            <v>SECO</v>
          </cell>
        </row>
        <row r="56">
          <cell r="A56">
            <v>33</v>
          </cell>
          <cell r="B56" t="str">
            <v>P311001</v>
          </cell>
          <cell r="C56" t="str">
            <v>Casing conductor</v>
          </cell>
          <cell r="D56" t="str">
            <v>13.3/8''-K55-55#.  ~ 50 m</v>
          </cell>
          <cell r="E56">
            <v>7000</v>
          </cell>
          <cell r="F56">
            <v>7000</v>
          </cell>
        </row>
        <row r="57">
          <cell r="A57">
            <v>33</v>
          </cell>
          <cell r="B57" t="str">
            <v>P311001</v>
          </cell>
          <cell r="C57" t="str">
            <v>Casing guia</v>
          </cell>
          <cell r="D57" t="str">
            <v>9.5/8''-K55-36#.  ~ 1000 m</v>
          </cell>
          <cell r="E57">
            <v>83000</v>
          </cell>
          <cell r="F57">
            <v>83000</v>
          </cell>
        </row>
        <row r="58">
          <cell r="A58">
            <v>33</v>
          </cell>
          <cell r="B58" t="str">
            <v>P311001</v>
          </cell>
          <cell r="C58" t="str">
            <v>Casing intermedio</v>
          </cell>
          <cell r="F58">
            <v>0</v>
          </cell>
        </row>
        <row r="59">
          <cell r="A59">
            <v>33</v>
          </cell>
          <cell r="B59" t="str">
            <v>P311001</v>
          </cell>
          <cell r="C59" t="str">
            <v>2° Casing intermedio</v>
          </cell>
          <cell r="E59">
            <v>0</v>
          </cell>
          <cell r="F59">
            <v>0</v>
          </cell>
        </row>
        <row r="60">
          <cell r="A60">
            <v>33</v>
          </cell>
          <cell r="B60" t="str">
            <v>P311001</v>
          </cell>
          <cell r="C60" t="str">
            <v>Liner intermedio</v>
          </cell>
          <cell r="D60">
            <v>33</v>
          </cell>
          <cell r="E60">
            <v>0</v>
          </cell>
          <cell r="F60">
            <v>0</v>
          </cell>
        </row>
        <row r="61">
          <cell r="A61">
            <v>33</v>
          </cell>
          <cell r="B61" t="str">
            <v>P311001</v>
          </cell>
          <cell r="C61" t="str">
            <v>Casing producción</v>
          </cell>
          <cell r="D61" t="str">
            <v>7''-N80-29#.  ~ 3300 m</v>
          </cell>
          <cell r="E61">
            <v>231536.07692307694</v>
          </cell>
          <cell r="F61">
            <v>231536.07692307694</v>
          </cell>
        </row>
        <row r="62">
          <cell r="A62">
            <v>33</v>
          </cell>
          <cell r="B62" t="str">
            <v>P311001</v>
          </cell>
          <cell r="C62" t="str">
            <v>Liner producción</v>
          </cell>
          <cell r="D62" t="str">
            <v>5''-N80-18#.  ~ 456 m</v>
          </cell>
          <cell r="E62">
            <v>31459.439999999999</v>
          </cell>
          <cell r="F62">
            <v>0</v>
          </cell>
        </row>
        <row r="63">
          <cell r="A63">
            <v>34</v>
          </cell>
          <cell r="B63" t="str">
            <v>P311011</v>
          </cell>
          <cell r="C63" t="str">
            <v>Cabeza colgadora</v>
          </cell>
          <cell r="E63">
            <v>20000</v>
          </cell>
          <cell r="F63">
            <v>20000</v>
          </cell>
        </row>
        <row r="64">
          <cell r="A64">
            <v>35</v>
          </cell>
          <cell r="B64" t="str">
            <v>P311012</v>
          </cell>
          <cell r="C64" t="str">
            <v>Colgador Liner</v>
          </cell>
          <cell r="D64" t="str">
            <v>Colgador 7'' x 5''</v>
          </cell>
          <cell r="E64">
            <v>20000</v>
          </cell>
          <cell r="F64">
            <v>0</v>
          </cell>
        </row>
        <row r="65">
          <cell r="A65">
            <v>36</v>
          </cell>
          <cell r="B65" t="str">
            <v>P311099</v>
          </cell>
          <cell r="C65" t="str">
            <v>Elementos de entubación</v>
          </cell>
          <cell r="E65">
            <v>1800</v>
          </cell>
          <cell r="F65">
            <v>1800</v>
          </cell>
        </row>
        <row r="66">
          <cell r="A66" t="str">
            <v>TOTAL  COSTOS TANGIBLES</v>
          </cell>
          <cell r="E66">
            <v>394795.51692307694</v>
          </cell>
          <cell r="F66">
            <v>343336.07692307694</v>
          </cell>
        </row>
        <row r="67">
          <cell r="A67" t="str">
            <v>TOTAL PERFORACION</v>
          </cell>
          <cell r="E67">
            <v>2706968.8830490778</v>
          </cell>
          <cell r="F67">
            <v>2534409.6046128818</v>
          </cell>
        </row>
        <row r="69">
          <cell r="B69" t="str">
            <v>B -</v>
          </cell>
          <cell r="C69" t="str">
            <v>TERMINACION</v>
          </cell>
          <cell r="D69" t="str">
            <v>AFE N°: ETPE-1011</v>
          </cell>
        </row>
        <row r="70">
          <cell r="A70" t="str">
            <v>Item</v>
          </cell>
          <cell r="B70" t="str">
            <v>Código</v>
          </cell>
          <cell r="C70" t="str">
            <v>Descripción</v>
          </cell>
          <cell r="D70" t="str">
            <v>Detalle</v>
          </cell>
          <cell r="E70" t="str">
            <v>PRODUCTIVO</v>
          </cell>
          <cell r="F70" t="str">
            <v>SECO</v>
          </cell>
        </row>
        <row r="71">
          <cell r="B71" t="str">
            <v>a -</v>
          </cell>
          <cell r="C71" t="str">
            <v>EQUIPO DE TERMINACION</v>
          </cell>
          <cell r="E71">
            <v>92880</v>
          </cell>
          <cell r="F71">
            <v>65736</v>
          </cell>
        </row>
        <row r="72">
          <cell r="A72">
            <v>37</v>
          </cell>
          <cell r="B72" t="str">
            <v>P113001</v>
          </cell>
          <cell r="C72" t="str">
            <v>Tarifa horaria</v>
          </cell>
          <cell r="D72" t="str">
            <v>20 dias (horas operativas y stand by)</v>
          </cell>
          <cell r="E72">
            <v>90480</v>
          </cell>
          <cell r="F72">
            <v>63336</v>
          </cell>
        </row>
        <row r="73">
          <cell r="A73">
            <v>38</v>
          </cell>
          <cell r="B73" t="str">
            <v>P113006</v>
          </cell>
          <cell r="C73" t="str">
            <v>Movilización/Desmovilización/DTM</v>
          </cell>
          <cell r="E73">
            <v>2400</v>
          </cell>
          <cell r="F73">
            <v>2400</v>
          </cell>
        </row>
        <row r="74">
          <cell r="B74" t="str">
            <v>b -</v>
          </cell>
          <cell r="C74" t="str">
            <v>SERVICIO WIRELINE</v>
          </cell>
          <cell r="E74">
            <v>97000</v>
          </cell>
          <cell r="F74">
            <v>27000</v>
          </cell>
        </row>
        <row r="75">
          <cell r="A75">
            <v>39</v>
          </cell>
          <cell r="B75" t="str">
            <v>P113004</v>
          </cell>
          <cell r="C75" t="str">
            <v>Punzados.</v>
          </cell>
          <cell r="D75" t="str">
            <v>Punzado con DeepStar/Premiun 2 1/8</v>
          </cell>
          <cell r="E75">
            <v>80000</v>
          </cell>
          <cell r="F75">
            <v>20000</v>
          </cell>
        </row>
        <row r="76">
          <cell r="A76">
            <v>40</v>
          </cell>
          <cell r="B76" t="str">
            <v>P121004</v>
          </cell>
          <cell r="C76" t="str">
            <v>Perfilajes</v>
          </cell>
          <cell r="D76" t="str">
            <v xml:space="preserve"> 7"-5": CBL-VDL</v>
          </cell>
          <cell r="E76">
            <v>17000</v>
          </cell>
          <cell r="F76">
            <v>7000</v>
          </cell>
        </row>
        <row r="77">
          <cell r="B77" t="str">
            <v>c -</v>
          </cell>
          <cell r="C77" t="str">
            <v>SERVICIOS ESPECIALES</v>
          </cell>
          <cell r="E77">
            <v>37500</v>
          </cell>
          <cell r="F77">
            <v>7500</v>
          </cell>
        </row>
        <row r="78">
          <cell r="A78">
            <v>41</v>
          </cell>
          <cell r="B78" t="str">
            <v>P113002</v>
          </cell>
          <cell r="C78" t="str">
            <v>Estimulaciones</v>
          </cell>
          <cell r="E78">
            <v>30000</v>
          </cell>
          <cell r="F78">
            <v>0</v>
          </cell>
        </row>
        <row r="79">
          <cell r="A79">
            <v>42</v>
          </cell>
          <cell r="B79" t="str">
            <v>P113003</v>
          </cell>
          <cell r="C79" t="str">
            <v>Ensayo de Capas.</v>
          </cell>
          <cell r="E79">
            <v>0</v>
          </cell>
          <cell r="F79">
            <v>0</v>
          </cell>
        </row>
        <row r="80">
          <cell r="A80">
            <v>43</v>
          </cell>
          <cell r="B80" t="str">
            <v>P113015</v>
          </cell>
          <cell r="C80" t="str">
            <v>Cementación</v>
          </cell>
          <cell r="E80">
            <v>7500</v>
          </cell>
          <cell r="F80">
            <v>7500</v>
          </cell>
        </row>
        <row r="81">
          <cell r="A81">
            <v>44</v>
          </cell>
          <cell r="B81" t="str">
            <v>P290101</v>
          </cell>
          <cell r="C81" t="str">
            <v>Alquiler de herramientas de terminación</v>
          </cell>
          <cell r="E81">
            <v>0</v>
          </cell>
          <cell r="F81">
            <v>0</v>
          </cell>
        </row>
        <row r="82">
          <cell r="A82">
            <v>45</v>
          </cell>
          <cell r="B82" t="str">
            <v>P113008</v>
          </cell>
          <cell r="C82" t="str">
            <v>Servicio de Coiled Tubing</v>
          </cell>
          <cell r="E82">
            <v>0</v>
          </cell>
          <cell r="F82">
            <v>0</v>
          </cell>
        </row>
        <row r="83">
          <cell r="B83" t="str">
            <v>d -</v>
          </cell>
          <cell r="C83" t="str">
            <v>SUPERVISION</v>
          </cell>
          <cell r="E83">
            <v>0</v>
          </cell>
          <cell r="F83">
            <v>0</v>
          </cell>
        </row>
        <row r="84">
          <cell r="A84">
            <v>46</v>
          </cell>
          <cell r="B84" t="str">
            <v>P113007</v>
          </cell>
          <cell r="C84" t="str">
            <v>Terminación.</v>
          </cell>
          <cell r="E84">
            <v>0</v>
          </cell>
          <cell r="F84">
            <v>0</v>
          </cell>
        </row>
        <row r="85">
          <cell r="B85" t="str">
            <v>e-</v>
          </cell>
          <cell r="C85" t="str">
            <v>TRANSPORTE</v>
          </cell>
          <cell r="E85">
            <v>21800</v>
          </cell>
          <cell r="F85">
            <v>9220</v>
          </cell>
        </row>
        <row r="86">
          <cell r="A86">
            <v>47</v>
          </cell>
          <cell r="B86" t="str">
            <v>P191101</v>
          </cell>
          <cell r="C86" t="str">
            <v>Transporte de cargas líquidas.</v>
          </cell>
          <cell r="E86">
            <v>16800</v>
          </cell>
          <cell r="F86">
            <v>6720</v>
          </cell>
        </row>
        <row r="87">
          <cell r="A87">
            <v>48</v>
          </cell>
          <cell r="B87" t="str">
            <v>P191102</v>
          </cell>
          <cell r="C87" t="str">
            <v>Transporte de cargas sólidas.</v>
          </cell>
          <cell r="E87">
            <v>5000</v>
          </cell>
          <cell r="F87">
            <v>2500</v>
          </cell>
        </row>
        <row r="88">
          <cell r="B88" t="str">
            <v>f-</v>
          </cell>
          <cell r="C88" t="str">
            <v>INSUMOS QUIMICOS</v>
          </cell>
          <cell r="E88">
            <v>11637</v>
          </cell>
          <cell r="F88">
            <v>11637</v>
          </cell>
        </row>
        <row r="89">
          <cell r="A89">
            <v>49</v>
          </cell>
          <cell r="B89" t="str">
            <v>P321003</v>
          </cell>
          <cell r="C89" t="str">
            <v>Fluído de terminación.</v>
          </cell>
          <cell r="D89" t="str">
            <v>Agua tratada filtrada</v>
          </cell>
          <cell r="E89">
            <v>11637</v>
          </cell>
          <cell r="F89">
            <v>11637</v>
          </cell>
        </row>
        <row r="90">
          <cell r="B90" t="str">
            <v>g-</v>
          </cell>
          <cell r="C90" t="str">
            <v>SEGUROS</v>
          </cell>
          <cell r="E90">
            <v>4087</v>
          </cell>
          <cell r="F90">
            <v>3531</v>
          </cell>
        </row>
        <row r="91">
          <cell r="A91">
            <v>50</v>
          </cell>
          <cell r="B91" t="str">
            <v>P720005</v>
          </cell>
          <cell r="C91" t="str">
            <v>Seguro de la terminación</v>
          </cell>
          <cell r="E91">
            <v>4087</v>
          </cell>
          <cell r="F91">
            <v>3531</v>
          </cell>
        </row>
        <row r="92">
          <cell r="A92" t="str">
            <v>TOTAL  TERMINACION</v>
          </cell>
          <cell r="E92">
            <v>264904</v>
          </cell>
          <cell r="F92">
            <v>124624</v>
          </cell>
        </row>
        <row r="94">
          <cell r="B94" t="str">
            <v>C -</v>
          </cell>
          <cell r="C94" t="str">
            <v>EQUIPAMIENTO</v>
          </cell>
          <cell r="D94" t="str">
            <v>AFE N°: ETPE-1011</v>
          </cell>
        </row>
        <row r="95">
          <cell r="A95" t="str">
            <v>Item</v>
          </cell>
          <cell r="B95" t="str">
            <v>Código</v>
          </cell>
          <cell r="C95" t="str">
            <v>Descripción</v>
          </cell>
          <cell r="D95" t="str">
            <v>Detalle</v>
          </cell>
          <cell r="E95" t="str">
            <v>PRODUCTIVO</v>
          </cell>
          <cell r="F95" t="str">
            <v>SECO</v>
          </cell>
        </row>
        <row r="96">
          <cell r="A96">
            <v>51</v>
          </cell>
          <cell r="B96" t="str">
            <v>P311002</v>
          </cell>
          <cell r="C96" t="str">
            <v>Tubing</v>
          </cell>
          <cell r="E96">
            <v>77132</v>
          </cell>
          <cell r="F96">
            <v>69300</v>
          </cell>
        </row>
        <row r="97">
          <cell r="A97">
            <v>52</v>
          </cell>
          <cell r="B97" t="str">
            <v>P311003</v>
          </cell>
          <cell r="C97" t="str">
            <v>Cañería de conducción</v>
          </cell>
          <cell r="D97" t="str">
            <v>700 m a 25 $/m montado</v>
          </cell>
          <cell r="E97">
            <v>17500</v>
          </cell>
          <cell r="F97">
            <v>17500</v>
          </cell>
        </row>
        <row r="98">
          <cell r="A98">
            <v>53</v>
          </cell>
          <cell r="B98" t="str">
            <v>P311004</v>
          </cell>
          <cell r="C98" t="str">
            <v>Armadura de surgencia y PKR</v>
          </cell>
          <cell r="E98">
            <v>35000</v>
          </cell>
          <cell r="F98">
            <v>35000</v>
          </cell>
        </row>
        <row r="99">
          <cell r="A99">
            <v>54</v>
          </cell>
          <cell r="B99" t="str">
            <v>P311006</v>
          </cell>
          <cell r="C99" t="str">
            <v>Vástago bbeo. y cabeza de produccion.</v>
          </cell>
        </row>
        <row r="100">
          <cell r="A100">
            <v>55</v>
          </cell>
          <cell r="B100" t="str">
            <v>P311099</v>
          </cell>
          <cell r="C100" t="str">
            <v>Varillas de bombeo</v>
          </cell>
        </row>
        <row r="101">
          <cell r="A101">
            <v>56</v>
          </cell>
          <cell r="B101" t="str">
            <v>P313101</v>
          </cell>
          <cell r="C101" t="str">
            <v>Bba profundidad + ancla.</v>
          </cell>
        </row>
        <row r="102">
          <cell r="A102">
            <v>56</v>
          </cell>
          <cell r="B102" t="str">
            <v>P313102</v>
          </cell>
          <cell r="C102" t="str">
            <v>Puente de producción / varios</v>
          </cell>
          <cell r="E102">
            <v>5000</v>
          </cell>
          <cell r="F102">
            <v>5000</v>
          </cell>
        </row>
        <row r="103">
          <cell r="A103">
            <v>57</v>
          </cell>
          <cell r="B103" t="str">
            <v>P313103</v>
          </cell>
          <cell r="C103" t="str">
            <v>Bombas electrosumergibles.</v>
          </cell>
        </row>
        <row r="104">
          <cell r="A104">
            <v>58</v>
          </cell>
          <cell r="B104" t="str">
            <v>P313104</v>
          </cell>
          <cell r="C104" t="str">
            <v>Instalación de tanque elevado</v>
          </cell>
        </row>
        <row r="105">
          <cell r="A105">
            <v>58</v>
          </cell>
          <cell r="B105" t="str">
            <v>P313105</v>
          </cell>
          <cell r="C105" t="str">
            <v>Bombas PCP.</v>
          </cell>
        </row>
        <row r="106">
          <cell r="A106">
            <v>59</v>
          </cell>
          <cell r="B106" t="str">
            <v>P323001</v>
          </cell>
          <cell r="C106" t="str">
            <v>Línea eléctrica.</v>
          </cell>
          <cell r="D106" t="str">
            <v>0.50 KM</v>
          </cell>
          <cell r="E106">
            <v>11250</v>
          </cell>
          <cell r="F106">
            <v>11250</v>
          </cell>
        </row>
        <row r="107">
          <cell r="A107" t="str">
            <v>TOTAL EQUIPAMIENTO</v>
          </cell>
          <cell r="E107">
            <v>145882</v>
          </cell>
          <cell r="F107">
            <v>138050</v>
          </cell>
        </row>
        <row r="108">
          <cell r="E108" t="str">
            <v>PRODUCTIVO</v>
          </cell>
          <cell r="F108" t="str">
            <v>SECO</v>
          </cell>
        </row>
        <row r="109">
          <cell r="D109" t="str">
            <v>TOTAL  AFE (Considerando 20% de tiempo en contingencias)</v>
          </cell>
          <cell r="E109">
            <v>3117754.8830490778</v>
          </cell>
          <cell r="F109">
            <v>2797083.6046128818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#¡REF"/>
      <sheetName val="resumen gral"/>
    </sheetNames>
    <sheetDataSet>
      <sheetData sheetId="0">
        <row r="2">
          <cell r="I2" t="str">
            <v>CASING y CABEZALES</v>
          </cell>
          <cell r="M2" t="str">
            <v>Casing</v>
          </cell>
          <cell r="N2" t="str">
            <v>CEMENTACION</v>
          </cell>
          <cell r="S2">
            <v>10.911424903722722</v>
          </cell>
          <cell r="W2" t="str">
            <v>Cem.</v>
          </cell>
          <cell r="X2" t="str">
            <v>Cem.</v>
          </cell>
          <cell r="Y2" t="str">
            <v>TREPANOS, MOTOR y HERTAS.</v>
          </cell>
          <cell r="AD2" t="str">
            <v>Trep.</v>
          </cell>
          <cell r="AE2" t="str">
            <v>TRAMO</v>
          </cell>
          <cell r="AF2" t="str">
            <v>EXTRAC.</v>
          </cell>
          <cell r="AG2" t="str">
            <v>TRAMO</v>
          </cell>
          <cell r="AH2" t="str">
            <v>EXTR.</v>
          </cell>
          <cell r="AI2" t="str">
            <v>ROT.</v>
          </cell>
          <cell r="AJ2" t="str">
            <v>ROP</v>
          </cell>
          <cell r="AK2" t="str">
            <v>MANIOBRA</v>
          </cell>
          <cell r="AL2" t="str">
            <v>HORAS</v>
          </cell>
          <cell r="AM2">
            <v>0.3</v>
          </cell>
          <cell r="AN2" t="str">
            <v xml:space="preserve"> ACUMULA</v>
          </cell>
          <cell r="AO2" t="str">
            <v>EQUIPO</v>
          </cell>
          <cell r="AP2" t="str">
            <v>EQUIPO</v>
          </cell>
          <cell r="AQ2">
            <v>500</v>
          </cell>
          <cell r="AR2" t="str">
            <v>LODO</v>
          </cell>
          <cell r="AS2" t="str">
            <v>Volumenes</v>
          </cell>
          <cell r="AU2" t="str">
            <v>Productos</v>
          </cell>
          <cell r="AW2" t="str">
            <v>Servicio</v>
          </cell>
          <cell r="AX2" t="str">
            <v>Centrif.</v>
          </cell>
          <cell r="AY2" t="str">
            <v>Acum.</v>
          </cell>
          <cell r="AZ2" t="str">
            <v>GEOLOGIA</v>
          </cell>
          <cell r="BA2" t="str">
            <v>GEOLOGIA</v>
          </cell>
          <cell r="BB2" t="str">
            <v>Acum.</v>
          </cell>
          <cell r="BC2" t="str">
            <v>Transp.</v>
          </cell>
          <cell r="BD2" t="str">
            <v>Acumula</v>
          </cell>
        </row>
        <row r="3">
          <cell r="I3" t="str">
            <v xml:space="preserve">Tipo / [m] </v>
          </cell>
          <cell r="J3" t="str">
            <v>[$/m]</v>
          </cell>
          <cell r="K3" t="str">
            <v>Parcial</v>
          </cell>
          <cell r="L3" t="str">
            <v>Serv.</v>
          </cell>
          <cell r="M3" t="str">
            <v>Total</v>
          </cell>
          <cell r="N3" t="str">
            <v>[l/m3]</v>
          </cell>
          <cell r="O3" t="str">
            <v>[m3]</v>
          </cell>
          <cell r="P3" t="str">
            <v>µ</v>
          </cell>
          <cell r="Q3" t="str">
            <v>%exc.</v>
          </cell>
          <cell r="R3" t="str">
            <v>N°bls</v>
          </cell>
          <cell r="S3" t="str">
            <v>Cemto.</v>
          </cell>
          <cell r="T3" t="str">
            <v>Produc.</v>
          </cell>
          <cell r="U3" t="str">
            <v>Mater.</v>
          </cell>
          <cell r="V3" t="str">
            <v>Serv.</v>
          </cell>
          <cell r="W3" t="str">
            <v>Total</v>
          </cell>
          <cell r="X3" t="str">
            <v>Acum.</v>
          </cell>
          <cell r="Y3" t="str">
            <v>Øt ["]</v>
          </cell>
          <cell r="Z3" t="str">
            <v>TIPO</v>
          </cell>
          <cell r="AA3" t="str">
            <v>Unit.</v>
          </cell>
          <cell r="AB3" t="str">
            <v>Parcial</v>
          </cell>
          <cell r="AC3" t="str">
            <v>Motor</v>
          </cell>
          <cell r="AD3" t="str">
            <v>Tijera</v>
          </cell>
          <cell r="AE3" t="str">
            <v>Estab.</v>
          </cell>
          <cell r="AF3" t="str">
            <v>Total</v>
          </cell>
          <cell r="AG3" t="str">
            <v>[m]</v>
          </cell>
          <cell r="AH3" t="str">
            <v>[m]</v>
          </cell>
          <cell r="AI3" t="str">
            <v>[h]</v>
          </cell>
          <cell r="AJ3" t="str">
            <v>[m/h]</v>
          </cell>
          <cell r="AK3" t="str">
            <v>Real</v>
          </cell>
          <cell r="AL3" t="str">
            <v>Calc.</v>
          </cell>
          <cell r="AM3" t="str">
            <v>Real</v>
          </cell>
          <cell r="AN3" t="str">
            <v>dias</v>
          </cell>
          <cell r="AO3" t="str">
            <v>[m]</v>
          </cell>
          <cell r="AP3" t="str">
            <v>Parcial</v>
          </cell>
          <cell r="AQ3" t="str">
            <v>Acumula</v>
          </cell>
          <cell r="AR3" t="str">
            <v>[lts/m]</v>
          </cell>
          <cell r="AS3" t="str">
            <v>Calc.</v>
          </cell>
          <cell r="AT3" t="str">
            <v>Real</v>
          </cell>
          <cell r="AU3" t="str">
            <v>[$/m3]</v>
          </cell>
          <cell r="AV3" t="str">
            <v>[$]</v>
          </cell>
          <cell r="AW3">
            <v>350</v>
          </cell>
          <cell r="AX3">
            <v>0</v>
          </cell>
          <cell r="AY3" t="str">
            <v>Lodo</v>
          </cell>
          <cell r="AZ3" t="str">
            <v>C.Geo.</v>
          </cell>
          <cell r="BA3" t="str">
            <v>Perfil</v>
          </cell>
          <cell r="BB3" t="str">
            <v>Geolog.</v>
          </cell>
          <cell r="BC3" t="str">
            <v>Locac.</v>
          </cell>
          <cell r="BD3" t="str">
            <v>TOTAL</v>
          </cell>
        </row>
        <row r="4">
          <cell r="M4">
            <v>0</v>
          </cell>
          <cell r="V4">
            <v>0</v>
          </cell>
          <cell r="W4">
            <v>0</v>
          </cell>
          <cell r="X4">
            <v>0</v>
          </cell>
          <cell r="AB4">
            <v>0</v>
          </cell>
          <cell r="AD4">
            <v>0</v>
          </cell>
          <cell r="AI4" t="str">
            <v>Monta equipo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60000</v>
          </cell>
          <cell r="AQ4">
            <v>60000</v>
          </cell>
          <cell r="AR4">
            <v>76.036668750000004</v>
          </cell>
          <cell r="AS4">
            <v>0</v>
          </cell>
          <cell r="AT4">
            <v>150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B4">
            <v>0</v>
          </cell>
          <cell r="BC4">
            <v>35000</v>
          </cell>
          <cell r="BD4">
            <v>95000</v>
          </cell>
        </row>
        <row r="5">
          <cell r="I5" t="str">
            <v>H40-13.3/8"-48#</v>
          </cell>
          <cell r="M5">
            <v>0</v>
          </cell>
          <cell r="V5">
            <v>0</v>
          </cell>
          <cell r="W5">
            <v>0</v>
          </cell>
          <cell r="X5">
            <v>0</v>
          </cell>
          <cell r="Y5" t="str">
            <v>Sin equipo</v>
          </cell>
          <cell r="Z5" t="str">
            <v>GT-1</v>
          </cell>
          <cell r="AA5">
            <v>2800</v>
          </cell>
          <cell r="AB5">
            <v>2800</v>
          </cell>
          <cell r="AD5">
            <v>2800</v>
          </cell>
          <cell r="AE5">
            <v>500</v>
          </cell>
          <cell r="AF5">
            <v>0</v>
          </cell>
          <cell r="AG5">
            <v>26</v>
          </cell>
          <cell r="AH5">
            <v>26</v>
          </cell>
          <cell r="AI5" t="str">
            <v>Perfora</v>
          </cell>
          <cell r="AJ5">
            <v>20.833333333333332</v>
          </cell>
          <cell r="AK5" t="str">
            <v>Perfora (sin equipo)</v>
          </cell>
          <cell r="AL5">
            <v>0</v>
          </cell>
          <cell r="AM5">
            <v>0</v>
          </cell>
          <cell r="AN5">
            <v>0</v>
          </cell>
          <cell r="AO5">
            <v>26</v>
          </cell>
          <cell r="AP5">
            <v>0</v>
          </cell>
          <cell r="AQ5">
            <v>60000</v>
          </cell>
          <cell r="AR5">
            <v>76.036668750000004</v>
          </cell>
          <cell r="AS5">
            <v>1.9769533875000003</v>
          </cell>
          <cell r="AT5">
            <v>159.88476693749999</v>
          </cell>
          <cell r="AU5">
            <v>0</v>
          </cell>
          <cell r="AV5">
            <v>0</v>
          </cell>
          <cell r="AW5">
            <v>0</v>
          </cell>
          <cell r="AY5">
            <v>0</v>
          </cell>
          <cell r="BB5">
            <v>0</v>
          </cell>
          <cell r="BC5">
            <v>35000</v>
          </cell>
          <cell r="BD5">
            <v>95000</v>
          </cell>
        </row>
        <row r="6">
          <cell r="I6" t="str">
            <v>(26 m)</v>
          </cell>
          <cell r="J6">
            <v>115</v>
          </cell>
          <cell r="K6">
            <v>2990</v>
          </cell>
          <cell r="L6">
            <v>4300</v>
          </cell>
          <cell r="M6">
            <v>2990</v>
          </cell>
          <cell r="V6">
            <v>0</v>
          </cell>
          <cell r="W6">
            <v>0</v>
          </cell>
          <cell r="X6">
            <v>0</v>
          </cell>
          <cell r="AB6">
            <v>0</v>
          </cell>
          <cell r="AD6">
            <v>2800</v>
          </cell>
          <cell r="AF6">
            <v>0</v>
          </cell>
          <cell r="AI6" t="str">
            <v>Calibra y circ. reg. vert.</v>
          </cell>
          <cell r="AJ6">
            <v>12</v>
          </cell>
          <cell r="AK6" t="str">
            <v>Entuba (s/e). Zto. en 26 m</v>
          </cell>
          <cell r="AL6">
            <v>0</v>
          </cell>
          <cell r="AM6">
            <v>0</v>
          </cell>
          <cell r="AN6">
            <v>0</v>
          </cell>
          <cell r="AO6">
            <v>26</v>
          </cell>
          <cell r="AP6">
            <v>0</v>
          </cell>
          <cell r="AQ6">
            <v>60000</v>
          </cell>
          <cell r="AR6">
            <v>76.036668750000004</v>
          </cell>
          <cell r="AS6">
            <v>1.9769533875000003</v>
          </cell>
          <cell r="AT6">
            <v>159.88476693749999</v>
          </cell>
          <cell r="AU6">
            <v>0</v>
          </cell>
          <cell r="AV6">
            <v>0</v>
          </cell>
          <cell r="AW6">
            <v>0</v>
          </cell>
          <cell r="AY6">
            <v>0</v>
          </cell>
          <cell r="BB6">
            <v>0</v>
          </cell>
          <cell r="BC6">
            <v>35000</v>
          </cell>
          <cell r="BD6">
            <v>97990</v>
          </cell>
        </row>
        <row r="7">
          <cell r="I7" t="str">
            <v>WA.: 13.3/8"x9.5/8"</v>
          </cell>
          <cell r="J7">
            <v>77.3</v>
          </cell>
          <cell r="K7">
            <v>2000</v>
          </cell>
          <cell r="M7">
            <v>4990</v>
          </cell>
          <cell r="N7">
            <v>700</v>
          </cell>
          <cell r="O7">
            <v>18.2</v>
          </cell>
          <cell r="P7">
            <v>54</v>
          </cell>
          <cell r="Q7">
            <v>0.3</v>
          </cell>
          <cell r="R7">
            <v>438.14814814814815</v>
          </cell>
          <cell r="S7">
            <v>4381.4814814814818</v>
          </cell>
          <cell r="V7">
            <v>2500</v>
          </cell>
          <cell r="W7">
            <v>6881.4814814814818</v>
          </cell>
          <cell r="X7">
            <v>6881.4814814814818</v>
          </cell>
          <cell r="AB7">
            <v>6881.48046875</v>
          </cell>
          <cell r="AD7">
            <v>6881.48046875</v>
          </cell>
          <cell r="AF7">
            <v>0</v>
          </cell>
          <cell r="AI7" t="str">
            <v>Entuba . Zapato en 500 m</v>
          </cell>
          <cell r="AJ7">
            <v>6</v>
          </cell>
          <cell r="AK7" t="str">
            <v>Cementa (sin equipo)</v>
          </cell>
          <cell r="AL7">
            <v>0</v>
          </cell>
          <cell r="AM7">
            <v>0</v>
          </cell>
          <cell r="AN7">
            <v>0</v>
          </cell>
          <cell r="AO7">
            <v>26</v>
          </cell>
          <cell r="AP7">
            <v>0</v>
          </cell>
          <cell r="AQ7">
            <v>60000</v>
          </cell>
          <cell r="AR7">
            <v>76.036668750000004</v>
          </cell>
          <cell r="AS7">
            <v>1.9769533875000003</v>
          </cell>
          <cell r="AT7">
            <v>159.88476693749999</v>
          </cell>
          <cell r="AU7">
            <v>0</v>
          </cell>
          <cell r="AV7">
            <v>0</v>
          </cell>
          <cell r="AW7">
            <v>0</v>
          </cell>
          <cell r="AY7">
            <v>0</v>
          </cell>
          <cell r="BB7">
            <v>0</v>
          </cell>
          <cell r="BC7">
            <v>35000</v>
          </cell>
          <cell r="BD7">
            <v>106871.48148148149</v>
          </cell>
        </row>
        <row r="8">
          <cell r="I8" t="str">
            <v>H40-9.5/8"-36#</v>
          </cell>
          <cell r="K8">
            <v>106871.4375</v>
          </cell>
          <cell r="M8">
            <v>4990</v>
          </cell>
          <cell r="N8">
            <v>29.095664062500003</v>
          </cell>
          <cell r="O8">
            <v>14.547832031250001</v>
          </cell>
          <cell r="P8">
            <v>39</v>
          </cell>
          <cell r="Q8">
            <v>0.5</v>
          </cell>
          <cell r="R8">
            <v>559.53200120192321</v>
          </cell>
          <cell r="S8">
            <v>6105.2914123444771</v>
          </cell>
          <cell r="T8">
            <v>3000</v>
          </cell>
          <cell r="U8">
            <v>1000</v>
          </cell>
          <cell r="V8">
            <v>7000</v>
          </cell>
          <cell r="W8">
            <v>17105.291412344479</v>
          </cell>
          <cell r="X8">
            <v>6881.4814814814818</v>
          </cell>
          <cell r="AB8">
            <v>6881.48046875</v>
          </cell>
          <cell r="AD8">
            <v>6881.48046875</v>
          </cell>
          <cell r="AF8">
            <v>0</v>
          </cell>
          <cell r="AI8" t="str">
            <v>Cementa</v>
          </cell>
          <cell r="AJ8">
            <v>4</v>
          </cell>
          <cell r="AK8" t="str">
            <v>Arma conjunto y baja</v>
          </cell>
          <cell r="AL8">
            <v>4</v>
          </cell>
          <cell r="AM8">
            <v>5.2</v>
          </cell>
          <cell r="AN8">
            <v>0.21666666666666667</v>
          </cell>
          <cell r="AO8">
            <v>26</v>
          </cell>
          <cell r="AP8">
            <v>2600</v>
          </cell>
          <cell r="AQ8">
            <v>62600</v>
          </cell>
          <cell r="AR8">
            <v>76.036668750000004</v>
          </cell>
          <cell r="AS8">
            <v>1.9769533875000003</v>
          </cell>
          <cell r="AT8">
            <v>159.88476693749999</v>
          </cell>
          <cell r="AU8">
            <v>35</v>
          </cell>
          <cell r="AV8">
            <v>5595.9668428124996</v>
          </cell>
          <cell r="AW8">
            <v>75.833333333333343</v>
          </cell>
          <cell r="AY8">
            <v>5671.8001761458327</v>
          </cell>
          <cell r="BB8">
            <v>0</v>
          </cell>
          <cell r="BC8">
            <v>35325</v>
          </cell>
          <cell r="BD8">
            <v>115468.28165762732</v>
          </cell>
        </row>
        <row r="9">
          <cell r="I9" t="str">
            <v>(661 m)</v>
          </cell>
          <cell r="J9">
            <v>81</v>
          </cell>
          <cell r="K9">
            <v>53541</v>
          </cell>
          <cell r="L9">
            <v>2000</v>
          </cell>
          <cell r="M9">
            <v>60531</v>
          </cell>
          <cell r="V9">
            <v>0</v>
          </cell>
          <cell r="W9">
            <v>0</v>
          </cell>
          <cell r="X9">
            <v>6881.4814814814818</v>
          </cell>
          <cell r="Y9">
            <v>12.25</v>
          </cell>
          <cell r="Z9" t="str">
            <v>R1</v>
          </cell>
          <cell r="AA9">
            <v>2900</v>
          </cell>
          <cell r="AB9">
            <v>2900</v>
          </cell>
          <cell r="AD9">
            <v>2800</v>
          </cell>
          <cell r="AF9">
            <v>2900</v>
          </cell>
          <cell r="AG9">
            <v>650</v>
          </cell>
          <cell r="AH9">
            <v>661</v>
          </cell>
          <cell r="AI9">
            <v>26</v>
          </cell>
          <cell r="AJ9">
            <v>25</v>
          </cell>
          <cell r="AK9" t="str">
            <v>Perfora</v>
          </cell>
          <cell r="AL9">
            <v>30</v>
          </cell>
          <cell r="AM9">
            <v>39</v>
          </cell>
          <cell r="AN9">
            <v>1.8416666666666668</v>
          </cell>
          <cell r="AO9">
            <v>661</v>
          </cell>
          <cell r="AP9">
            <v>19500</v>
          </cell>
          <cell r="AQ9">
            <v>82100</v>
          </cell>
          <cell r="AR9">
            <v>76.036668750000004</v>
          </cell>
          <cell r="AS9">
            <v>50.26023804375</v>
          </cell>
          <cell r="AT9">
            <v>401.30119021874998</v>
          </cell>
          <cell r="AU9">
            <v>35</v>
          </cell>
          <cell r="AV9">
            <v>14045.541657656249</v>
          </cell>
          <cell r="AW9">
            <v>644.58333333333337</v>
          </cell>
          <cell r="AY9">
            <v>14690.124990989583</v>
          </cell>
          <cell r="BB9">
            <v>0</v>
          </cell>
          <cell r="BC9">
            <v>37762.5</v>
          </cell>
          <cell r="BD9">
            <v>204865.10647247106</v>
          </cell>
        </row>
        <row r="10">
          <cell r="M10">
            <v>60531</v>
          </cell>
          <cell r="V10">
            <v>0</v>
          </cell>
          <cell r="W10">
            <v>0</v>
          </cell>
          <cell r="X10">
            <v>6881.4814814814818</v>
          </cell>
          <cell r="AB10">
            <v>6881.48046875</v>
          </cell>
          <cell r="AD10">
            <v>3000.5</v>
          </cell>
          <cell r="AF10">
            <v>2900</v>
          </cell>
          <cell r="AG10">
            <v>650</v>
          </cell>
          <cell r="AH10" t="str">
            <v>TOTAL</v>
          </cell>
          <cell r="AI10">
            <v>1.0833333333333333</v>
          </cell>
          <cell r="AJ10" t="str">
            <v>dias</v>
          </cell>
          <cell r="AK10" t="str">
            <v>Calibra y circula</v>
          </cell>
          <cell r="AL10">
            <v>8</v>
          </cell>
          <cell r="AM10">
            <v>10.4</v>
          </cell>
          <cell r="AN10">
            <v>2.2750000000000004</v>
          </cell>
          <cell r="AO10">
            <v>661</v>
          </cell>
          <cell r="AP10">
            <v>5200</v>
          </cell>
          <cell r="AQ10">
            <v>87300</v>
          </cell>
          <cell r="AR10">
            <v>76.040000000000006</v>
          </cell>
          <cell r="AS10">
            <v>50.262440000000005</v>
          </cell>
          <cell r="AT10">
            <v>401.31220000000002</v>
          </cell>
          <cell r="AU10">
            <v>35</v>
          </cell>
          <cell r="AV10">
            <v>14045.927000000001</v>
          </cell>
          <cell r="AW10">
            <v>796.25000000000011</v>
          </cell>
          <cell r="AY10">
            <v>14842.177000000001</v>
          </cell>
          <cell r="BB10">
            <v>0</v>
          </cell>
          <cell r="BC10">
            <v>38412.5</v>
          </cell>
          <cell r="BD10">
            <v>210867.15848148149</v>
          </cell>
        </row>
        <row r="11">
          <cell r="M11">
            <v>60531</v>
          </cell>
          <cell r="V11">
            <v>0</v>
          </cell>
          <cell r="W11">
            <v>0</v>
          </cell>
          <cell r="X11">
            <v>6881.4814814814818</v>
          </cell>
          <cell r="Y11">
            <v>8.5</v>
          </cell>
          <cell r="Z11" t="str">
            <v>GT-1</v>
          </cell>
          <cell r="AA11">
            <v>4500</v>
          </cell>
          <cell r="AB11">
            <v>4500</v>
          </cell>
          <cell r="AD11">
            <v>4500</v>
          </cell>
          <cell r="AE11">
            <v>1300</v>
          </cell>
          <cell r="AF11">
            <v>2900</v>
          </cell>
          <cell r="AG11">
            <v>66.666666666666671</v>
          </cell>
          <cell r="AH11">
            <v>19.5</v>
          </cell>
          <cell r="AI11" t="str">
            <v>Perfora</v>
          </cell>
          <cell r="AJ11">
            <v>66.666666666666671</v>
          </cell>
          <cell r="AK11" t="str">
            <v>Entuba . Zapato en 661 m</v>
          </cell>
          <cell r="AL11">
            <v>10</v>
          </cell>
          <cell r="AM11">
            <v>13</v>
          </cell>
          <cell r="AN11">
            <v>2.8166666666666669</v>
          </cell>
          <cell r="AO11">
            <v>661</v>
          </cell>
          <cell r="AP11">
            <v>6500</v>
          </cell>
          <cell r="AQ11">
            <v>93800</v>
          </cell>
          <cell r="AR11">
            <v>76.040000000000006</v>
          </cell>
          <cell r="AS11">
            <v>50.262440000000005</v>
          </cell>
          <cell r="AT11">
            <v>401.31220000000002</v>
          </cell>
          <cell r="AU11">
            <v>35</v>
          </cell>
          <cell r="AV11">
            <v>14045.927000000001</v>
          </cell>
          <cell r="AW11">
            <v>985.83333333333337</v>
          </cell>
          <cell r="AY11">
            <v>15031.760333333335</v>
          </cell>
          <cell r="BB11">
            <v>0</v>
          </cell>
          <cell r="BC11">
            <v>39225</v>
          </cell>
          <cell r="BD11">
            <v>218369.24181481483</v>
          </cell>
        </row>
        <row r="12">
          <cell r="K12">
            <v>218369.125</v>
          </cell>
          <cell r="M12">
            <v>60531</v>
          </cell>
          <cell r="N12">
            <v>29.095664062500003</v>
          </cell>
          <cell r="O12">
            <v>19.232233945312501</v>
          </cell>
          <cell r="P12">
            <v>39</v>
          </cell>
          <cell r="Q12">
            <v>0.5</v>
          </cell>
          <cell r="R12">
            <v>739.70130558894243</v>
          </cell>
          <cell r="S12">
            <v>10355.818278245195</v>
          </cell>
          <cell r="T12">
            <v>1000</v>
          </cell>
          <cell r="U12">
            <v>3500</v>
          </cell>
          <cell r="V12">
            <v>25000</v>
          </cell>
          <cell r="W12">
            <v>39855.818278245191</v>
          </cell>
          <cell r="X12">
            <v>46737.299759726673</v>
          </cell>
          <cell r="AB12">
            <v>46737.28125</v>
          </cell>
          <cell r="AD12">
            <v>46737.28125</v>
          </cell>
          <cell r="AF12">
            <v>2900</v>
          </cell>
          <cell r="AI12" t="str">
            <v>Circula, reg. vert. y saca</v>
          </cell>
          <cell r="AJ12">
            <v>8</v>
          </cell>
          <cell r="AK12" t="str">
            <v>Cementa</v>
          </cell>
          <cell r="AL12">
            <v>6</v>
          </cell>
          <cell r="AM12">
            <v>7.8000000000000007</v>
          </cell>
          <cell r="AN12">
            <v>3.1416666666666671</v>
          </cell>
          <cell r="AO12">
            <v>661</v>
          </cell>
          <cell r="AP12">
            <v>3900.0000000000005</v>
          </cell>
          <cell r="AQ12">
            <v>97700</v>
          </cell>
          <cell r="AR12">
            <v>38.794218750000006</v>
          </cell>
          <cell r="AS12">
            <v>25.642978593750005</v>
          </cell>
          <cell r="AT12">
            <v>278.21489296875006</v>
          </cell>
          <cell r="AU12">
            <v>90</v>
          </cell>
          <cell r="AV12">
            <v>39085.267367187509</v>
          </cell>
          <cell r="AW12">
            <v>1099.5833333333335</v>
          </cell>
          <cell r="AY12">
            <v>40184.850700520845</v>
          </cell>
          <cell r="BB12">
            <v>0</v>
          </cell>
          <cell r="BC12">
            <v>39712.5</v>
          </cell>
          <cell r="BD12">
            <v>287765.65046024753</v>
          </cell>
        </row>
        <row r="13">
          <cell r="K13">
            <v>287765.5</v>
          </cell>
          <cell r="M13">
            <v>60531</v>
          </cell>
          <cell r="V13">
            <v>0</v>
          </cell>
          <cell r="W13">
            <v>0</v>
          </cell>
          <cell r="X13">
            <v>46737.299759726673</v>
          </cell>
          <cell r="AB13">
            <v>46737.28125</v>
          </cell>
          <cell r="AD13">
            <v>46737.28125</v>
          </cell>
          <cell r="AF13">
            <v>2900</v>
          </cell>
          <cell r="AI13" t="str">
            <v>Baja trepano nuevo</v>
          </cell>
          <cell r="AJ13">
            <v>6</v>
          </cell>
          <cell r="AK13" t="str">
            <v>Frague, arma BOP y baja.</v>
          </cell>
          <cell r="AL13">
            <v>16</v>
          </cell>
          <cell r="AM13">
            <v>20.8</v>
          </cell>
          <cell r="AN13">
            <v>4.0083333333333337</v>
          </cell>
          <cell r="AO13">
            <v>661</v>
          </cell>
          <cell r="AP13">
            <v>10400</v>
          </cell>
          <cell r="AQ13">
            <v>108100</v>
          </cell>
          <cell r="AR13">
            <v>38.794218750000006</v>
          </cell>
          <cell r="AS13">
            <v>25.642978593750005</v>
          </cell>
          <cell r="AT13">
            <v>278.21489296875006</v>
          </cell>
          <cell r="AU13">
            <v>90</v>
          </cell>
          <cell r="AV13">
            <v>39085.267367187509</v>
          </cell>
          <cell r="AW13">
            <v>1402.9166666666667</v>
          </cell>
          <cell r="AY13">
            <v>40488.184033854173</v>
          </cell>
          <cell r="AZ13">
            <v>8000</v>
          </cell>
          <cell r="BB13">
            <v>8000</v>
          </cell>
          <cell r="BC13">
            <v>41012.5</v>
          </cell>
          <cell r="BD13">
            <v>307768.98379358085</v>
          </cell>
        </row>
        <row r="14">
          <cell r="M14">
            <v>60531</v>
          </cell>
          <cell r="V14">
            <v>0</v>
          </cell>
          <cell r="W14">
            <v>0</v>
          </cell>
          <cell r="X14">
            <v>46737.299759726673</v>
          </cell>
          <cell r="Y14">
            <v>8.75</v>
          </cell>
          <cell r="Z14" t="str">
            <v>GT1</v>
          </cell>
          <cell r="AA14">
            <v>3000</v>
          </cell>
          <cell r="AB14">
            <v>3000</v>
          </cell>
          <cell r="AD14">
            <v>1516.6666666666667</v>
          </cell>
          <cell r="AE14">
            <v>800</v>
          </cell>
          <cell r="AF14">
            <v>7416.666666666667</v>
          </cell>
          <cell r="AG14">
            <v>1000</v>
          </cell>
          <cell r="AH14">
            <v>1652</v>
          </cell>
          <cell r="AI14">
            <v>50</v>
          </cell>
          <cell r="AJ14">
            <v>20</v>
          </cell>
          <cell r="AK14" t="str">
            <v>Perfora</v>
          </cell>
          <cell r="AL14">
            <v>56</v>
          </cell>
          <cell r="AM14">
            <v>72.8</v>
          </cell>
          <cell r="AN14">
            <v>7.041666666666667</v>
          </cell>
          <cell r="AO14">
            <v>1652</v>
          </cell>
          <cell r="AP14">
            <v>36400</v>
          </cell>
          <cell r="AQ14">
            <v>144500</v>
          </cell>
          <cell r="AR14">
            <v>38.794218750000006</v>
          </cell>
          <cell r="AS14">
            <v>64.088049375000011</v>
          </cell>
          <cell r="AT14">
            <v>470.44024687500007</v>
          </cell>
          <cell r="AU14">
            <v>90</v>
          </cell>
          <cell r="AV14">
            <v>56385.549218750013</v>
          </cell>
          <cell r="AW14">
            <v>2464.5833333333335</v>
          </cell>
          <cell r="AX14">
            <v>0</v>
          </cell>
          <cell r="AY14">
            <v>58850.132552083349</v>
          </cell>
          <cell r="AZ14">
            <v>3033.3333333333335</v>
          </cell>
          <cell r="BB14">
            <v>11033.333333333334</v>
          </cell>
          <cell r="BC14">
            <v>45562.5</v>
          </cell>
          <cell r="BD14">
            <v>374630.93231181003</v>
          </cell>
        </row>
        <row r="15">
          <cell r="I15" t="str">
            <v>Tope cto.: 1400 m</v>
          </cell>
          <cell r="K15">
            <v>374630.75</v>
          </cell>
          <cell r="M15">
            <v>60531</v>
          </cell>
          <cell r="V15">
            <v>0</v>
          </cell>
          <cell r="W15">
            <v>0</v>
          </cell>
          <cell r="X15">
            <v>46737.299759726673</v>
          </cell>
          <cell r="Y15">
            <v>8.75</v>
          </cell>
          <cell r="Z15" t="str">
            <v>GT1</v>
          </cell>
          <cell r="AA15">
            <v>3000</v>
          </cell>
          <cell r="AB15">
            <v>6000</v>
          </cell>
          <cell r="AD15">
            <v>1541.0416666666667</v>
          </cell>
          <cell r="AE15">
            <v>4000</v>
          </cell>
          <cell r="AF15">
            <v>15957.708333333334</v>
          </cell>
          <cell r="AG15">
            <v>509</v>
          </cell>
          <cell r="AH15">
            <v>2161</v>
          </cell>
          <cell r="AI15">
            <v>50.9</v>
          </cell>
          <cell r="AJ15">
            <v>10</v>
          </cell>
          <cell r="AL15">
            <v>56.9</v>
          </cell>
          <cell r="AM15">
            <v>73.97</v>
          </cell>
          <cell r="AN15">
            <v>10.123750000000001</v>
          </cell>
          <cell r="AO15">
            <v>2161</v>
          </cell>
          <cell r="AP15">
            <v>36985</v>
          </cell>
          <cell r="AQ15">
            <v>181485</v>
          </cell>
          <cell r="AR15">
            <v>38.794218750000006</v>
          </cell>
          <cell r="AS15">
            <v>83.834306718750014</v>
          </cell>
          <cell r="AT15">
            <v>569.17153359375004</v>
          </cell>
          <cell r="AU15">
            <v>90</v>
          </cell>
          <cell r="AV15">
            <v>65271.365023437509</v>
          </cell>
          <cell r="AW15">
            <v>3543.3125000000005</v>
          </cell>
          <cell r="AX15">
            <v>0</v>
          </cell>
          <cell r="AY15">
            <v>68814.677523437509</v>
          </cell>
          <cell r="AZ15">
            <v>3082.0833333333335</v>
          </cell>
          <cell r="BB15">
            <v>14115.416666666668</v>
          </cell>
          <cell r="BC15">
            <v>50185.625</v>
          </cell>
          <cell r="BD15">
            <v>437826.72728316416</v>
          </cell>
        </row>
        <row r="16">
          <cell r="M16">
            <v>60531</v>
          </cell>
          <cell r="V16">
            <v>0</v>
          </cell>
          <cell r="W16">
            <v>0</v>
          </cell>
          <cell r="X16">
            <v>46737.299759726673</v>
          </cell>
          <cell r="Y16" t="str">
            <v>CORONA</v>
          </cell>
          <cell r="AB16">
            <v>6000</v>
          </cell>
          <cell r="AD16">
            <v>460.41666666666669</v>
          </cell>
          <cell r="AF16">
            <v>16418.125</v>
          </cell>
          <cell r="AG16">
            <v>9</v>
          </cell>
          <cell r="AH16">
            <v>2170</v>
          </cell>
          <cell r="AI16">
            <v>9</v>
          </cell>
          <cell r="AJ16">
            <v>1</v>
          </cell>
          <cell r="AK16" t="str">
            <v>Perfora con corona</v>
          </cell>
          <cell r="AL16">
            <v>17</v>
          </cell>
          <cell r="AM16">
            <v>22.1</v>
          </cell>
          <cell r="AN16">
            <v>11.044583333333335</v>
          </cell>
          <cell r="AO16">
            <v>2170</v>
          </cell>
          <cell r="AP16">
            <v>11050</v>
          </cell>
          <cell r="AQ16">
            <v>192535</v>
          </cell>
          <cell r="AR16">
            <v>38.794218750000006</v>
          </cell>
          <cell r="AS16">
            <v>84.183454687500003</v>
          </cell>
          <cell r="AT16">
            <v>570.91727343749994</v>
          </cell>
          <cell r="AU16">
            <v>90</v>
          </cell>
          <cell r="AV16">
            <v>65428.481609374998</v>
          </cell>
          <cell r="AW16">
            <v>3865.6041666666674</v>
          </cell>
          <cell r="AX16">
            <v>0</v>
          </cell>
          <cell r="AY16">
            <v>69294.085776041669</v>
          </cell>
          <cell r="AZ16">
            <v>920.83333333333337</v>
          </cell>
          <cell r="BA16">
            <v>10000</v>
          </cell>
          <cell r="BB16">
            <v>25036.25</v>
          </cell>
          <cell r="BC16">
            <v>51566.875</v>
          </cell>
          <cell r="BD16">
            <v>462118.63553576835</v>
          </cell>
        </row>
        <row r="17">
          <cell r="K17">
            <v>462118.5</v>
          </cell>
          <cell r="M17">
            <v>60531</v>
          </cell>
          <cell r="V17">
            <v>0</v>
          </cell>
          <cell r="W17">
            <v>0</v>
          </cell>
          <cell r="X17">
            <v>46737.299759726673</v>
          </cell>
          <cell r="Y17">
            <v>8.75</v>
          </cell>
          <cell r="Z17" t="str">
            <v>X11HP</v>
          </cell>
          <cell r="AA17">
            <v>6350</v>
          </cell>
          <cell r="AB17">
            <v>12350</v>
          </cell>
          <cell r="AD17">
            <v>521.35416666666674</v>
          </cell>
          <cell r="AE17">
            <v>4000</v>
          </cell>
          <cell r="AF17">
            <v>27289.479166666668</v>
          </cell>
          <cell r="AG17">
            <v>90</v>
          </cell>
          <cell r="AH17">
            <v>2260</v>
          </cell>
          <cell r="AI17">
            <v>11.25</v>
          </cell>
          <cell r="AJ17">
            <v>8</v>
          </cell>
          <cell r="AK17" t="str">
            <v>Perfora</v>
          </cell>
          <cell r="AL17">
            <v>19.25</v>
          </cell>
          <cell r="AM17">
            <v>25.025000000000002</v>
          </cell>
          <cell r="AN17">
            <v>12.087291666666669</v>
          </cell>
          <cell r="AO17">
            <v>2260</v>
          </cell>
          <cell r="AP17">
            <v>12512.500000000002</v>
          </cell>
          <cell r="AQ17">
            <v>205047.5</v>
          </cell>
          <cell r="AR17">
            <v>38.794218750000006</v>
          </cell>
          <cell r="AS17">
            <v>87.674934375000007</v>
          </cell>
          <cell r="AT17">
            <v>588.3746718750001</v>
          </cell>
          <cell r="AU17">
            <v>90</v>
          </cell>
          <cell r="AV17">
            <v>66999.647468750016</v>
          </cell>
          <cell r="AW17">
            <v>4230.5520833333339</v>
          </cell>
          <cell r="AX17">
            <v>0</v>
          </cell>
          <cell r="AY17">
            <v>71230.199552083344</v>
          </cell>
          <cell r="AZ17">
            <v>1042.7083333333335</v>
          </cell>
          <cell r="BB17">
            <v>26078.958333333332</v>
          </cell>
          <cell r="BC17">
            <v>53130.9375</v>
          </cell>
          <cell r="BD17">
            <v>490045.37431181001</v>
          </cell>
        </row>
        <row r="18">
          <cell r="M18">
            <v>60531</v>
          </cell>
          <cell r="V18">
            <v>0</v>
          </cell>
          <cell r="W18">
            <v>0</v>
          </cell>
          <cell r="X18">
            <v>46737.299759726673</v>
          </cell>
          <cell r="Y18" t="str">
            <v>CORONA</v>
          </cell>
          <cell r="AB18">
            <v>12350</v>
          </cell>
          <cell r="AD18">
            <v>460.41666666666669</v>
          </cell>
          <cell r="AF18">
            <v>27749.895833333336</v>
          </cell>
          <cell r="AG18">
            <v>9</v>
          </cell>
          <cell r="AH18">
            <v>2269</v>
          </cell>
          <cell r="AI18">
            <v>9</v>
          </cell>
          <cell r="AJ18">
            <v>1</v>
          </cell>
          <cell r="AK18" t="str">
            <v>Perfora con corona</v>
          </cell>
          <cell r="AL18">
            <v>17</v>
          </cell>
          <cell r="AM18">
            <v>22.1</v>
          </cell>
          <cell r="AN18">
            <v>13.008125000000003</v>
          </cell>
          <cell r="AO18">
            <v>2269</v>
          </cell>
          <cell r="AP18">
            <v>11050</v>
          </cell>
          <cell r="AQ18">
            <v>216097.5</v>
          </cell>
          <cell r="AR18">
            <v>38.794218750000006</v>
          </cell>
          <cell r="AS18">
            <v>88.02408234375001</v>
          </cell>
          <cell r="AT18">
            <v>590.12041171875012</v>
          </cell>
          <cell r="AU18">
            <v>90</v>
          </cell>
          <cell r="AV18">
            <v>67156.764054687505</v>
          </cell>
          <cell r="AW18">
            <v>4552.8437500000009</v>
          </cell>
          <cell r="AX18">
            <v>0</v>
          </cell>
          <cell r="AY18">
            <v>71709.607804687505</v>
          </cell>
          <cell r="AZ18">
            <v>920.83333333333337</v>
          </cell>
          <cell r="BA18">
            <v>10000</v>
          </cell>
          <cell r="BB18">
            <v>36999.791666666664</v>
          </cell>
          <cell r="BC18">
            <v>54512.1875</v>
          </cell>
          <cell r="BD18">
            <v>514337.28256441414</v>
          </cell>
        </row>
        <row r="19">
          <cell r="K19">
            <v>514337.25</v>
          </cell>
          <cell r="M19">
            <v>60531</v>
          </cell>
          <cell r="V19">
            <v>0</v>
          </cell>
          <cell r="W19">
            <v>0</v>
          </cell>
          <cell r="X19">
            <v>46737.299759726673</v>
          </cell>
          <cell r="Y19">
            <v>8.75</v>
          </cell>
          <cell r="Z19" t="str">
            <v>X11HP</v>
          </cell>
          <cell r="AA19">
            <v>6350</v>
          </cell>
          <cell r="AB19">
            <v>18700</v>
          </cell>
          <cell r="AD19">
            <v>1119.4444444444446</v>
          </cell>
          <cell r="AE19">
            <v>4000</v>
          </cell>
          <cell r="AF19">
            <v>39219.340277777781</v>
          </cell>
          <cell r="AG19">
            <v>200</v>
          </cell>
          <cell r="AH19">
            <v>2469</v>
          </cell>
          <cell r="AI19">
            <v>33.333333333333336</v>
          </cell>
          <cell r="AJ19">
            <v>6</v>
          </cell>
          <cell r="AK19" t="str">
            <v>Perfora</v>
          </cell>
          <cell r="AL19">
            <v>41.333333333333336</v>
          </cell>
          <cell r="AM19">
            <v>53.733333333333341</v>
          </cell>
          <cell r="AN19">
            <v>15.247013888888892</v>
          </cell>
          <cell r="AO19">
            <v>2469</v>
          </cell>
          <cell r="AP19">
            <v>26866.666666666672</v>
          </cell>
          <cell r="AQ19">
            <v>242964.16666666669</v>
          </cell>
          <cell r="AR19">
            <v>38.794218750000006</v>
          </cell>
          <cell r="AS19">
            <v>95.782926093750007</v>
          </cell>
          <cell r="AT19">
            <v>628.91463046875003</v>
          </cell>
          <cell r="AU19">
            <v>90</v>
          </cell>
          <cell r="AV19">
            <v>70648.243742187507</v>
          </cell>
          <cell r="AW19">
            <v>5336.4548611111122</v>
          </cell>
          <cell r="AX19">
            <v>0</v>
          </cell>
          <cell r="AY19">
            <v>75984.698603298617</v>
          </cell>
          <cell r="AZ19">
            <v>2238.8888888888891</v>
          </cell>
          <cell r="BB19">
            <v>39238.680555555555</v>
          </cell>
          <cell r="BC19">
            <v>57870.520833333343</v>
          </cell>
          <cell r="BD19">
            <v>562545.70669635874</v>
          </cell>
        </row>
        <row r="20">
          <cell r="I20" t="str">
            <v>5 1/2-N80-17</v>
          </cell>
          <cell r="M20">
            <v>60531</v>
          </cell>
          <cell r="V20">
            <v>0</v>
          </cell>
          <cell r="W20">
            <v>0</v>
          </cell>
          <cell r="X20">
            <v>46737.299759726673</v>
          </cell>
          <cell r="AB20">
            <v>922.29999999999984</v>
          </cell>
          <cell r="AD20">
            <v>1570.8333333333333</v>
          </cell>
          <cell r="AF20">
            <v>40790.173611111117</v>
          </cell>
          <cell r="AG20">
            <v>150</v>
          </cell>
          <cell r="AH20">
            <v>2619</v>
          </cell>
          <cell r="AI20">
            <v>50</v>
          </cell>
          <cell r="AJ20">
            <v>3</v>
          </cell>
          <cell r="AL20">
            <v>58</v>
          </cell>
          <cell r="AM20">
            <v>75.400000000000006</v>
          </cell>
          <cell r="AN20">
            <v>18.38868055555556</v>
          </cell>
          <cell r="AO20">
            <v>2619</v>
          </cell>
          <cell r="AP20">
            <v>37700</v>
          </cell>
          <cell r="AQ20">
            <v>280664.16666666669</v>
          </cell>
          <cell r="AR20">
            <v>36.61</v>
          </cell>
          <cell r="AS20">
            <v>95.881590000000003</v>
          </cell>
          <cell r="AT20">
            <v>629.40795000000003</v>
          </cell>
          <cell r="AU20">
            <v>90</v>
          </cell>
          <cell r="AV20">
            <v>70692.642500000002</v>
          </cell>
          <cell r="AW20">
            <v>6436.0381944444462</v>
          </cell>
          <cell r="AX20">
            <v>0</v>
          </cell>
          <cell r="AY20">
            <v>77128.680694444454</v>
          </cell>
          <cell r="AZ20">
            <v>3141.6666666666665</v>
          </cell>
          <cell r="BB20">
            <v>42380.347222222219</v>
          </cell>
          <cell r="BC20">
            <v>62583.020833333343</v>
          </cell>
          <cell r="BD20">
            <v>610814.68878750445</v>
          </cell>
        </row>
        <row r="21">
          <cell r="I21" t="str">
            <v>WA.: 9.5/8"x5.½"</v>
          </cell>
          <cell r="J21">
            <v>44</v>
          </cell>
          <cell r="K21">
            <v>3000</v>
          </cell>
          <cell r="L21">
            <v>6300</v>
          </cell>
          <cell r="M21">
            <v>63531</v>
          </cell>
          <cell r="V21">
            <v>0</v>
          </cell>
          <cell r="W21">
            <v>0</v>
          </cell>
          <cell r="X21">
            <v>46737.299759726673</v>
          </cell>
          <cell r="Y21" t="str">
            <v>TOTAL</v>
          </cell>
          <cell r="Z21">
            <v>4</v>
          </cell>
          <cell r="AB21">
            <v>4</v>
          </cell>
          <cell r="AD21">
            <v>51447.366666666669</v>
          </cell>
          <cell r="AF21">
            <v>40790.173611111117</v>
          </cell>
          <cell r="AG21">
            <v>1967</v>
          </cell>
          <cell r="AH21" t="str">
            <v>TOTAL</v>
          </cell>
          <cell r="AI21">
            <v>8.8951388888888889</v>
          </cell>
          <cell r="AJ21" t="str">
            <v>dias</v>
          </cell>
          <cell r="AK21" t="str">
            <v>Calibra y circula</v>
          </cell>
          <cell r="AL21">
            <v>12</v>
          </cell>
          <cell r="AM21">
            <v>15.600000000000001</v>
          </cell>
          <cell r="AN21">
            <v>19.038680555555558</v>
          </cell>
          <cell r="AO21">
            <v>2619</v>
          </cell>
          <cell r="AP21">
            <v>7800.0000000000009</v>
          </cell>
          <cell r="AQ21">
            <v>288464.16666666669</v>
          </cell>
          <cell r="AR21">
            <v>36.61</v>
          </cell>
          <cell r="AS21">
            <v>95.881590000000003</v>
          </cell>
          <cell r="AT21">
            <v>629.40795000000003</v>
          </cell>
          <cell r="AU21">
            <v>90</v>
          </cell>
          <cell r="AV21">
            <v>70692.642500000002</v>
          </cell>
          <cell r="AW21">
            <v>6663.5381944444453</v>
          </cell>
          <cell r="AX21">
            <v>0</v>
          </cell>
          <cell r="AY21">
            <v>77356.180694444454</v>
          </cell>
          <cell r="AZ21">
            <v>650.00000000000011</v>
          </cell>
          <cell r="BB21">
            <v>43030.347222222219</v>
          </cell>
          <cell r="BC21">
            <v>63558.020833333336</v>
          </cell>
          <cell r="BD21">
            <v>623467.18878750445</v>
          </cell>
        </row>
        <row r="22">
          <cell r="I22" t="str">
            <v>K55-5.½"-17#</v>
          </cell>
          <cell r="K22">
            <v>1800</v>
          </cell>
          <cell r="M22">
            <v>63531</v>
          </cell>
          <cell r="N22">
            <v>21.281400000000001</v>
          </cell>
          <cell r="O22">
            <v>31.9221</v>
          </cell>
          <cell r="P22">
            <v>40</v>
          </cell>
          <cell r="Q22">
            <v>0.25</v>
          </cell>
          <cell r="R22">
            <v>1197.0787500000001</v>
          </cell>
          <cell r="S22">
            <v>13061.834884467267</v>
          </cell>
          <cell r="T22">
            <v>30000</v>
          </cell>
          <cell r="U22">
            <v>5500</v>
          </cell>
          <cell r="V22">
            <v>30000</v>
          </cell>
          <cell r="W22">
            <v>78561.834884467273</v>
          </cell>
          <cell r="X22">
            <v>46737.299759726673</v>
          </cell>
          <cell r="AB22">
            <v>46737.28125</v>
          </cell>
          <cell r="AD22">
            <v>46737.28125</v>
          </cell>
          <cell r="AF22">
            <v>40790.173611111117</v>
          </cell>
          <cell r="AI22" t="str">
            <v>Cementa y cuelga casing.</v>
          </cell>
          <cell r="AJ22">
            <v>10</v>
          </cell>
          <cell r="AK22" t="str">
            <v>Perfila</v>
          </cell>
          <cell r="AL22">
            <v>24</v>
          </cell>
          <cell r="AM22">
            <v>31.200000000000003</v>
          </cell>
          <cell r="AN22">
            <v>20.338680555555559</v>
          </cell>
          <cell r="AO22">
            <v>2619</v>
          </cell>
          <cell r="AP22">
            <v>15600.000000000002</v>
          </cell>
          <cell r="AQ22">
            <v>304064.16666666669</v>
          </cell>
          <cell r="AR22">
            <v>36.61</v>
          </cell>
          <cell r="AS22">
            <v>95.881590000000003</v>
          </cell>
          <cell r="AT22">
            <v>629.40795000000003</v>
          </cell>
          <cell r="AU22">
            <v>90</v>
          </cell>
          <cell r="AV22">
            <v>70692.642500000002</v>
          </cell>
          <cell r="AW22">
            <v>7118.5381944444453</v>
          </cell>
          <cell r="AX22">
            <v>0</v>
          </cell>
          <cell r="AY22">
            <v>77811.180694444454</v>
          </cell>
          <cell r="AZ22">
            <v>1300.0000000000002</v>
          </cell>
          <cell r="BA22">
            <v>100000</v>
          </cell>
          <cell r="BB22">
            <v>144330.34722222222</v>
          </cell>
          <cell r="BC22">
            <v>65508.020833333343</v>
          </cell>
          <cell r="BD22">
            <v>742772.18878750445</v>
          </cell>
        </row>
        <row r="23">
          <cell r="I23" t="str">
            <v>(2619 m)</v>
          </cell>
          <cell r="J23">
            <v>42</v>
          </cell>
          <cell r="K23">
            <v>109998</v>
          </cell>
          <cell r="L23">
            <v>5400</v>
          </cell>
          <cell r="M23">
            <v>178929</v>
          </cell>
          <cell r="R23">
            <v>1756.6107512019234</v>
          </cell>
          <cell r="S23">
            <v>19167.126296811744</v>
          </cell>
          <cell r="T23">
            <v>33000</v>
          </cell>
          <cell r="U23">
            <v>6500</v>
          </cell>
          <cell r="W23">
            <v>95667.126296811752</v>
          </cell>
          <cell r="X23">
            <v>46737.299759726673</v>
          </cell>
          <cell r="Y23" t="str">
            <v>N° Ts:</v>
          </cell>
          <cell r="Z23">
            <v>4</v>
          </cell>
          <cell r="AA23">
            <v>37800</v>
          </cell>
          <cell r="AB23">
            <v>37800</v>
          </cell>
          <cell r="AC23">
            <v>0</v>
          </cell>
          <cell r="AD23">
            <v>0</v>
          </cell>
          <cell r="AE23" t="str">
            <v xml:space="preserve">   Hrs rotac.:</v>
          </cell>
          <cell r="AF23">
            <v>40790.173611111117</v>
          </cell>
          <cell r="AG23">
            <v>264.16666666666669</v>
          </cell>
          <cell r="AH23">
            <v>0.52770009322146749</v>
          </cell>
          <cell r="AJ23" t="str">
            <v>(11 dias)    Hrs. totales:</v>
          </cell>
          <cell r="AK23" t="str">
            <v>Entuba . Zapato en 2619 m</v>
          </cell>
          <cell r="AL23">
            <v>16</v>
          </cell>
          <cell r="AM23">
            <v>20.8</v>
          </cell>
          <cell r="AN23">
            <v>21.205347222222226</v>
          </cell>
          <cell r="AO23">
            <v>2619</v>
          </cell>
          <cell r="AP23">
            <v>10400</v>
          </cell>
          <cell r="AQ23">
            <v>314464.16666666669</v>
          </cell>
          <cell r="AR23">
            <v>36.61</v>
          </cell>
          <cell r="AS23">
            <v>95.881590000000003</v>
          </cell>
          <cell r="AT23">
            <v>629.40795000000003</v>
          </cell>
          <cell r="AU23">
            <v>90</v>
          </cell>
          <cell r="AV23">
            <v>70692.642500000002</v>
          </cell>
          <cell r="AW23">
            <v>7421.8715277777792</v>
          </cell>
          <cell r="AX23">
            <v>0</v>
          </cell>
          <cell r="AY23">
            <v>78114.514027777783</v>
          </cell>
          <cell r="AZ23">
            <v>866.66666666666663</v>
          </cell>
          <cell r="BB23">
            <v>145197.01388888888</v>
          </cell>
          <cell r="BC23">
            <v>66808.020833333343</v>
          </cell>
          <cell r="BD23">
            <v>871040.18878750445</v>
          </cell>
        </row>
        <row r="24">
          <cell r="K24">
            <v>871040</v>
          </cell>
          <cell r="M24">
            <v>178929</v>
          </cell>
          <cell r="N24">
            <v>21.281400000000001</v>
          </cell>
          <cell r="O24">
            <v>25.942026600000002</v>
          </cell>
          <cell r="P24">
            <v>39</v>
          </cell>
          <cell r="Q24">
            <v>0.2</v>
          </cell>
          <cell r="R24">
            <v>798.21620307692308</v>
          </cell>
          <cell r="S24">
            <v>16762.540264615385</v>
          </cell>
          <cell r="T24">
            <v>16000</v>
          </cell>
          <cell r="U24">
            <v>8000</v>
          </cell>
          <cell r="V24">
            <v>30000</v>
          </cell>
          <cell r="W24">
            <v>70762.540264615382</v>
          </cell>
          <cell r="X24">
            <v>117499.84002434206</v>
          </cell>
          <cell r="AB24">
            <v>117499.8125</v>
          </cell>
          <cell r="AD24">
            <v>117499.8125</v>
          </cell>
          <cell r="AF24">
            <v>40790.173611111117</v>
          </cell>
          <cell r="AK24" t="str">
            <v>Cementa</v>
          </cell>
          <cell r="AL24">
            <v>6</v>
          </cell>
          <cell r="AM24">
            <v>7.8000000000000007</v>
          </cell>
          <cell r="AN24">
            <v>21.530347222222225</v>
          </cell>
          <cell r="AO24">
            <v>2619</v>
          </cell>
          <cell r="AP24">
            <v>3900.0000000000005</v>
          </cell>
          <cell r="AQ24">
            <v>318364.16666666669</v>
          </cell>
          <cell r="AR24">
            <v>36.61</v>
          </cell>
          <cell r="AS24">
            <v>95.881590000000003</v>
          </cell>
          <cell r="AT24">
            <v>629.40795000000003</v>
          </cell>
          <cell r="AU24">
            <v>90</v>
          </cell>
          <cell r="AV24">
            <v>70692.642500000002</v>
          </cell>
          <cell r="AW24">
            <v>7535.6215277777792</v>
          </cell>
          <cell r="AX24">
            <v>0</v>
          </cell>
          <cell r="AY24">
            <v>78228.264027777783</v>
          </cell>
          <cell r="AZ24">
            <v>325.00000000000006</v>
          </cell>
          <cell r="BB24">
            <v>145522.01388888888</v>
          </cell>
          <cell r="BC24">
            <v>82205.81514645835</v>
          </cell>
          <cell r="BD24">
            <v>961539.27336524485</v>
          </cell>
        </row>
        <row r="25">
          <cell r="M25">
            <v>0.18608600288761482</v>
          </cell>
          <cell r="X25">
            <v>0.12219973045210109</v>
          </cell>
          <cell r="Y25" t="str">
            <v>N° Trep:</v>
          </cell>
          <cell r="Z25">
            <v>5</v>
          </cell>
          <cell r="AA25">
            <v>21600</v>
          </cell>
          <cell r="AD25">
            <v>7190.1736111111113</v>
          </cell>
          <cell r="AE25">
            <v>12000</v>
          </cell>
          <cell r="AF25">
            <v>4.2421744738882647E-2</v>
          </cell>
          <cell r="AG25" t="str">
            <v xml:space="preserve">   Horas rotacion:</v>
          </cell>
          <cell r="AI25">
            <v>239.48333333333335</v>
          </cell>
          <cell r="AJ25">
            <v>0.46346081274170503</v>
          </cell>
          <cell r="AK25" t="str">
            <v>(10 dias)              Horas totales:</v>
          </cell>
          <cell r="AM25">
            <v>516.72833333333335</v>
          </cell>
          <cell r="AN25" t="str">
            <v>(22 dias)</v>
          </cell>
          <cell r="AQ25">
            <v>0.33109845378695696</v>
          </cell>
          <cell r="AY25">
            <v>8.1357325898910468E-2</v>
          </cell>
          <cell r="AZ25">
            <v>25522.013888888894</v>
          </cell>
          <cell r="BA25">
            <v>120000</v>
          </cell>
          <cell r="BB25">
            <v>0.15134276666576854</v>
          </cell>
          <cell r="BC25">
            <v>8.549397556976554E-2</v>
          </cell>
          <cell r="BD25">
            <v>1</v>
          </cell>
        </row>
        <row r="27">
          <cell r="BC27" t="str">
            <v>PERFORACION</v>
          </cell>
          <cell r="BD27">
            <v>961539.27336524485</v>
          </cell>
        </row>
        <row r="28">
          <cell r="BC28" t="str">
            <v>TERMINACION</v>
          </cell>
          <cell r="BD28">
            <v>165782.34064499999</v>
          </cell>
        </row>
        <row r="29">
          <cell r="BC29" t="str">
            <v>EQUIPAMIENTO</v>
          </cell>
          <cell r="BD29">
            <v>214368</v>
          </cell>
        </row>
        <row r="30">
          <cell r="BC30" t="str">
            <v>TOTAL</v>
          </cell>
          <cell r="BD30">
            <v>1341689.6140102448</v>
          </cell>
        </row>
        <row r="32">
          <cell r="BC32" t="str">
            <v>Pozo abandonado~</v>
          </cell>
          <cell r="BD32">
            <v>759141.27336524485</v>
          </cell>
        </row>
        <row r="33">
          <cell r="BC33">
            <v>-582548.34064499999</v>
          </cell>
          <cell r="BD33">
            <v>-0.43419009475954085</v>
          </cell>
        </row>
        <row r="35">
          <cell r="I35" t="str">
            <v>CASING y CABEZALES</v>
          </cell>
          <cell r="M35" t="str">
            <v>Casing</v>
          </cell>
          <cell r="N35" t="str">
            <v>CEMENTACION</v>
          </cell>
          <cell r="W35" t="str">
            <v>Cem.</v>
          </cell>
          <cell r="X35" t="str">
            <v>Cem.</v>
          </cell>
          <cell r="Y35" t="str">
            <v>TREPANOS, MOTOR y HERTAS.</v>
          </cell>
          <cell r="AG35" t="str">
            <v>TRAMO</v>
          </cell>
          <cell r="AH35" t="str">
            <v>EXTR.</v>
          </cell>
          <cell r="AI35" t="str">
            <v>ROT.</v>
          </cell>
          <cell r="AJ35" t="str">
            <v>ROP</v>
          </cell>
          <cell r="AK35" t="str">
            <v>MANIOBRA</v>
          </cell>
          <cell r="AL35" t="str">
            <v>HRS.</v>
          </cell>
          <cell r="AM35">
            <v>0</v>
          </cell>
          <cell r="AN35" t="str">
            <v xml:space="preserve"> ACUMULA</v>
          </cell>
          <cell r="AP35" t="str">
            <v>EQUIPO</v>
          </cell>
          <cell r="AQ35">
            <v>420</v>
          </cell>
          <cell r="AR35" t="str">
            <v>LODO</v>
          </cell>
          <cell r="AS35" t="str">
            <v>Volumenes</v>
          </cell>
          <cell r="AU35" t="str">
            <v>Productos</v>
          </cell>
          <cell r="AW35" t="str">
            <v>Servicio</v>
          </cell>
          <cell r="AX35" t="str">
            <v>Centrif.</v>
          </cell>
          <cell r="AY35" t="str">
            <v>Acum.</v>
          </cell>
          <cell r="AZ35" t="str">
            <v>GEOLOGIA</v>
          </cell>
          <cell r="BB35" t="str">
            <v>Acum.</v>
          </cell>
          <cell r="BC35" t="str">
            <v>Transp.</v>
          </cell>
          <cell r="BD35" t="str">
            <v>Acumula</v>
          </cell>
        </row>
        <row r="36">
          <cell r="I36" t="str">
            <v xml:space="preserve">Tipo / [m] </v>
          </cell>
          <cell r="J36" t="str">
            <v>[$/m]</v>
          </cell>
          <cell r="K36" t="str">
            <v>Parcial</v>
          </cell>
          <cell r="L36" t="str">
            <v>Serv.</v>
          </cell>
          <cell r="M36" t="str">
            <v>Total</v>
          </cell>
          <cell r="N36" t="str">
            <v>[l/m3]</v>
          </cell>
          <cell r="O36" t="str">
            <v>[m3]</v>
          </cell>
          <cell r="P36" t="str">
            <v>µ</v>
          </cell>
          <cell r="Q36" t="str">
            <v>%exc.</v>
          </cell>
          <cell r="R36" t="str">
            <v>N°bls</v>
          </cell>
          <cell r="S36" t="str">
            <v>Cemto.</v>
          </cell>
          <cell r="T36" t="str">
            <v>Produc.</v>
          </cell>
          <cell r="U36" t="str">
            <v>Mater.</v>
          </cell>
          <cell r="V36" t="str">
            <v>Serv.</v>
          </cell>
          <cell r="W36" t="str">
            <v>Total</v>
          </cell>
          <cell r="X36" t="str">
            <v>Acum.</v>
          </cell>
          <cell r="Y36" t="str">
            <v>Øt ["]</v>
          </cell>
          <cell r="Z36" t="str">
            <v>TIPO</v>
          </cell>
          <cell r="AA36" t="str">
            <v>Unit.</v>
          </cell>
          <cell r="AB36" t="str">
            <v>Parcial</v>
          </cell>
          <cell r="AC36" t="str">
            <v>Motor</v>
          </cell>
          <cell r="AD36" t="str">
            <v>Tijera</v>
          </cell>
          <cell r="AE36" t="str">
            <v>Estab.</v>
          </cell>
          <cell r="AF36" t="str">
            <v>Total</v>
          </cell>
          <cell r="AG36" t="str">
            <v>[m]</v>
          </cell>
          <cell r="AH36" t="str">
            <v>[m]</v>
          </cell>
          <cell r="AI36" t="str">
            <v>[h]</v>
          </cell>
          <cell r="AJ36" t="str">
            <v>[m/h]</v>
          </cell>
          <cell r="AL36" t="str">
            <v>Calc.</v>
          </cell>
          <cell r="AM36" t="str">
            <v>Real</v>
          </cell>
          <cell r="AN36" t="str">
            <v>dias</v>
          </cell>
          <cell r="AO36" t="str">
            <v>[m]</v>
          </cell>
          <cell r="AP36" t="str">
            <v>Parcial</v>
          </cell>
          <cell r="AQ36" t="str">
            <v>Acumula</v>
          </cell>
          <cell r="AR36" t="str">
            <v>[lts/m]</v>
          </cell>
          <cell r="AS36" t="str">
            <v>Calc.</v>
          </cell>
          <cell r="AT36" t="str">
            <v>Real</v>
          </cell>
          <cell r="AU36" t="str">
            <v>[$/m3]</v>
          </cell>
          <cell r="AV36" t="str">
            <v>[$]</v>
          </cell>
          <cell r="AW36">
            <v>350</v>
          </cell>
          <cell r="AX36">
            <v>0</v>
          </cell>
          <cell r="AY36" t="str">
            <v>Lodo</v>
          </cell>
          <cell r="AZ36" t="str">
            <v>C.Geo.</v>
          </cell>
          <cell r="BA36" t="str">
            <v>Perfil</v>
          </cell>
          <cell r="BB36" t="str">
            <v>Geolog.</v>
          </cell>
          <cell r="BC36" t="str">
            <v>Locac.</v>
          </cell>
          <cell r="BD36" t="str">
            <v>TOTAL</v>
          </cell>
        </row>
        <row r="37">
          <cell r="M37">
            <v>0</v>
          </cell>
          <cell r="X37">
            <v>0</v>
          </cell>
          <cell r="AB37">
            <v>0</v>
          </cell>
          <cell r="AD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60000</v>
          </cell>
          <cell r="AQ37">
            <v>60000</v>
          </cell>
          <cell r="AR37">
            <v>76.036668750000004</v>
          </cell>
          <cell r="AS37">
            <v>0</v>
          </cell>
          <cell r="AT37">
            <v>150</v>
          </cell>
          <cell r="AU37">
            <v>0</v>
          </cell>
          <cell r="AV37">
            <v>0</v>
          </cell>
          <cell r="AW37">
            <v>0</v>
          </cell>
          <cell r="AY37">
            <v>0</v>
          </cell>
          <cell r="BB37">
            <v>0</v>
          </cell>
          <cell r="BC37">
            <v>35000</v>
          </cell>
          <cell r="BD37">
            <v>95000</v>
          </cell>
        </row>
        <row r="38">
          <cell r="I38" t="str">
            <v>H40-13.3/8"-48#</v>
          </cell>
          <cell r="M38">
            <v>0</v>
          </cell>
          <cell r="X38">
            <v>0</v>
          </cell>
          <cell r="Y38" t="str">
            <v>Sin equipo</v>
          </cell>
          <cell r="AF38">
            <v>0</v>
          </cell>
          <cell r="AG38">
            <v>26</v>
          </cell>
          <cell r="AH38">
            <v>26</v>
          </cell>
          <cell r="AK38" t="str">
            <v>Perfora (sin equipo)</v>
          </cell>
          <cell r="AL38">
            <v>0</v>
          </cell>
          <cell r="AM38">
            <v>0</v>
          </cell>
          <cell r="AN38">
            <v>0</v>
          </cell>
          <cell r="AO38">
            <v>26</v>
          </cell>
          <cell r="AP38">
            <v>0</v>
          </cell>
          <cell r="AQ38">
            <v>60000</v>
          </cell>
          <cell r="AR38">
            <v>76.036668750000004</v>
          </cell>
          <cell r="AS38">
            <v>1.9769533875000003</v>
          </cell>
          <cell r="AT38">
            <v>159.88476693749999</v>
          </cell>
          <cell r="AU38">
            <v>0</v>
          </cell>
          <cell r="AV38">
            <v>0</v>
          </cell>
          <cell r="AW38">
            <v>0</v>
          </cell>
          <cell r="AY38">
            <v>0</v>
          </cell>
          <cell r="BB38">
            <v>0</v>
          </cell>
          <cell r="BC38">
            <v>35000</v>
          </cell>
          <cell r="BD38">
            <v>95000</v>
          </cell>
        </row>
        <row r="39">
          <cell r="I39" t="str">
            <v>(26 m)</v>
          </cell>
          <cell r="J39">
            <v>115</v>
          </cell>
          <cell r="K39">
            <v>2990</v>
          </cell>
          <cell r="M39">
            <v>2990</v>
          </cell>
          <cell r="X39">
            <v>0</v>
          </cell>
          <cell r="AB39">
            <v>0</v>
          </cell>
          <cell r="AF39">
            <v>0</v>
          </cell>
          <cell r="AK39" t="str">
            <v>Entuba (s/e). Zto. en 26 m</v>
          </cell>
          <cell r="AL39">
            <v>0</v>
          </cell>
          <cell r="AM39">
            <v>0</v>
          </cell>
          <cell r="AN39">
            <v>0</v>
          </cell>
          <cell r="AO39">
            <v>26</v>
          </cell>
          <cell r="AP39">
            <v>0</v>
          </cell>
          <cell r="AQ39">
            <v>60000</v>
          </cell>
          <cell r="AR39">
            <v>76.036668750000004</v>
          </cell>
          <cell r="AS39">
            <v>1.9769533875000003</v>
          </cell>
          <cell r="AT39">
            <v>159.88476693749999</v>
          </cell>
          <cell r="AU39">
            <v>0</v>
          </cell>
          <cell r="AV39">
            <v>0</v>
          </cell>
          <cell r="AW39">
            <v>0</v>
          </cell>
          <cell r="AY39">
            <v>0</v>
          </cell>
          <cell r="BB39">
            <v>0</v>
          </cell>
          <cell r="BC39">
            <v>35000</v>
          </cell>
          <cell r="BD39">
            <v>97990</v>
          </cell>
        </row>
        <row r="40">
          <cell r="I40" t="str">
            <v>WA.: 13.3/8"x9.5/8"</v>
          </cell>
          <cell r="K40">
            <v>2000</v>
          </cell>
          <cell r="M40">
            <v>4990</v>
          </cell>
          <cell r="N40">
            <v>700</v>
          </cell>
          <cell r="O40">
            <v>18.2</v>
          </cell>
          <cell r="P40">
            <v>54</v>
          </cell>
          <cell r="Q40">
            <v>0.3</v>
          </cell>
          <cell r="R40">
            <v>438.14814814814815</v>
          </cell>
          <cell r="S40">
            <v>4381.4814814814818</v>
          </cell>
          <cell r="V40">
            <v>2500</v>
          </cell>
          <cell r="W40">
            <v>6881.4814814814818</v>
          </cell>
          <cell r="X40">
            <v>6881.4814814814818</v>
          </cell>
          <cell r="AB40">
            <v>6881.48046875</v>
          </cell>
          <cell r="AD40">
            <v>6881.48046875</v>
          </cell>
          <cell r="AF40">
            <v>0</v>
          </cell>
          <cell r="AK40" t="str">
            <v>Cementa (sin equipo)</v>
          </cell>
          <cell r="AL40">
            <v>0</v>
          </cell>
          <cell r="AM40">
            <v>0</v>
          </cell>
          <cell r="AN40">
            <v>0</v>
          </cell>
          <cell r="AO40">
            <v>26</v>
          </cell>
          <cell r="AP40">
            <v>0</v>
          </cell>
          <cell r="AQ40">
            <v>60000</v>
          </cell>
          <cell r="AR40">
            <v>76.036668750000004</v>
          </cell>
          <cell r="AS40">
            <v>1.9769533875000003</v>
          </cell>
          <cell r="AT40">
            <v>159.88476693749999</v>
          </cell>
          <cell r="AU40">
            <v>0</v>
          </cell>
          <cell r="AV40">
            <v>0</v>
          </cell>
          <cell r="AW40">
            <v>0</v>
          </cell>
          <cell r="AY40">
            <v>0</v>
          </cell>
          <cell r="BB40">
            <v>0</v>
          </cell>
          <cell r="BC40">
            <v>35000</v>
          </cell>
          <cell r="BD40">
            <v>106871.48148148149</v>
          </cell>
        </row>
        <row r="41">
          <cell r="I41" t="str">
            <v>H40-9.5/8"-36#</v>
          </cell>
          <cell r="K41">
            <v>106871.4375</v>
          </cell>
          <cell r="M41">
            <v>4990</v>
          </cell>
          <cell r="X41">
            <v>6881.4814814814818</v>
          </cell>
          <cell r="AB41">
            <v>6881.48046875</v>
          </cell>
          <cell r="AD41">
            <v>6881.48046875</v>
          </cell>
          <cell r="AF41">
            <v>0</v>
          </cell>
          <cell r="AK41" t="str">
            <v>Arma conjunto y baja</v>
          </cell>
          <cell r="AL41">
            <v>4</v>
          </cell>
          <cell r="AM41">
            <v>5.2</v>
          </cell>
          <cell r="AN41">
            <v>0.21666666666666667</v>
          </cell>
          <cell r="AO41">
            <v>26</v>
          </cell>
          <cell r="AP41">
            <v>2600</v>
          </cell>
          <cell r="AQ41">
            <v>62600</v>
          </cell>
          <cell r="AR41">
            <v>76.036668750000004</v>
          </cell>
          <cell r="AS41">
            <v>1.9769533875000003</v>
          </cell>
          <cell r="AT41">
            <v>159.88476693749999</v>
          </cell>
          <cell r="AU41">
            <v>35</v>
          </cell>
          <cell r="AV41">
            <v>5595.9668428124996</v>
          </cell>
          <cell r="AW41">
            <v>75.833333333333343</v>
          </cell>
          <cell r="AY41">
            <v>5671.8001761458327</v>
          </cell>
          <cell r="BB41">
            <v>0</v>
          </cell>
          <cell r="BC41">
            <v>35325</v>
          </cell>
          <cell r="BD41">
            <v>115468.28165762732</v>
          </cell>
        </row>
        <row r="42">
          <cell r="I42" t="str">
            <v>(661 m)</v>
          </cell>
          <cell r="J42">
            <v>81</v>
          </cell>
          <cell r="K42">
            <v>53541</v>
          </cell>
          <cell r="L42">
            <v>2000</v>
          </cell>
          <cell r="M42">
            <v>60531</v>
          </cell>
          <cell r="X42">
            <v>6881.4814814814818</v>
          </cell>
          <cell r="Y42">
            <v>12.25</v>
          </cell>
          <cell r="Z42" t="str">
            <v>R1</v>
          </cell>
          <cell r="AA42">
            <v>2900</v>
          </cell>
          <cell r="AB42">
            <v>2900</v>
          </cell>
          <cell r="AF42">
            <v>2900</v>
          </cell>
          <cell r="AG42">
            <v>650</v>
          </cell>
          <cell r="AH42">
            <v>661</v>
          </cell>
          <cell r="AI42">
            <v>26</v>
          </cell>
          <cell r="AJ42">
            <v>25</v>
          </cell>
          <cell r="AK42" t="str">
            <v>Perfora</v>
          </cell>
          <cell r="AL42">
            <v>30</v>
          </cell>
          <cell r="AM42">
            <v>39</v>
          </cell>
          <cell r="AN42">
            <v>1.8416666666666668</v>
          </cell>
          <cell r="AO42">
            <v>661</v>
          </cell>
          <cell r="AP42">
            <v>19500</v>
          </cell>
          <cell r="AQ42">
            <v>82100</v>
          </cell>
          <cell r="AR42">
            <v>76.036668750000004</v>
          </cell>
          <cell r="AS42">
            <v>50.26023804375</v>
          </cell>
          <cell r="AT42">
            <v>401.30119021874998</v>
          </cell>
          <cell r="AU42">
            <v>35</v>
          </cell>
          <cell r="AV42">
            <v>14045.541657656249</v>
          </cell>
          <cell r="AW42">
            <v>644.58333333333337</v>
          </cell>
          <cell r="AY42">
            <v>14690.124990989583</v>
          </cell>
          <cell r="BB42">
            <v>0</v>
          </cell>
          <cell r="BC42">
            <v>37762.5</v>
          </cell>
          <cell r="BD42">
            <v>204865.10647247106</v>
          </cell>
        </row>
        <row r="43">
          <cell r="M43">
            <v>60531</v>
          </cell>
          <cell r="X43">
            <v>6881.4814814814818</v>
          </cell>
          <cell r="AB43">
            <v>6881.48046875</v>
          </cell>
          <cell r="AF43">
            <v>2900</v>
          </cell>
          <cell r="AG43">
            <v>650</v>
          </cell>
          <cell r="AH43" t="str">
            <v>TOTAL</v>
          </cell>
          <cell r="AI43">
            <v>1.0833333333333333</v>
          </cell>
          <cell r="AJ43" t="str">
            <v>dias</v>
          </cell>
          <cell r="AK43" t="str">
            <v>Calibra y circula</v>
          </cell>
          <cell r="AL43">
            <v>8</v>
          </cell>
          <cell r="AM43">
            <v>10.4</v>
          </cell>
          <cell r="AN43">
            <v>2.2750000000000004</v>
          </cell>
          <cell r="AO43">
            <v>661</v>
          </cell>
          <cell r="AP43">
            <v>5200</v>
          </cell>
          <cell r="AQ43">
            <v>87300</v>
          </cell>
          <cell r="AR43">
            <v>76.040000000000006</v>
          </cell>
          <cell r="AS43">
            <v>50.262440000000005</v>
          </cell>
          <cell r="AT43">
            <v>401.31220000000002</v>
          </cell>
          <cell r="AU43">
            <v>35</v>
          </cell>
          <cell r="AV43">
            <v>14045.927000000001</v>
          </cell>
          <cell r="AW43">
            <v>796.25000000000011</v>
          </cell>
          <cell r="AY43">
            <v>14842.177000000001</v>
          </cell>
          <cell r="BB43">
            <v>0</v>
          </cell>
          <cell r="BC43">
            <v>38412.5</v>
          </cell>
          <cell r="BD43">
            <v>210867.15848148149</v>
          </cell>
        </row>
        <row r="44">
          <cell r="M44">
            <v>60531</v>
          </cell>
          <cell r="X44">
            <v>6881.4814814814818</v>
          </cell>
          <cell r="AB44">
            <v>6881.48046875</v>
          </cell>
          <cell r="AD44">
            <v>6881.48046875</v>
          </cell>
          <cell r="AF44">
            <v>2900</v>
          </cell>
          <cell r="AK44" t="str">
            <v>Entuba . Zapato en 661 m</v>
          </cell>
          <cell r="AL44">
            <v>10</v>
          </cell>
          <cell r="AM44">
            <v>13</v>
          </cell>
          <cell r="AN44">
            <v>2.8166666666666669</v>
          </cell>
          <cell r="AO44">
            <v>661</v>
          </cell>
          <cell r="AP44">
            <v>6500</v>
          </cell>
          <cell r="AQ44">
            <v>93800</v>
          </cell>
          <cell r="AR44">
            <v>76.040000000000006</v>
          </cell>
          <cell r="AS44">
            <v>50.262440000000005</v>
          </cell>
          <cell r="AT44">
            <v>401.31220000000002</v>
          </cell>
          <cell r="AU44">
            <v>35</v>
          </cell>
          <cell r="AV44">
            <v>14045.927000000001</v>
          </cell>
          <cell r="AW44">
            <v>985.83333333333337</v>
          </cell>
          <cell r="AY44">
            <v>15031.760333333335</v>
          </cell>
          <cell r="BB44">
            <v>0</v>
          </cell>
          <cell r="BC44">
            <v>39225</v>
          </cell>
          <cell r="BD44">
            <v>218369.24181481483</v>
          </cell>
        </row>
        <row r="45">
          <cell r="K45">
            <v>218369.125</v>
          </cell>
          <cell r="M45">
            <v>60531</v>
          </cell>
          <cell r="N45">
            <v>29.095664062500003</v>
          </cell>
          <cell r="O45">
            <v>19.232233945312501</v>
          </cell>
          <cell r="P45">
            <v>39</v>
          </cell>
          <cell r="Q45">
            <v>0.5</v>
          </cell>
          <cell r="R45">
            <v>739.70130558894243</v>
          </cell>
          <cell r="S45">
            <v>10355.818278245195</v>
          </cell>
          <cell r="T45">
            <v>1000</v>
          </cell>
          <cell r="U45">
            <v>3500</v>
          </cell>
          <cell r="V45">
            <v>25000</v>
          </cell>
          <cell r="W45">
            <v>39855.818278245191</v>
          </cell>
          <cell r="X45">
            <v>46737.299759726673</v>
          </cell>
          <cell r="AB45">
            <v>46737.28125</v>
          </cell>
          <cell r="AD45">
            <v>46737.28125</v>
          </cell>
          <cell r="AF45">
            <v>2900</v>
          </cell>
          <cell r="AK45" t="str">
            <v>Cementa</v>
          </cell>
          <cell r="AL45">
            <v>6</v>
          </cell>
          <cell r="AM45">
            <v>7.8000000000000007</v>
          </cell>
          <cell r="AN45">
            <v>3.1416666666666671</v>
          </cell>
          <cell r="AO45">
            <v>661</v>
          </cell>
          <cell r="AP45">
            <v>3900.0000000000005</v>
          </cell>
          <cell r="AQ45">
            <v>97700</v>
          </cell>
          <cell r="AR45">
            <v>36.609075000000004</v>
          </cell>
          <cell r="AS45">
            <v>24.198598575000002</v>
          </cell>
          <cell r="AT45">
            <v>270.99299287500003</v>
          </cell>
          <cell r="AU45">
            <v>90</v>
          </cell>
          <cell r="AV45">
            <v>38435.296358750005</v>
          </cell>
          <cell r="AW45">
            <v>1099.5833333333335</v>
          </cell>
          <cell r="AY45">
            <v>39534.879692083341</v>
          </cell>
          <cell r="BB45">
            <v>0</v>
          </cell>
          <cell r="BC45">
            <v>39712.5</v>
          </cell>
          <cell r="BD45">
            <v>287115.67945181002</v>
          </cell>
        </row>
        <row r="46">
          <cell r="K46">
            <v>287115.5</v>
          </cell>
          <cell r="M46">
            <v>60531</v>
          </cell>
          <cell r="X46">
            <v>46737.299759726673</v>
          </cell>
          <cell r="AB46">
            <v>46737.28125</v>
          </cell>
          <cell r="AC46">
            <v>12000</v>
          </cell>
          <cell r="AD46">
            <v>12000</v>
          </cell>
          <cell r="AF46">
            <v>14900</v>
          </cell>
          <cell r="AK46" t="str">
            <v>Frague, arma BOP y baja.</v>
          </cell>
          <cell r="AL46">
            <v>16</v>
          </cell>
          <cell r="AM46">
            <v>20.8</v>
          </cell>
          <cell r="AN46">
            <v>4.0083333333333337</v>
          </cell>
          <cell r="AO46">
            <v>661</v>
          </cell>
          <cell r="AP46">
            <v>10400</v>
          </cell>
          <cell r="AQ46">
            <v>108100</v>
          </cell>
          <cell r="AR46">
            <v>36.609075000000004</v>
          </cell>
          <cell r="AS46">
            <v>24.198598575000002</v>
          </cell>
          <cell r="AT46">
            <v>270.99299287500003</v>
          </cell>
          <cell r="AU46">
            <v>90</v>
          </cell>
          <cell r="AV46">
            <v>38435.296358750005</v>
          </cell>
          <cell r="AW46">
            <v>1402.9166666666667</v>
          </cell>
          <cell r="AY46">
            <v>39838.21302541667</v>
          </cell>
          <cell r="AZ46">
            <v>8000</v>
          </cell>
          <cell r="BB46">
            <v>8000</v>
          </cell>
          <cell r="BC46">
            <v>41012.5</v>
          </cell>
          <cell r="BD46">
            <v>319119.01278514334</v>
          </cell>
        </row>
        <row r="47">
          <cell r="M47">
            <v>60531</v>
          </cell>
          <cell r="X47">
            <v>46737.299759726673</v>
          </cell>
          <cell r="Y47">
            <v>8.5</v>
          </cell>
          <cell r="Z47" t="str">
            <v>GT1</v>
          </cell>
          <cell r="AA47">
            <v>3000</v>
          </cell>
          <cell r="AB47">
            <v>3000</v>
          </cell>
          <cell r="AC47">
            <v>48100</v>
          </cell>
          <cell r="AD47">
            <v>2004.1666666666667</v>
          </cell>
          <cell r="AF47">
            <v>68004.166666666672</v>
          </cell>
          <cell r="AG47">
            <v>1088</v>
          </cell>
          <cell r="AH47">
            <v>1740</v>
          </cell>
          <cell r="AI47">
            <v>68</v>
          </cell>
          <cell r="AJ47">
            <v>16</v>
          </cell>
          <cell r="AK47" t="str">
            <v>Perfora con motor de fdo.</v>
          </cell>
          <cell r="AL47">
            <v>74</v>
          </cell>
          <cell r="AM47">
            <v>96.2</v>
          </cell>
          <cell r="AN47">
            <v>8.0166666666666675</v>
          </cell>
          <cell r="AO47">
            <v>1740</v>
          </cell>
          <cell r="AP47">
            <v>48100</v>
          </cell>
          <cell r="AQ47">
            <v>156200</v>
          </cell>
          <cell r="AR47">
            <v>36.609075000000004</v>
          </cell>
          <cell r="AS47">
            <v>63.699790500000013</v>
          </cell>
          <cell r="AT47">
            <v>468.49895250000009</v>
          </cell>
          <cell r="AU47">
            <v>90</v>
          </cell>
          <cell r="AV47">
            <v>56210.832725000007</v>
          </cell>
          <cell r="AW47">
            <v>2805.8333333333335</v>
          </cell>
          <cell r="AX47">
            <v>0</v>
          </cell>
          <cell r="AY47">
            <v>59016.666058333343</v>
          </cell>
          <cell r="AZ47">
            <v>4008.3333333333335</v>
          </cell>
          <cell r="BB47">
            <v>12008.333333333334</v>
          </cell>
          <cell r="BC47">
            <v>47025</v>
          </cell>
          <cell r="BD47">
            <v>449522.46581806004</v>
          </cell>
        </row>
        <row r="48">
          <cell r="I48" t="str">
            <v>Tope cto.: 1400 m</v>
          </cell>
          <cell r="K48">
            <v>449522.25</v>
          </cell>
          <cell r="M48">
            <v>60531</v>
          </cell>
          <cell r="X48">
            <v>46737.299759726673</v>
          </cell>
          <cell r="Y48">
            <v>8.5</v>
          </cell>
          <cell r="Z48" t="str">
            <v>GT1</v>
          </cell>
          <cell r="AA48">
            <v>3000</v>
          </cell>
          <cell r="AB48">
            <v>6000</v>
          </cell>
          <cell r="AC48">
            <v>42900</v>
          </cell>
          <cell r="AD48">
            <v>1787.5</v>
          </cell>
          <cell r="AE48">
            <v>4000</v>
          </cell>
          <cell r="AF48">
            <v>119691.66666666667</v>
          </cell>
          <cell r="AG48">
            <v>480</v>
          </cell>
          <cell r="AH48">
            <v>2220</v>
          </cell>
          <cell r="AI48">
            <v>60</v>
          </cell>
          <cell r="AJ48">
            <v>8</v>
          </cell>
          <cell r="AL48">
            <v>66</v>
          </cell>
          <cell r="AM48">
            <v>85.8</v>
          </cell>
          <cell r="AN48">
            <v>11.591666666666667</v>
          </cell>
          <cell r="AO48">
            <v>2220</v>
          </cell>
          <cell r="AP48">
            <v>42900</v>
          </cell>
          <cell r="AQ48">
            <v>199100</v>
          </cell>
          <cell r="AR48">
            <v>36.609075000000004</v>
          </cell>
          <cell r="AS48">
            <v>81.272146500000005</v>
          </cell>
          <cell r="AT48">
            <v>556.36073250000004</v>
          </cell>
          <cell r="AU48">
            <v>90</v>
          </cell>
          <cell r="AV48">
            <v>64118.392925000007</v>
          </cell>
          <cell r="AW48">
            <v>4057.0833333333335</v>
          </cell>
          <cell r="AX48">
            <v>0</v>
          </cell>
          <cell r="AY48">
            <v>68175.476258333336</v>
          </cell>
          <cell r="AZ48">
            <v>3575</v>
          </cell>
          <cell r="BB48">
            <v>15583.333333333334</v>
          </cell>
          <cell r="BC48">
            <v>52387.5</v>
          </cell>
          <cell r="BD48">
            <v>562206.27601806005</v>
          </cell>
        </row>
        <row r="49">
          <cell r="M49">
            <v>60531</v>
          </cell>
          <cell r="X49">
            <v>46737.299759726673</v>
          </cell>
          <cell r="Y49" t="str">
            <v>CORONA</v>
          </cell>
          <cell r="AB49">
            <v>46737.28125</v>
          </cell>
          <cell r="AC49">
            <v>11050</v>
          </cell>
          <cell r="AD49">
            <v>460.41666666666669</v>
          </cell>
          <cell r="AF49">
            <v>131202.08333333334</v>
          </cell>
          <cell r="AG49">
            <v>9</v>
          </cell>
          <cell r="AH49">
            <v>2229</v>
          </cell>
          <cell r="AI49">
            <v>9</v>
          </cell>
          <cell r="AJ49">
            <v>1</v>
          </cell>
          <cell r="AK49" t="str">
            <v>Perfora con corona</v>
          </cell>
          <cell r="AL49">
            <v>17</v>
          </cell>
          <cell r="AM49">
            <v>22.1</v>
          </cell>
          <cell r="AN49">
            <v>12.512499999999999</v>
          </cell>
          <cell r="AO49">
            <v>2229</v>
          </cell>
          <cell r="AP49">
            <v>11050</v>
          </cell>
          <cell r="AQ49">
            <v>210150</v>
          </cell>
          <cell r="AR49">
            <v>36.609075000000004</v>
          </cell>
          <cell r="AS49">
            <v>81.601628175000002</v>
          </cell>
          <cell r="AT49">
            <v>558.00814087499998</v>
          </cell>
          <cell r="AU49">
            <v>90</v>
          </cell>
          <cell r="AV49">
            <v>64266.659678750002</v>
          </cell>
          <cell r="AW49">
            <v>4379.375</v>
          </cell>
          <cell r="AX49">
            <v>0</v>
          </cell>
          <cell r="AY49">
            <v>68646.034678750002</v>
          </cell>
          <cell r="AZ49">
            <v>920.83333333333337</v>
          </cell>
          <cell r="BA49">
            <v>10000</v>
          </cell>
          <cell r="BB49">
            <v>26504.166666666668</v>
          </cell>
          <cell r="BC49">
            <v>53768.75</v>
          </cell>
          <cell r="BD49">
            <v>597539.3344384766</v>
          </cell>
        </row>
        <row r="50">
          <cell r="K50">
            <v>597539</v>
          </cell>
          <cell r="M50">
            <v>60531</v>
          </cell>
          <cell r="X50">
            <v>46737.299759726673</v>
          </cell>
          <cell r="Y50">
            <v>8.5</v>
          </cell>
          <cell r="Z50" t="str">
            <v>X11HP</v>
          </cell>
          <cell r="AA50">
            <v>6350</v>
          </cell>
          <cell r="AB50">
            <v>6350</v>
          </cell>
          <cell r="AC50">
            <v>9100</v>
          </cell>
          <cell r="AD50">
            <v>758.33333333333337</v>
          </cell>
          <cell r="AE50">
            <v>4000</v>
          </cell>
          <cell r="AF50">
            <v>151410.41666666669</v>
          </cell>
          <cell r="AG50">
            <v>120</v>
          </cell>
          <cell r="AH50">
            <v>2349</v>
          </cell>
          <cell r="AI50">
            <v>20</v>
          </cell>
          <cell r="AJ50">
            <v>6</v>
          </cell>
          <cell r="AK50" t="str">
            <v>Perfora</v>
          </cell>
          <cell r="AL50">
            <v>28</v>
          </cell>
          <cell r="AM50">
            <v>36.4</v>
          </cell>
          <cell r="AN50">
            <v>14.029166666666665</v>
          </cell>
          <cell r="AO50">
            <v>2349</v>
          </cell>
          <cell r="AP50">
            <v>18200</v>
          </cell>
          <cell r="AQ50">
            <v>228350</v>
          </cell>
          <cell r="AR50">
            <v>36.609075000000004</v>
          </cell>
          <cell r="AS50">
            <v>85.994717175000019</v>
          </cell>
          <cell r="AT50">
            <v>579.97358587500003</v>
          </cell>
          <cell r="AU50">
            <v>90</v>
          </cell>
          <cell r="AV50">
            <v>66243.549728750004</v>
          </cell>
          <cell r="AW50">
            <v>4910.208333333333</v>
          </cell>
          <cell r="AX50">
            <v>0</v>
          </cell>
          <cell r="AY50">
            <v>71153.758062083332</v>
          </cell>
          <cell r="AZ50">
            <v>1516.6666666666667</v>
          </cell>
          <cell r="BB50">
            <v>28020.833333333336</v>
          </cell>
          <cell r="BC50">
            <v>56043.75</v>
          </cell>
          <cell r="BD50">
            <v>642247.0578218099</v>
          </cell>
        </row>
        <row r="51">
          <cell r="M51">
            <v>60531</v>
          </cell>
          <cell r="X51">
            <v>46737.299759726673</v>
          </cell>
          <cell r="Y51" t="str">
            <v>CORONA</v>
          </cell>
          <cell r="AB51">
            <v>46737.28125</v>
          </cell>
          <cell r="AC51">
            <v>5525</v>
          </cell>
          <cell r="AD51">
            <v>460.41666666666669</v>
          </cell>
          <cell r="AF51">
            <v>157395.83333333334</v>
          </cell>
          <cell r="AG51">
            <v>9</v>
          </cell>
          <cell r="AH51">
            <v>2358</v>
          </cell>
          <cell r="AI51">
            <v>9</v>
          </cell>
          <cell r="AJ51">
            <v>1</v>
          </cell>
          <cell r="AK51" t="str">
            <v>Perfora con corona</v>
          </cell>
          <cell r="AL51">
            <v>17</v>
          </cell>
          <cell r="AM51">
            <v>22.1</v>
          </cell>
          <cell r="AN51">
            <v>14.95</v>
          </cell>
          <cell r="AO51">
            <v>2358</v>
          </cell>
          <cell r="AP51">
            <v>11050</v>
          </cell>
          <cell r="AQ51">
            <v>239400</v>
          </cell>
          <cell r="AR51">
            <v>36.609075000000004</v>
          </cell>
          <cell r="AS51">
            <v>86.324198850000016</v>
          </cell>
          <cell r="AT51">
            <v>581.62099425000008</v>
          </cell>
          <cell r="AU51">
            <v>90</v>
          </cell>
          <cell r="AV51">
            <v>66391.816482500013</v>
          </cell>
          <cell r="AW51">
            <v>5232.5</v>
          </cell>
          <cell r="AX51">
            <v>0</v>
          </cell>
          <cell r="AY51">
            <v>71624.316482500013</v>
          </cell>
          <cell r="AZ51">
            <v>920.83333333333337</v>
          </cell>
          <cell r="BA51">
            <v>10000</v>
          </cell>
          <cell r="BB51">
            <v>38941.666666666672</v>
          </cell>
          <cell r="BC51">
            <v>57425</v>
          </cell>
          <cell r="BD51">
            <v>672055.11624222668</v>
          </cell>
        </row>
        <row r="52">
          <cell r="K52">
            <v>672055</v>
          </cell>
          <cell r="M52">
            <v>60531</v>
          </cell>
          <cell r="X52">
            <v>46737.299759726673</v>
          </cell>
          <cell r="Y52">
            <v>8.5</v>
          </cell>
          <cell r="Z52" t="str">
            <v>X11HP</v>
          </cell>
          <cell r="AA52">
            <v>6350</v>
          </cell>
          <cell r="AB52">
            <v>6350</v>
          </cell>
          <cell r="AC52">
            <v>22100</v>
          </cell>
          <cell r="AD52">
            <v>1841.6666666666667</v>
          </cell>
          <cell r="AE52">
            <v>4000</v>
          </cell>
          <cell r="AF52">
            <v>191687.5</v>
          </cell>
          <cell r="AG52">
            <v>300</v>
          </cell>
          <cell r="AH52">
            <v>2658</v>
          </cell>
          <cell r="AI52">
            <v>60</v>
          </cell>
          <cell r="AJ52">
            <v>5</v>
          </cell>
          <cell r="AK52" t="str">
            <v>Perfora midiendo con MWD</v>
          </cell>
          <cell r="AL52">
            <v>68</v>
          </cell>
          <cell r="AM52">
            <v>88.4</v>
          </cell>
          <cell r="AN52">
            <v>18.633333333333333</v>
          </cell>
          <cell r="AO52">
            <v>2658</v>
          </cell>
          <cell r="AP52">
            <v>44200</v>
          </cell>
          <cell r="AQ52">
            <v>283600</v>
          </cell>
          <cell r="AR52">
            <v>36.609075000000004</v>
          </cell>
          <cell r="AS52">
            <v>97.30692135000001</v>
          </cell>
          <cell r="AT52">
            <v>636.53460675000008</v>
          </cell>
          <cell r="AU52">
            <v>90</v>
          </cell>
          <cell r="AV52">
            <v>71334.04160750001</v>
          </cell>
          <cell r="AW52">
            <v>6521.6666666666661</v>
          </cell>
          <cell r="AX52">
            <v>0</v>
          </cell>
          <cell r="AY52">
            <v>77855.708274166682</v>
          </cell>
          <cell r="AZ52">
            <v>3683.3333333333335</v>
          </cell>
          <cell r="BB52">
            <v>42625.000000000007</v>
          </cell>
          <cell r="BC52">
            <v>62950</v>
          </cell>
          <cell r="BD52">
            <v>765986.5080338933</v>
          </cell>
        </row>
        <row r="53">
          <cell r="M53">
            <v>60531</v>
          </cell>
          <cell r="X53">
            <v>46737.299759726673</v>
          </cell>
          <cell r="Z53" t="str">
            <v>X11HP</v>
          </cell>
          <cell r="AA53">
            <v>6350</v>
          </cell>
          <cell r="AB53">
            <v>12700</v>
          </cell>
          <cell r="AC53">
            <v>20475.000000000004</v>
          </cell>
          <cell r="AD53">
            <v>1706.25</v>
          </cell>
          <cell r="AE53">
            <v>4000</v>
          </cell>
          <cell r="AF53">
            <v>224218.75</v>
          </cell>
          <cell r="AG53">
            <v>165</v>
          </cell>
          <cell r="AH53">
            <v>2823</v>
          </cell>
          <cell r="AI53">
            <v>55</v>
          </cell>
          <cell r="AJ53">
            <v>3</v>
          </cell>
          <cell r="AL53">
            <v>63</v>
          </cell>
          <cell r="AM53">
            <v>81.900000000000006</v>
          </cell>
          <cell r="AN53">
            <v>22.045833333333334</v>
          </cell>
          <cell r="AO53">
            <v>2823</v>
          </cell>
          <cell r="AP53">
            <v>40950</v>
          </cell>
          <cell r="AQ53">
            <v>324550</v>
          </cell>
          <cell r="AR53">
            <v>0</v>
          </cell>
          <cell r="AS53">
            <v>0</v>
          </cell>
          <cell r="AT53">
            <v>150</v>
          </cell>
          <cell r="AU53">
            <v>90</v>
          </cell>
          <cell r="AV53">
            <v>27545.927000000003</v>
          </cell>
          <cell r="AW53">
            <v>7716.041666666667</v>
          </cell>
          <cell r="AX53">
            <v>0</v>
          </cell>
          <cell r="AY53">
            <v>35261.968666666668</v>
          </cell>
          <cell r="AZ53">
            <v>3412.5</v>
          </cell>
          <cell r="BB53">
            <v>46037.500000000007</v>
          </cell>
          <cell r="BC53">
            <v>68068.75</v>
          </cell>
          <cell r="BD53">
            <v>805405.26842639328</v>
          </cell>
        </row>
        <row r="54">
          <cell r="I54" t="str">
            <v>WA.: 9.5/8"x5.½"</v>
          </cell>
          <cell r="K54">
            <v>3000</v>
          </cell>
          <cell r="M54">
            <v>63531</v>
          </cell>
          <cell r="X54">
            <v>46737.299759726673</v>
          </cell>
          <cell r="Y54" t="str">
            <v>TOTAL</v>
          </cell>
          <cell r="Z54">
            <v>5</v>
          </cell>
          <cell r="AB54">
            <v>5</v>
          </cell>
          <cell r="AC54">
            <v>3900.0000000000005</v>
          </cell>
          <cell r="AF54">
            <v>228118.75</v>
          </cell>
          <cell r="AG54">
            <v>2171</v>
          </cell>
          <cell r="AH54" t="str">
            <v>TOTAL</v>
          </cell>
          <cell r="AI54">
            <v>11.708333333333334</v>
          </cell>
          <cell r="AJ54" t="str">
            <v>dias</v>
          </cell>
          <cell r="AK54" t="str">
            <v>Calibra y circula</v>
          </cell>
          <cell r="AL54">
            <v>12</v>
          </cell>
          <cell r="AM54">
            <v>15.600000000000001</v>
          </cell>
          <cell r="AN54">
            <v>22.695833333333333</v>
          </cell>
          <cell r="AO54">
            <v>2823</v>
          </cell>
          <cell r="AP54">
            <v>7800.0000000000009</v>
          </cell>
          <cell r="AQ54">
            <v>332350</v>
          </cell>
          <cell r="AR54">
            <v>36.61</v>
          </cell>
          <cell r="AS54">
            <v>103.35003</v>
          </cell>
          <cell r="AT54">
            <v>666.75015000000008</v>
          </cell>
          <cell r="AU54">
            <v>90</v>
          </cell>
          <cell r="AV54">
            <v>74053.440500000012</v>
          </cell>
          <cell r="AW54">
            <v>7943.5416666666661</v>
          </cell>
          <cell r="AX54">
            <v>0</v>
          </cell>
          <cell r="AY54">
            <v>81996.982166666683</v>
          </cell>
          <cell r="AZ54">
            <v>650.00000000000011</v>
          </cell>
          <cell r="BB54">
            <v>46687.500000000007</v>
          </cell>
          <cell r="BC54">
            <v>69043.75</v>
          </cell>
          <cell r="BD54">
            <v>868465.28192639328</v>
          </cell>
        </row>
        <row r="55">
          <cell r="I55" t="str">
            <v>K55-5.½"-17#</v>
          </cell>
          <cell r="M55">
            <v>63531</v>
          </cell>
          <cell r="X55">
            <v>46737.299759726673</v>
          </cell>
          <cell r="AB55">
            <v>46737.28125</v>
          </cell>
          <cell r="AD55">
            <v>46737.28125</v>
          </cell>
          <cell r="AF55">
            <v>228118.75</v>
          </cell>
          <cell r="AK55" t="str">
            <v>Perfila</v>
          </cell>
          <cell r="AL55">
            <v>24</v>
          </cell>
          <cell r="AM55">
            <v>31.200000000000003</v>
          </cell>
          <cell r="AN55">
            <v>23.995833333333334</v>
          </cell>
          <cell r="AO55">
            <v>2823</v>
          </cell>
          <cell r="AP55">
            <v>15600.000000000002</v>
          </cell>
          <cell r="AQ55">
            <v>347950</v>
          </cell>
          <cell r="AR55">
            <v>36.61</v>
          </cell>
          <cell r="AS55">
            <v>103.35003</v>
          </cell>
          <cell r="AT55">
            <v>666.75015000000008</v>
          </cell>
          <cell r="AU55">
            <v>90</v>
          </cell>
          <cell r="AV55">
            <v>74053.440500000012</v>
          </cell>
          <cell r="AW55">
            <v>8398.5416666666661</v>
          </cell>
          <cell r="AX55">
            <v>0</v>
          </cell>
          <cell r="AY55">
            <v>82451.982166666683</v>
          </cell>
          <cell r="AZ55">
            <v>1300.0000000000002</v>
          </cell>
          <cell r="BA55">
            <v>100000</v>
          </cell>
          <cell r="BB55">
            <v>147987.5</v>
          </cell>
          <cell r="BC55">
            <v>70993.75</v>
          </cell>
          <cell r="BD55">
            <v>987770.28192639328</v>
          </cell>
        </row>
        <row r="56">
          <cell r="I56" t="str">
            <v>(2823 m)</v>
          </cell>
          <cell r="J56">
            <v>42</v>
          </cell>
          <cell r="K56">
            <v>118566</v>
          </cell>
          <cell r="L56">
            <v>5800</v>
          </cell>
          <cell r="M56">
            <v>187897</v>
          </cell>
          <cell r="X56">
            <v>46737.299759726673</v>
          </cell>
          <cell r="AB56">
            <v>46737.28125</v>
          </cell>
          <cell r="AD56">
            <v>46737.28125</v>
          </cell>
          <cell r="AF56">
            <v>228118.75</v>
          </cell>
          <cell r="AK56" t="str">
            <v>Entuba . Zapato en 2823 m</v>
          </cell>
          <cell r="AL56">
            <v>18</v>
          </cell>
          <cell r="AM56">
            <v>23.400000000000002</v>
          </cell>
          <cell r="AN56">
            <v>24.970833333333335</v>
          </cell>
          <cell r="AO56">
            <v>2823</v>
          </cell>
          <cell r="AP56">
            <v>11700.000000000002</v>
          </cell>
          <cell r="AQ56">
            <v>359650</v>
          </cell>
          <cell r="AR56">
            <v>36.61</v>
          </cell>
          <cell r="AS56">
            <v>103.35003</v>
          </cell>
          <cell r="AT56">
            <v>666.75015000000008</v>
          </cell>
          <cell r="AU56">
            <v>90</v>
          </cell>
          <cell r="AV56">
            <v>74053.440500000012</v>
          </cell>
          <cell r="AW56">
            <v>8739.7916666666679</v>
          </cell>
          <cell r="AX56">
            <v>0</v>
          </cell>
          <cell r="AY56">
            <v>82793.232166666683</v>
          </cell>
          <cell r="AZ56">
            <v>975.00000000000011</v>
          </cell>
          <cell r="BB56">
            <v>148962.5</v>
          </cell>
          <cell r="BC56">
            <v>72456.25</v>
          </cell>
          <cell r="BD56">
            <v>1126615.0319263933</v>
          </cell>
        </row>
        <row r="57">
          <cell r="K57">
            <v>1126615</v>
          </cell>
          <cell r="M57">
            <v>187897</v>
          </cell>
          <cell r="N57">
            <v>21.281400000000001</v>
          </cell>
          <cell r="O57">
            <v>30.283432200000004</v>
          </cell>
          <cell r="P57">
            <v>39</v>
          </cell>
          <cell r="Q57">
            <v>0.2</v>
          </cell>
          <cell r="R57">
            <v>931.79791384615385</v>
          </cell>
          <cell r="S57">
            <v>19567.756190769232</v>
          </cell>
          <cell r="T57">
            <v>16000</v>
          </cell>
          <cell r="U57">
            <v>8000</v>
          </cell>
          <cell r="V57">
            <v>30000</v>
          </cell>
          <cell r="W57">
            <v>73567.756190769229</v>
          </cell>
          <cell r="X57">
            <v>120305.05595049591</v>
          </cell>
          <cell r="AB57">
            <v>120305</v>
          </cell>
          <cell r="AD57">
            <v>120305</v>
          </cell>
          <cell r="AF57">
            <v>228118.75</v>
          </cell>
          <cell r="AK57" t="str">
            <v>Cementa</v>
          </cell>
          <cell r="AL57">
            <v>6</v>
          </cell>
          <cell r="AM57">
            <v>7.8000000000000007</v>
          </cell>
          <cell r="AN57">
            <v>25.295833333333334</v>
          </cell>
          <cell r="AO57">
            <v>2823</v>
          </cell>
          <cell r="AP57">
            <v>3900.0000000000005</v>
          </cell>
          <cell r="AQ57">
            <v>363550</v>
          </cell>
          <cell r="AR57">
            <v>36.61</v>
          </cell>
          <cell r="AS57">
            <v>103.35003</v>
          </cell>
          <cell r="AT57">
            <v>666.75015000000008</v>
          </cell>
          <cell r="AU57">
            <v>90</v>
          </cell>
          <cell r="AV57">
            <v>74053.440500000012</v>
          </cell>
          <cell r="AW57">
            <v>8853.5416666666679</v>
          </cell>
          <cell r="AX57">
            <v>0</v>
          </cell>
          <cell r="AY57">
            <v>82906.982166666683</v>
          </cell>
          <cell r="AZ57">
            <v>325.00000000000006</v>
          </cell>
          <cell r="BB57">
            <v>149287.5</v>
          </cell>
          <cell r="BC57">
            <v>88916.159456199995</v>
          </cell>
          <cell r="BD57">
            <v>1220981.4475733626</v>
          </cell>
        </row>
        <row r="58">
          <cell r="M58">
            <v>7.0893381543782423</v>
          </cell>
          <cell r="X58">
            <v>4.5390997371669579</v>
          </cell>
          <cell r="Y58" t="str">
            <v>N° Trep:</v>
          </cell>
          <cell r="Z58">
            <v>6</v>
          </cell>
          <cell r="AA58">
            <v>27950</v>
          </cell>
          <cell r="AC58">
            <v>175150</v>
          </cell>
          <cell r="AD58">
            <v>9018.75</v>
          </cell>
          <cell r="AE58">
            <v>16000</v>
          </cell>
          <cell r="AF58">
            <v>0.18683228189369641</v>
          </cell>
          <cell r="AG58" t="str">
            <v xml:space="preserve">   Horas rot.:</v>
          </cell>
          <cell r="AI58">
            <v>307</v>
          </cell>
          <cell r="AJ58">
            <v>0.50568275407675833</v>
          </cell>
          <cell r="AK58" t="str">
            <v>(13 dias)              Horas totales:</v>
          </cell>
          <cell r="AM58">
            <v>607.1</v>
          </cell>
          <cell r="AN58" t="str">
            <v>(25 dias)</v>
          </cell>
          <cell r="AQ58">
            <v>0.29775227193053327</v>
          </cell>
          <cell r="AY58">
            <v>6.7901918027861941E-2</v>
          </cell>
          <cell r="AZ58">
            <v>29287.5</v>
          </cell>
          <cell r="BA58">
            <v>120000</v>
          </cell>
          <cell r="BB58">
            <v>0.12226844256864113</v>
          </cell>
          <cell r="BC58">
            <v>7.2823513930466557E-2</v>
          </cell>
          <cell r="BD58">
            <v>1</v>
          </cell>
        </row>
        <row r="59">
          <cell r="BC59">
            <v>259442.17420811777</v>
          </cell>
          <cell r="BD59">
            <v>0.26981963336776527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2"/>
  <sheetViews>
    <sheetView topLeftCell="A20" zoomScaleNormal="100" workbookViewId="0">
      <selection activeCell="G95" sqref="G95"/>
    </sheetView>
  </sheetViews>
  <sheetFormatPr baseColWidth="10" defaultRowHeight="12.75" x14ac:dyDescent="0.2"/>
  <cols>
    <col min="1" max="1" width="16.85546875" bestFit="1" customWidth="1"/>
    <col min="2" max="2" width="14.42578125" bestFit="1" customWidth="1"/>
    <col min="5" max="5" width="14.140625" customWidth="1"/>
    <col min="7" max="7" width="12.140625" customWidth="1"/>
    <col min="8" max="8" width="16.28515625" bestFit="1" customWidth="1"/>
    <col min="9" max="9" width="19.140625" customWidth="1"/>
    <col min="10" max="10" width="19.5703125" bestFit="1" customWidth="1"/>
    <col min="11" max="11" width="2" bestFit="1" customWidth="1"/>
    <col min="12" max="12" width="10.140625" bestFit="1" customWidth="1"/>
    <col min="13" max="13" width="20.140625" customWidth="1"/>
    <col min="14" max="14" width="10.140625" customWidth="1"/>
    <col min="15" max="15" width="10.5703125" customWidth="1"/>
    <col min="16" max="16" width="14.42578125" bestFit="1" customWidth="1"/>
    <col min="18" max="18" width="21" bestFit="1" customWidth="1"/>
    <col min="19" max="19" width="6.7109375" style="70" bestFit="1" customWidth="1"/>
    <col min="20" max="20" width="14.140625" bestFit="1" customWidth="1"/>
    <col min="21" max="21" width="11.42578125" style="70"/>
    <col min="23" max="23" width="19.42578125" customWidth="1"/>
    <col min="24" max="24" width="20.5703125" customWidth="1"/>
    <col min="25" max="25" width="12.140625" customWidth="1"/>
    <col min="26" max="26" width="10.140625" customWidth="1"/>
    <col min="27" max="27" width="10.5703125" customWidth="1"/>
    <col min="28" max="28" width="9.7109375" bestFit="1" customWidth="1"/>
    <col min="29" max="29" width="8.85546875" customWidth="1"/>
    <col min="30" max="30" width="9.7109375" bestFit="1" customWidth="1"/>
    <col min="31" max="31" width="9.7109375" customWidth="1"/>
    <col min="32" max="32" width="9.7109375" bestFit="1" customWidth="1"/>
    <col min="33" max="33" width="4.85546875" bestFit="1" customWidth="1"/>
    <col min="34" max="34" width="9.7109375" bestFit="1" customWidth="1"/>
    <col min="35" max="35" width="4.85546875" bestFit="1" customWidth="1"/>
    <col min="36" max="36" width="21.85546875" bestFit="1" customWidth="1"/>
    <col min="38" max="38" width="22.7109375" bestFit="1" customWidth="1"/>
  </cols>
  <sheetData>
    <row r="1" spans="1:39" ht="13.5" thickBot="1" x14ac:dyDescent="0.25">
      <c r="A1" s="184" t="s">
        <v>232</v>
      </c>
    </row>
    <row r="2" spans="1:39" ht="13.5" thickBot="1" x14ac:dyDescent="0.25">
      <c r="H2" s="185" t="s">
        <v>223</v>
      </c>
      <c r="I2" s="185" t="s">
        <v>225</v>
      </c>
      <c r="J2" s="185" t="s">
        <v>5</v>
      </c>
      <c r="K2" s="295"/>
      <c r="L2" s="295" t="s">
        <v>228</v>
      </c>
      <c r="M2" s="296" t="s">
        <v>298</v>
      </c>
      <c r="N2" s="296" t="s">
        <v>299</v>
      </c>
      <c r="O2" s="296" t="s">
        <v>300</v>
      </c>
      <c r="P2" s="291" t="s">
        <v>239</v>
      </c>
      <c r="Q2" s="633" t="s">
        <v>293</v>
      </c>
      <c r="R2" s="635"/>
      <c r="S2" s="635"/>
      <c r="T2" s="635"/>
      <c r="U2" s="634"/>
    </row>
    <row r="3" spans="1:39" ht="13.5" thickBot="1" x14ac:dyDescent="0.25">
      <c r="A3" s="3" t="s">
        <v>0</v>
      </c>
      <c r="B3" s="636" t="s">
        <v>708</v>
      </c>
      <c r="C3" s="637"/>
      <c r="H3" s="139" t="s">
        <v>38</v>
      </c>
      <c r="I3" s="187" t="s">
        <v>165</v>
      </c>
      <c r="J3" s="187" t="s">
        <v>227</v>
      </c>
      <c r="K3" s="307" t="str">
        <f>IF(AND($B$17=L3,$C$17=M3),1,"")</f>
        <v/>
      </c>
      <c r="L3" s="297">
        <v>5</v>
      </c>
      <c r="M3" s="297">
        <v>15</v>
      </c>
      <c r="N3" s="298">
        <v>4.4080000000000004</v>
      </c>
      <c r="O3" s="299">
        <f t="shared" ref="O3:O10" si="0">N3*N3*0.5067</f>
        <v>9.8454161088000021</v>
      </c>
      <c r="P3" s="292" t="s">
        <v>248</v>
      </c>
      <c r="Q3" s="73"/>
      <c r="R3" s="70" t="s">
        <v>54</v>
      </c>
      <c r="S3" s="70" t="s">
        <v>28</v>
      </c>
      <c r="T3" s="70"/>
      <c r="U3" s="320" t="s">
        <v>218</v>
      </c>
      <c r="W3" s="143"/>
      <c r="X3" s="645" t="s">
        <v>40</v>
      </c>
      <c r="Y3" s="634"/>
      <c r="Z3" s="645" t="s">
        <v>114</v>
      </c>
      <c r="AA3" s="634"/>
      <c r="AB3" s="645" t="s">
        <v>100</v>
      </c>
      <c r="AC3" s="634"/>
      <c r="AD3" s="645" t="s">
        <v>104</v>
      </c>
      <c r="AE3" s="634"/>
      <c r="AF3" s="645"/>
      <c r="AG3" s="634"/>
      <c r="AH3" s="645" t="s">
        <v>458</v>
      </c>
      <c r="AI3" s="634"/>
      <c r="AL3" s="105" t="s">
        <v>38</v>
      </c>
      <c r="AM3" s="46">
        <v>50</v>
      </c>
    </row>
    <row r="4" spans="1:39" ht="13.5" thickBot="1" x14ac:dyDescent="0.25">
      <c r="A4" s="3" t="s">
        <v>1</v>
      </c>
      <c r="B4" s="8" t="s">
        <v>718</v>
      </c>
      <c r="H4" s="139" t="s">
        <v>539</v>
      </c>
      <c r="I4" s="187" t="s">
        <v>226</v>
      </c>
      <c r="J4" s="187" t="s">
        <v>198</v>
      </c>
      <c r="K4" s="307" t="str">
        <f t="shared" ref="K4:K21" si="1">IF(AND($B$17=L4,$C$17=M4),1,"")</f>
        <v/>
      </c>
      <c r="L4" s="297">
        <v>5</v>
      </c>
      <c r="M4" s="297">
        <v>18</v>
      </c>
      <c r="N4" s="298">
        <v>4.2759999999999998</v>
      </c>
      <c r="O4" s="299">
        <f t="shared" si="0"/>
        <v>9.2645919792000004</v>
      </c>
      <c r="P4" s="292" t="s">
        <v>249</v>
      </c>
      <c r="Q4" s="365"/>
      <c r="R4" s="228"/>
      <c r="U4" s="68"/>
      <c r="W4" s="147"/>
      <c r="X4" s="321" t="s">
        <v>312</v>
      </c>
      <c r="Y4" s="258" t="s">
        <v>313</v>
      </c>
      <c r="Z4" s="321" t="s">
        <v>312</v>
      </c>
      <c r="AA4" s="258" t="s">
        <v>313</v>
      </c>
      <c r="AB4" s="321" t="s">
        <v>312</v>
      </c>
      <c r="AC4" s="258" t="s">
        <v>313</v>
      </c>
      <c r="AD4" s="321" t="s">
        <v>312</v>
      </c>
      <c r="AE4" s="258" t="s">
        <v>313</v>
      </c>
      <c r="AF4" s="321"/>
      <c r="AG4" s="258"/>
      <c r="AH4" s="321" t="s">
        <v>312</v>
      </c>
      <c r="AI4" s="258" t="s">
        <v>313</v>
      </c>
      <c r="AL4" s="74" t="s">
        <v>539</v>
      </c>
      <c r="AM4" s="49">
        <v>120</v>
      </c>
    </row>
    <row r="5" spans="1:39" ht="13.5" thickBot="1" x14ac:dyDescent="0.25">
      <c r="A5" s="3" t="s">
        <v>267</v>
      </c>
      <c r="B5" s="8" t="s">
        <v>268</v>
      </c>
      <c r="H5" s="139" t="s">
        <v>455</v>
      </c>
      <c r="I5" s="187" t="s">
        <v>360</v>
      </c>
      <c r="J5" s="187" t="s">
        <v>425</v>
      </c>
      <c r="K5" s="307" t="str">
        <f t="shared" si="1"/>
        <v/>
      </c>
      <c r="L5" s="300">
        <v>5.5</v>
      </c>
      <c r="M5" s="297">
        <v>15.5</v>
      </c>
      <c r="N5" s="301">
        <v>4.95</v>
      </c>
      <c r="O5" s="299">
        <f t="shared" si="0"/>
        <v>12.415416750000002</v>
      </c>
      <c r="P5" s="293" t="s">
        <v>250</v>
      </c>
      <c r="Q5" s="74"/>
      <c r="R5" s="228" t="s">
        <v>574</v>
      </c>
      <c r="S5" s="70" t="s">
        <v>205</v>
      </c>
      <c r="T5" s="228" t="s">
        <v>595</v>
      </c>
      <c r="U5" s="68">
        <f>ROUNDUP(IFERROR(VLOOKUP(R5,$A$79:$D$87,3,0),0)+IFERROR(VLOOKUP(R5,$F$79:$I$87,3,0),0)+IFERROR(VLOOKUP(R5,$A$96:$D$104,3,0),0)+IFERROR(VLOOKUP(R5,$F$96:$I$104,3,0),0)+IFERROR(VLOOKUP(R5,$A$113:$D$121,3,0),0)+IFERROR(VLOOKUP(R5,$F$113:$I$121,3,0),0),0)</f>
        <v>29200</v>
      </c>
      <c r="W5" s="293" t="s">
        <v>233</v>
      </c>
      <c r="X5" s="73">
        <v>1900</v>
      </c>
      <c r="Y5" s="320" t="s">
        <v>314</v>
      </c>
      <c r="Z5" s="73">
        <v>4000</v>
      </c>
      <c r="AA5" s="320" t="s">
        <v>314</v>
      </c>
      <c r="AB5" s="73">
        <v>4000</v>
      </c>
      <c r="AC5" s="320" t="s">
        <v>314</v>
      </c>
      <c r="AD5" s="73">
        <v>4000</v>
      </c>
      <c r="AE5" s="320" t="s">
        <v>314</v>
      </c>
      <c r="AF5" s="73"/>
      <c r="AG5" s="320"/>
      <c r="AH5" s="73">
        <v>35000</v>
      </c>
      <c r="AI5" s="320"/>
      <c r="AL5" s="74" t="s">
        <v>455</v>
      </c>
      <c r="AM5" s="49"/>
    </row>
    <row r="6" spans="1:39" ht="13.5" thickBot="1" x14ac:dyDescent="0.25">
      <c r="A6" s="3" t="s">
        <v>258</v>
      </c>
      <c r="B6" s="8" t="s">
        <v>645</v>
      </c>
      <c r="H6" s="139" t="s">
        <v>423</v>
      </c>
      <c r="I6" s="187" t="s">
        <v>418</v>
      </c>
      <c r="J6" s="187" t="s">
        <v>363</v>
      </c>
      <c r="K6" s="307" t="str">
        <f t="shared" si="1"/>
        <v/>
      </c>
      <c r="L6" s="300">
        <v>5.5</v>
      </c>
      <c r="M6" s="301">
        <v>17</v>
      </c>
      <c r="N6" s="301">
        <v>4.8920000000000003</v>
      </c>
      <c r="O6" s="299">
        <f t="shared" si="0"/>
        <v>12.126174148800004</v>
      </c>
      <c r="P6" s="292" t="s">
        <v>309</v>
      </c>
      <c r="Q6" s="74"/>
      <c r="R6" t="s">
        <v>588</v>
      </c>
      <c r="S6" s="489" t="s">
        <v>205</v>
      </c>
      <c r="T6" t="s">
        <v>588</v>
      </c>
      <c r="U6" s="68">
        <f>ROUNDUP(IFERROR(VLOOKUP(R6,$A$79:$D$87,3,0),0)+IFERROR(VLOOKUP(R6,$F$79:$I$87,3,0),0)+IFERROR(VLOOKUP(R6,$A$96:$D$104,3,0),0)+IFERROR(VLOOKUP(R6,$F$96:$I$104,3,0),0)+IFERROR(VLOOKUP(R6,$A$113:$D$121,3,0),0)+IFERROR(VLOOKUP(R6,$F$113:$I$121,3,0),0),0)</f>
        <v>0</v>
      </c>
      <c r="W6" s="293" t="s">
        <v>234</v>
      </c>
      <c r="X6" s="73">
        <v>2400</v>
      </c>
      <c r="Y6" s="320" t="s">
        <v>315</v>
      </c>
      <c r="Z6" s="73">
        <v>4000</v>
      </c>
      <c r="AA6" s="320" t="s">
        <v>316</v>
      </c>
      <c r="AB6" s="73">
        <v>4000</v>
      </c>
      <c r="AC6" s="320" t="s">
        <v>318</v>
      </c>
      <c r="AD6" s="73">
        <v>4000</v>
      </c>
      <c r="AE6" s="320" t="s">
        <v>318</v>
      </c>
      <c r="AF6" s="73"/>
      <c r="AG6" s="320"/>
      <c r="AH6" s="73"/>
      <c r="AI6" s="320"/>
      <c r="AL6" s="74" t="s">
        <v>423</v>
      </c>
      <c r="AM6" s="49"/>
    </row>
    <row r="7" spans="1:39" ht="13.5" thickBot="1" x14ac:dyDescent="0.25">
      <c r="A7" s="3" t="s">
        <v>36</v>
      </c>
      <c r="B7" s="11" t="s">
        <v>226</v>
      </c>
      <c r="H7" s="139" t="s">
        <v>454</v>
      </c>
      <c r="I7" s="139" t="s">
        <v>538</v>
      </c>
      <c r="J7" s="139" t="s">
        <v>304</v>
      </c>
      <c r="K7" s="307" t="str">
        <f t="shared" si="1"/>
        <v/>
      </c>
      <c r="L7" s="300">
        <v>5.5</v>
      </c>
      <c r="M7" s="301">
        <v>20</v>
      </c>
      <c r="N7" s="301">
        <v>4.7779999999999996</v>
      </c>
      <c r="O7" s="299">
        <f t="shared" si="0"/>
        <v>11.567598202799999</v>
      </c>
      <c r="P7" s="292" t="s">
        <v>311</v>
      </c>
      <c r="Q7" s="74"/>
      <c r="R7" t="s">
        <v>589</v>
      </c>
      <c r="S7" s="489" t="s">
        <v>205</v>
      </c>
      <c r="T7" t="s">
        <v>589</v>
      </c>
      <c r="U7" s="68">
        <f>ROUNDUP(IFERROR(VLOOKUP(R7,$A$79:$D$87,3,0),0)+IFERROR(VLOOKUP(R7,$F$79:$I$87,3,0),0)+IFERROR(VLOOKUP(R7,$A$96:$D$104,3,0),0)+IFERROR(VLOOKUP(R7,$F$96:$I$104,3,0),0)+IFERROR(VLOOKUP(R7,$A$113:$D$121,3,0),0)+IFERROR(VLOOKUP(R7,$F$113:$I$121,3,0),0),0)</f>
        <v>0</v>
      </c>
      <c r="W7" s="293" t="s">
        <v>235</v>
      </c>
      <c r="X7" s="73">
        <v>4000</v>
      </c>
      <c r="Y7" s="320" t="s">
        <v>316</v>
      </c>
      <c r="Z7" s="73">
        <v>4000</v>
      </c>
      <c r="AA7" s="320" t="s">
        <v>317</v>
      </c>
      <c r="AB7" s="73">
        <v>4000</v>
      </c>
      <c r="AC7" s="320" t="s">
        <v>318</v>
      </c>
      <c r="AD7" s="73">
        <v>4000</v>
      </c>
      <c r="AE7" s="320" t="s">
        <v>318</v>
      </c>
      <c r="AF7" s="73"/>
      <c r="AG7" s="320"/>
      <c r="AH7" s="73"/>
      <c r="AI7" s="320"/>
      <c r="AL7" s="74" t="s">
        <v>454</v>
      </c>
      <c r="AM7" s="49">
        <v>60</v>
      </c>
    </row>
    <row r="8" spans="1:39" ht="13.5" thickBot="1" x14ac:dyDescent="0.25">
      <c r="A8" s="3" t="s">
        <v>710</v>
      </c>
      <c r="B8" s="609" t="s">
        <v>712</v>
      </c>
      <c r="H8" s="139" t="s">
        <v>514</v>
      </c>
      <c r="I8" s="139" t="s">
        <v>553</v>
      </c>
      <c r="J8" s="187" t="s">
        <v>633</v>
      </c>
      <c r="K8" s="307" t="str">
        <f t="shared" si="1"/>
        <v/>
      </c>
      <c r="L8" s="300">
        <v>5.5</v>
      </c>
      <c r="M8" s="301">
        <v>23</v>
      </c>
      <c r="N8" s="301">
        <v>4.67</v>
      </c>
      <c r="O8" s="299">
        <f t="shared" si="0"/>
        <v>11.05056963</v>
      </c>
      <c r="P8" s="292" t="s">
        <v>310</v>
      </c>
      <c r="Q8" s="74"/>
      <c r="R8" s="228" t="s">
        <v>594</v>
      </c>
      <c r="S8" s="489" t="s">
        <v>206</v>
      </c>
      <c r="T8" s="228" t="s">
        <v>593</v>
      </c>
      <c r="U8" s="68">
        <f>ROUNDUP(IFERROR(VLOOKUP(R8,$A$79:$D$87,3,0),0)+IFERROR(VLOOKUP(R8,$F$79:$I$87,3,0),0)+IFERROR(VLOOKUP(R8,$A$96:$D$104,3,0),0)+IFERROR(VLOOKUP(R8,$F$96:$I$104,3,0),0)+IFERROR(VLOOKUP(R8,$A$113:$D$121,3,0),0)+IFERROR(VLOOKUP(R8,$F$113:$I$121,3,0),0),0)</f>
        <v>2000</v>
      </c>
      <c r="W8" s="293" t="s">
        <v>236</v>
      </c>
      <c r="X8" s="73">
        <v>4000</v>
      </c>
      <c r="Y8" s="320" t="s">
        <v>317</v>
      </c>
      <c r="Z8" s="73">
        <v>1200</v>
      </c>
      <c r="AA8" s="68"/>
      <c r="AB8" s="73">
        <v>4000</v>
      </c>
      <c r="AC8" s="320" t="s">
        <v>318</v>
      </c>
      <c r="AD8" s="73">
        <v>4000</v>
      </c>
      <c r="AE8" s="320" t="s">
        <v>315</v>
      </c>
      <c r="AF8" s="73"/>
      <c r="AG8" s="320"/>
      <c r="AH8" s="73"/>
      <c r="AI8" s="320"/>
      <c r="AL8" s="74" t="s">
        <v>514</v>
      </c>
      <c r="AM8" s="49"/>
    </row>
    <row r="9" spans="1:39" ht="13.5" thickBot="1" x14ac:dyDescent="0.25">
      <c r="A9" s="3" t="s">
        <v>5</v>
      </c>
      <c r="B9" s="636" t="s">
        <v>227</v>
      </c>
      <c r="C9" s="637"/>
      <c r="H9" s="187" t="s">
        <v>343</v>
      </c>
      <c r="I9" s="185" t="s">
        <v>267</v>
      </c>
      <c r="J9" s="139"/>
      <c r="K9" s="307" t="str">
        <f t="shared" si="1"/>
        <v/>
      </c>
      <c r="L9" s="300">
        <v>5.5</v>
      </c>
      <c r="M9" s="297">
        <v>26</v>
      </c>
      <c r="N9" s="301">
        <v>4.548</v>
      </c>
      <c r="O9" s="299">
        <f t="shared" si="0"/>
        <v>10.480736836800002</v>
      </c>
      <c r="P9" s="293" t="s">
        <v>427</v>
      </c>
      <c r="Q9" s="74"/>
      <c r="R9" s="228" t="s">
        <v>709</v>
      </c>
      <c r="S9" s="489" t="s">
        <v>206</v>
      </c>
      <c r="T9" s="228" t="s">
        <v>440</v>
      </c>
      <c r="U9" s="68">
        <f>ROUNDUP(IFERROR(VLOOKUP(R9,$A$79:$D$87,3,0),0)+IFERROR(VLOOKUP(R9,$F$79:$I$87,3,0),0)+IFERROR(VLOOKUP(R9,$A$96:$D$104,3,0),0)+IFERROR(VLOOKUP(R9,$F$96:$I$104,3,0),0)+IFERROR(VLOOKUP(R9,$A$113:$D$121,3,0),0)+IFERROR(VLOOKUP(R9,$F$113:$I$121,3,0),0),0)</f>
        <v>400</v>
      </c>
      <c r="W9" s="293" t="s">
        <v>237</v>
      </c>
      <c r="X9" s="73">
        <v>600</v>
      </c>
      <c r="Y9" s="68"/>
      <c r="Z9" s="73">
        <v>1200</v>
      </c>
      <c r="AA9" s="320" t="s">
        <v>315</v>
      </c>
      <c r="AB9" s="73">
        <v>4000</v>
      </c>
      <c r="AC9" s="320" t="s">
        <v>315</v>
      </c>
      <c r="AD9" s="73"/>
      <c r="AE9" s="68"/>
      <c r="AF9" s="73"/>
      <c r="AG9" s="68"/>
      <c r="AH9" s="73"/>
      <c r="AI9" s="68"/>
      <c r="AL9" s="365" t="s">
        <v>343</v>
      </c>
      <c r="AM9" s="49">
        <v>50</v>
      </c>
    </row>
    <row r="10" spans="1:39" ht="13.5" thickBot="1" x14ac:dyDescent="0.25">
      <c r="A10" s="3" t="s">
        <v>356</v>
      </c>
      <c r="B10" s="636" t="s">
        <v>554</v>
      </c>
      <c r="C10" s="637"/>
      <c r="H10" s="139" t="s">
        <v>523</v>
      </c>
      <c r="I10" s="349"/>
      <c r="J10" s="139"/>
      <c r="K10" s="307" t="str">
        <f t="shared" si="1"/>
        <v/>
      </c>
      <c r="L10" s="302">
        <v>6.625</v>
      </c>
      <c r="M10" s="297">
        <v>24</v>
      </c>
      <c r="N10" s="301">
        <v>5.9210000000000003</v>
      </c>
      <c r="O10" s="299">
        <f t="shared" si="0"/>
        <v>17.764010714700003</v>
      </c>
      <c r="P10" s="73"/>
      <c r="Q10" s="74"/>
      <c r="U10" s="68"/>
      <c r="W10" s="321" t="s">
        <v>238</v>
      </c>
      <c r="X10" s="147">
        <v>600</v>
      </c>
      <c r="Y10" s="142"/>
      <c r="Z10" s="147">
        <v>800</v>
      </c>
      <c r="AA10" s="258" t="s">
        <v>242</v>
      </c>
      <c r="AB10" s="147">
        <v>0</v>
      </c>
      <c r="AC10" s="142"/>
      <c r="AD10" s="147"/>
      <c r="AE10" s="142"/>
      <c r="AF10" s="147"/>
      <c r="AG10" s="142"/>
      <c r="AH10" s="147"/>
      <c r="AI10" s="142"/>
      <c r="AL10" s="74" t="s">
        <v>523</v>
      </c>
      <c r="AM10" s="49">
        <v>60</v>
      </c>
    </row>
    <row r="11" spans="1:39" ht="13.5" thickBot="1" x14ac:dyDescent="0.25">
      <c r="A11" s="3" t="s">
        <v>6</v>
      </c>
      <c r="B11" s="314">
        <f ca="1">TODAY()</f>
        <v>45376</v>
      </c>
      <c r="D11" s="638" t="s">
        <v>430</v>
      </c>
      <c r="E11" s="638"/>
      <c r="F11" s="638"/>
      <c r="H11" s="139" t="s">
        <v>187</v>
      </c>
      <c r="I11" s="187" t="s">
        <v>268</v>
      </c>
      <c r="J11" s="139"/>
      <c r="K11" s="307" t="str">
        <f t="shared" si="1"/>
        <v/>
      </c>
      <c r="L11" s="302">
        <v>6.625</v>
      </c>
      <c r="M11" s="297">
        <v>28</v>
      </c>
      <c r="N11" s="301">
        <v>5.7910000000000004</v>
      </c>
      <c r="O11" s="299">
        <f t="shared" ref="O11:O19" si="2">N11*N11*0.5067</f>
        <v>16.992529562700003</v>
      </c>
      <c r="P11" s="74"/>
      <c r="Q11" s="74"/>
      <c r="R11" t="s">
        <v>294</v>
      </c>
      <c r="U11" s="68"/>
      <c r="AL11" s="74" t="s">
        <v>187</v>
      </c>
      <c r="AM11" s="49">
        <v>110</v>
      </c>
    </row>
    <row r="12" spans="1:39" ht="13.5" thickBot="1" x14ac:dyDescent="0.25">
      <c r="A12" s="3" t="s">
        <v>231</v>
      </c>
      <c r="B12" s="9" t="s">
        <v>230</v>
      </c>
      <c r="D12" s="132"/>
      <c r="E12" s="62" t="s">
        <v>431</v>
      </c>
      <c r="F12" s="380"/>
      <c r="G12" s="383">
        <f>F12/24/60*1000</f>
        <v>0</v>
      </c>
      <c r="H12" s="139" t="s">
        <v>308</v>
      </c>
      <c r="I12" s="224" t="s">
        <v>269</v>
      </c>
      <c r="J12" s="140"/>
      <c r="K12" s="307" t="str">
        <f t="shared" si="1"/>
        <v/>
      </c>
      <c r="L12" s="301">
        <v>7</v>
      </c>
      <c r="M12" s="301">
        <v>23</v>
      </c>
      <c r="N12" s="301">
        <v>6.3659999999999997</v>
      </c>
      <c r="O12" s="299">
        <f t="shared" si="2"/>
        <v>20.534501905199999</v>
      </c>
      <c r="P12" s="147"/>
      <c r="Q12" s="74"/>
      <c r="R12" t="s">
        <v>575</v>
      </c>
      <c r="S12" s="70" t="s">
        <v>205</v>
      </c>
      <c r="T12" s="228" t="s">
        <v>244</v>
      </c>
      <c r="U12" s="68">
        <f t="shared" ref="U12:U17" si="3">ROUNDUP(IFERROR(VLOOKUP(R12,$A$79:$D$87,3,0),0)+IFERROR(VLOOKUP(R12,$F$79:$I$87,3,0),0)+IFERROR(VLOOKUP(R12,$A$96:$D$104,3,0),0)+IFERROR(VLOOKUP(R12,$F$96:$I$104,3,0),0)+IFERROR(VLOOKUP(R12,$A$113:$D$121,3,0),0)+IFERROR(VLOOKUP(R12,$F$113:$I$121,3,0),0),0)</f>
        <v>0</v>
      </c>
      <c r="AL12" s="74" t="s">
        <v>308</v>
      </c>
      <c r="AM12" s="49">
        <v>50</v>
      </c>
    </row>
    <row r="13" spans="1:39" ht="13.5" thickBot="1" x14ac:dyDescent="0.25">
      <c r="A13" s="3" t="s">
        <v>219</v>
      </c>
      <c r="B13" s="9" t="s">
        <v>638</v>
      </c>
      <c r="D13" s="132"/>
      <c r="E13" s="62" t="s">
        <v>432</v>
      </c>
      <c r="F13" s="380"/>
      <c r="G13" s="382">
        <f>F13/24/60*1000</f>
        <v>0</v>
      </c>
      <c r="H13" s="139" t="s">
        <v>515</v>
      </c>
      <c r="J13" s="350" t="s">
        <v>356</v>
      </c>
      <c r="K13" s="307">
        <f t="shared" si="1"/>
        <v>1</v>
      </c>
      <c r="L13" s="301">
        <v>7</v>
      </c>
      <c r="M13" s="301">
        <v>26</v>
      </c>
      <c r="N13" s="301">
        <v>6.2759999999999998</v>
      </c>
      <c r="O13" s="299">
        <f t="shared" si="2"/>
        <v>19.957988779199997</v>
      </c>
      <c r="Q13" s="74"/>
      <c r="R13" t="s">
        <v>576</v>
      </c>
      <c r="S13" s="489" t="s">
        <v>205</v>
      </c>
      <c r="T13" s="228" t="s">
        <v>244</v>
      </c>
      <c r="U13" s="68">
        <f t="shared" si="3"/>
        <v>670</v>
      </c>
      <c r="AL13" s="74" t="s">
        <v>515</v>
      </c>
      <c r="AM13" s="49"/>
    </row>
    <row r="14" spans="1:39" ht="13.5" thickBot="1" x14ac:dyDescent="0.25">
      <c r="A14" s="3" t="s">
        <v>243</v>
      </c>
      <c r="B14" s="9">
        <f>VLOOKUP(B3,AL3:AM35,2,0)</f>
        <v>100</v>
      </c>
      <c r="D14" s="132"/>
      <c r="E14" s="386" t="s">
        <v>433</v>
      </c>
      <c r="F14" s="381"/>
      <c r="G14" s="329">
        <f>F14*14.2</f>
        <v>0</v>
      </c>
      <c r="H14" s="187" t="s">
        <v>301</v>
      </c>
      <c r="J14" s="187" t="s">
        <v>357</v>
      </c>
      <c r="K14" s="307" t="str">
        <f t="shared" si="1"/>
        <v/>
      </c>
      <c r="L14" s="301">
        <v>7</v>
      </c>
      <c r="M14" s="301">
        <v>29</v>
      </c>
      <c r="N14" s="301">
        <v>6.1840000000000002</v>
      </c>
      <c r="O14" s="299">
        <f t="shared" si="2"/>
        <v>19.377148435200002</v>
      </c>
      <c r="Q14" s="74"/>
      <c r="R14" t="s">
        <v>577</v>
      </c>
      <c r="S14" s="489" t="s">
        <v>205</v>
      </c>
      <c r="T14" s="228" t="s">
        <v>245</v>
      </c>
      <c r="U14" s="68">
        <f t="shared" si="3"/>
        <v>0</v>
      </c>
      <c r="AL14" s="365" t="s">
        <v>301</v>
      </c>
      <c r="AM14" s="49">
        <v>60</v>
      </c>
    </row>
    <row r="15" spans="1:39" ht="13.5" thickBot="1" x14ac:dyDescent="0.25">
      <c r="A15" s="3" t="s">
        <v>585</v>
      </c>
      <c r="B15" s="9" t="s">
        <v>230</v>
      </c>
      <c r="D15" s="132"/>
      <c r="E15" s="386" t="s">
        <v>442</v>
      </c>
      <c r="F15" s="9"/>
      <c r="H15" s="139" t="s">
        <v>528</v>
      </c>
      <c r="J15" s="187" t="s">
        <v>358</v>
      </c>
      <c r="K15" s="307" t="str">
        <f t="shared" si="1"/>
        <v/>
      </c>
      <c r="L15" s="301">
        <v>7</v>
      </c>
      <c r="M15" s="297">
        <v>32</v>
      </c>
      <c r="N15" s="301">
        <v>6.0940000000000003</v>
      </c>
      <c r="O15" s="299">
        <f t="shared" si="2"/>
        <v>18.817234801200001</v>
      </c>
      <c r="Q15" s="74"/>
      <c r="R15" t="s">
        <v>578</v>
      </c>
      <c r="S15" s="489" t="s">
        <v>205</v>
      </c>
      <c r="T15" s="228" t="s">
        <v>245</v>
      </c>
      <c r="U15" s="68">
        <f t="shared" si="3"/>
        <v>0</v>
      </c>
      <c r="AL15" s="74" t="s">
        <v>528</v>
      </c>
      <c r="AM15" s="49">
        <v>60</v>
      </c>
    </row>
    <row r="16" spans="1:39" ht="13.5" thickBot="1" x14ac:dyDescent="0.25">
      <c r="H16" s="187" t="s">
        <v>513</v>
      </c>
      <c r="J16" s="187" t="s">
        <v>359</v>
      </c>
      <c r="K16" s="307" t="str">
        <f t="shared" si="1"/>
        <v/>
      </c>
      <c r="L16" s="302">
        <v>9.625</v>
      </c>
      <c r="M16" s="297">
        <v>32.299999999999997</v>
      </c>
      <c r="N16" s="301">
        <v>9.0009999999999994</v>
      </c>
      <c r="O16" s="299">
        <f t="shared" si="2"/>
        <v>41.051821106699997</v>
      </c>
      <c r="Q16" s="74"/>
      <c r="R16" t="s">
        <v>579</v>
      </c>
      <c r="S16" s="489" t="s">
        <v>205</v>
      </c>
      <c r="T16" s="228" t="s">
        <v>590</v>
      </c>
      <c r="U16" s="68">
        <f t="shared" si="3"/>
        <v>0</v>
      </c>
      <c r="V16" s="405"/>
      <c r="W16" s="413"/>
      <c r="X16" s="413"/>
      <c r="Y16" s="413"/>
      <c r="Z16" s="413"/>
      <c r="AA16" s="413"/>
      <c r="AB16" s="413"/>
      <c r="AC16" s="413"/>
      <c r="AD16" s="413"/>
      <c r="AE16" s="413"/>
      <c r="AF16" s="412"/>
      <c r="AJ16" s="186" t="s">
        <v>417</v>
      </c>
      <c r="AL16" s="365" t="s">
        <v>513</v>
      </c>
      <c r="AM16" s="49">
        <v>110</v>
      </c>
    </row>
    <row r="17" spans="1:39" ht="13.5" thickBot="1" x14ac:dyDescent="0.25">
      <c r="A17" s="6" t="s">
        <v>35</v>
      </c>
      <c r="B17" s="7">
        <v>7</v>
      </c>
      <c r="C17" s="9">
        <v>26</v>
      </c>
      <c r="D17" s="309">
        <f>VLOOKUP(1,K3:O19,5,0)</f>
        <v>19.957988779199997</v>
      </c>
      <c r="E17" s="310" t="s">
        <v>300</v>
      </c>
      <c r="H17" s="139" t="s">
        <v>224</v>
      </c>
      <c r="J17" s="139" t="s">
        <v>436</v>
      </c>
      <c r="K17" s="307" t="str">
        <f t="shared" si="1"/>
        <v/>
      </c>
      <c r="L17" s="302">
        <v>9.625</v>
      </c>
      <c r="M17" s="297">
        <v>36</v>
      </c>
      <c r="N17" s="301">
        <v>8.9209999999999994</v>
      </c>
      <c r="O17" s="299">
        <f t="shared" si="2"/>
        <v>40.325334914700001</v>
      </c>
      <c r="Q17" s="74"/>
      <c r="R17" t="s">
        <v>584</v>
      </c>
      <c r="S17" s="489" t="s">
        <v>205</v>
      </c>
      <c r="T17" s="228" t="s">
        <v>590</v>
      </c>
      <c r="U17" s="68">
        <f t="shared" si="3"/>
        <v>450</v>
      </c>
      <c r="V17" s="406"/>
      <c r="W17" s="629" t="s">
        <v>364</v>
      </c>
      <c r="X17" s="630"/>
      <c r="Y17" s="630"/>
      <c r="Z17" s="630"/>
      <c r="AA17" s="630"/>
      <c r="AB17" s="630"/>
      <c r="AC17" s="630"/>
      <c r="AD17" s="630"/>
      <c r="AE17" s="631"/>
      <c r="AF17" s="409"/>
      <c r="AJ17" s="187" t="s">
        <v>555</v>
      </c>
      <c r="AL17" s="74" t="s">
        <v>224</v>
      </c>
      <c r="AM17" s="49"/>
    </row>
    <row r="18" spans="1:39" ht="13.5" thickBot="1" x14ac:dyDescent="0.25">
      <c r="A18" s="6" t="s">
        <v>2</v>
      </c>
      <c r="B18" s="7">
        <v>3.5</v>
      </c>
      <c r="C18" s="9">
        <v>9.1999999999999993</v>
      </c>
      <c r="D18" s="311">
        <f>VLOOKUP(2,K22:O29,5,0)</f>
        <v>4.5360108288000003</v>
      </c>
      <c r="E18" s="310" t="s">
        <v>300</v>
      </c>
      <c r="H18" s="139" t="s">
        <v>424</v>
      </c>
      <c r="J18" s="139" t="s">
        <v>529</v>
      </c>
      <c r="K18" s="307" t="str">
        <f t="shared" si="1"/>
        <v/>
      </c>
      <c r="L18" s="302">
        <v>9.625</v>
      </c>
      <c r="M18" s="297">
        <v>40</v>
      </c>
      <c r="N18" s="301">
        <v>8.8350000000000009</v>
      </c>
      <c r="O18" s="299">
        <f t="shared" si="2"/>
        <v>39.551595907500008</v>
      </c>
      <c r="Q18" s="74"/>
      <c r="U18" s="68"/>
      <c r="V18" s="406"/>
      <c r="W18" s="408"/>
      <c r="X18" s="408"/>
      <c r="Y18" s="408"/>
      <c r="Z18" s="408"/>
      <c r="AA18" s="408"/>
      <c r="AB18" s="408"/>
      <c r="AC18" s="408"/>
      <c r="AD18" s="408"/>
      <c r="AE18" s="408"/>
      <c r="AF18" s="409"/>
      <c r="AJ18" s="187" t="s">
        <v>646</v>
      </c>
      <c r="AL18" s="74" t="s">
        <v>424</v>
      </c>
      <c r="AM18" s="49"/>
    </row>
    <row r="19" spans="1:39" ht="13.5" thickBot="1" x14ac:dyDescent="0.25">
      <c r="A19" s="11" t="s">
        <v>646</v>
      </c>
      <c r="B19" s="190">
        <v>1465.24</v>
      </c>
      <c r="C19" s="354" t="s">
        <v>361</v>
      </c>
      <c r="D19" s="311">
        <f>D17-(B18*B18*0.5067)</f>
        <v>13.750913779199998</v>
      </c>
      <c r="E19" s="310" t="s">
        <v>300</v>
      </c>
      <c r="H19" s="187" t="s">
        <v>302</v>
      </c>
      <c r="I19" s="187" t="s">
        <v>390</v>
      </c>
      <c r="J19" s="140" t="s">
        <v>554</v>
      </c>
      <c r="K19" s="307" t="str">
        <f t="shared" si="1"/>
        <v/>
      </c>
      <c r="L19" s="302">
        <v>9.625</v>
      </c>
      <c r="M19" s="297">
        <v>53.5</v>
      </c>
      <c r="N19" s="301">
        <v>8.5350000000000001</v>
      </c>
      <c r="O19" s="299">
        <f t="shared" si="2"/>
        <v>36.911182207500005</v>
      </c>
      <c r="Q19" s="74"/>
      <c r="R19" t="s">
        <v>295</v>
      </c>
      <c r="T19" s="228"/>
      <c r="U19" s="68"/>
      <c r="V19" s="406"/>
      <c r="W19" s="105"/>
      <c r="X19" s="138" t="s">
        <v>365</v>
      </c>
      <c r="Y19" s="633" t="s">
        <v>366</v>
      </c>
      <c r="Z19" s="634"/>
      <c r="AA19" s="633" t="s">
        <v>367</v>
      </c>
      <c r="AB19" s="634"/>
      <c r="AC19" s="633" t="s">
        <v>368</v>
      </c>
      <c r="AD19" s="634"/>
      <c r="AE19" s="408"/>
      <c r="AF19" s="409"/>
      <c r="AJ19" s="187" t="s">
        <v>647</v>
      </c>
      <c r="AL19" s="365" t="s">
        <v>302</v>
      </c>
      <c r="AM19" s="49">
        <v>50</v>
      </c>
    </row>
    <row r="20" spans="1:39" ht="13.5" thickBot="1" x14ac:dyDescent="0.25">
      <c r="A20" s="11" t="s">
        <v>647</v>
      </c>
      <c r="B20" s="190">
        <v>1440.28</v>
      </c>
      <c r="H20" s="139" t="s">
        <v>188</v>
      </c>
      <c r="I20" s="224" t="s">
        <v>389</v>
      </c>
      <c r="J20" s="138" t="s">
        <v>437</v>
      </c>
      <c r="K20" s="307"/>
      <c r="L20" s="303"/>
      <c r="M20" s="342"/>
      <c r="N20" s="343"/>
      <c r="O20" s="303"/>
      <c r="Q20" s="74"/>
      <c r="R20" t="s">
        <v>580</v>
      </c>
      <c r="S20" s="489" t="s">
        <v>205</v>
      </c>
      <c r="T20" s="228" t="s">
        <v>591</v>
      </c>
      <c r="U20" s="68">
        <f>ROUNDUP(IFERROR(VLOOKUP(R20,$A$79:$D$87,3,0),0)+IFERROR(VLOOKUP(R20,$F$79:$I$87,3,0),0)+IFERROR(VLOOKUP(R20,$A$96:$D$104,3,0),0)+IFERROR(VLOOKUP(R20,$F$96:$I$104,3,0),0)+IFERROR(VLOOKUP(R20,$A$113:$D$121,3,0),0)+IFERROR(VLOOKUP(R20,$F$113:$I$121,3,0),0),0)</f>
        <v>480</v>
      </c>
      <c r="V20" s="406"/>
      <c r="W20" s="74"/>
      <c r="X20" s="139" t="s">
        <v>369</v>
      </c>
      <c r="Y20" s="73" t="s">
        <v>370</v>
      </c>
      <c r="Z20" s="68" t="s">
        <v>371</v>
      </c>
      <c r="AA20" s="73" t="s">
        <v>370</v>
      </c>
      <c r="AB20" s="68" t="s">
        <v>371</v>
      </c>
      <c r="AC20" s="73" t="s">
        <v>370</v>
      </c>
      <c r="AD20" s="68" t="s">
        <v>371</v>
      </c>
      <c r="AE20" s="408"/>
      <c r="AF20" s="409"/>
      <c r="AJ20" s="187" t="s">
        <v>648</v>
      </c>
      <c r="AL20" s="74" t="s">
        <v>188</v>
      </c>
      <c r="AM20" s="49">
        <v>140</v>
      </c>
    </row>
    <row r="21" spans="1:39" ht="13.5" thickBot="1" x14ac:dyDescent="0.25">
      <c r="A21" s="11" t="s">
        <v>648</v>
      </c>
      <c r="B21" s="190" t="s">
        <v>666</v>
      </c>
      <c r="D21" s="311" t="s">
        <v>324</v>
      </c>
      <c r="E21" s="326">
        <v>1.3</v>
      </c>
      <c r="F21" s="327">
        <f>25+((E21*(B31+B32)/2/0.3048/100)-32)/1.8</f>
        <v>40.987532808398953</v>
      </c>
      <c r="G21" s="359">
        <f>60+(E21*(B31+B32)/2/0.3048/100)</f>
        <v>120.7775590551181</v>
      </c>
      <c r="H21" s="139"/>
      <c r="I21" s="187" t="s">
        <v>534</v>
      </c>
      <c r="J21" s="140" t="s">
        <v>438</v>
      </c>
      <c r="K21" s="307" t="str">
        <f t="shared" si="1"/>
        <v/>
      </c>
      <c r="L21" s="295" t="s">
        <v>229</v>
      </c>
      <c r="M21" s="296" t="s">
        <v>298</v>
      </c>
      <c r="N21" s="296" t="s">
        <v>299</v>
      </c>
      <c r="O21" s="304" t="s">
        <v>300</v>
      </c>
      <c r="Q21" s="74"/>
      <c r="R21" t="s">
        <v>581</v>
      </c>
      <c r="S21" s="489" t="s">
        <v>205</v>
      </c>
      <c r="T21" s="228" t="s">
        <v>591</v>
      </c>
      <c r="U21" s="68">
        <f>ROUNDUP(IFERROR(VLOOKUP(R21,$A$79:$D$87,3,0),0)+IFERROR(VLOOKUP(R21,$F$79:$I$87,3,0),0)+IFERROR(VLOOKUP(R21,$A$96:$D$104,3,0),0)+IFERROR(VLOOKUP(R21,$F$96:$I$104,3,0),0)+IFERROR(VLOOKUP(R21,$A$113:$D$121,3,0),0)+IFERROR(VLOOKUP(R21,$F$113:$I$121,3,0),0),0)</f>
        <v>0</v>
      </c>
      <c r="V21" s="406"/>
      <c r="W21" s="74">
        <v>200</v>
      </c>
      <c r="X21" s="139" t="s">
        <v>372</v>
      </c>
      <c r="Y21" s="73">
        <v>1</v>
      </c>
      <c r="Z21" s="68">
        <v>1</v>
      </c>
      <c r="AA21" s="73">
        <v>2</v>
      </c>
      <c r="AB21" s="68">
        <v>1</v>
      </c>
      <c r="AC21" s="73">
        <v>1</v>
      </c>
      <c r="AD21" s="68">
        <v>1</v>
      </c>
      <c r="AE21" s="408"/>
      <c r="AF21" s="409"/>
      <c r="AJ21" s="187" t="s">
        <v>649</v>
      </c>
      <c r="AL21" s="74" t="s">
        <v>708</v>
      </c>
      <c r="AM21" s="49">
        <v>100</v>
      </c>
    </row>
    <row r="22" spans="1:39" ht="13.5" thickBot="1" x14ac:dyDescent="0.25">
      <c r="A22" s="11" t="s">
        <v>649</v>
      </c>
      <c r="B22" s="190" t="s">
        <v>666</v>
      </c>
      <c r="H22" s="139"/>
      <c r="I22" s="224" t="s">
        <v>535</v>
      </c>
      <c r="K22" s="307" t="str">
        <f>IF(AND($B$18=L22,$C$18=M22),2,"")</f>
        <v/>
      </c>
      <c r="L22" s="305"/>
      <c r="M22" s="297"/>
      <c r="N22" s="297"/>
      <c r="O22" s="297"/>
      <c r="Q22" s="74"/>
      <c r="R22" t="s">
        <v>582</v>
      </c>
      <c r="S22" s="489" t="s">
        <v>205</v>
      </c>
      <c r="T22" s="228" t="s">
        <v>591</v>
      </c>
      <c r="U22" s="68">
        <f>ROUNDUP(IFERROR(VLOOKUP(R22,$A$79:$D$87,3,0),0)+IFERROR(VLOOKUP(R22,$F$79:$I$87,3,0),0)+IFERROR(VLOOKUP(R22,$A$96:$D$104,3,0),0)+IFERROR(VLOOKUP(R22,$F$96:$I$104,3,0),0)+IFERROR(VLOOKUP(R22,$A$113:$D$121,3,0),0)+IFERROR(VLOOKUP(R22,$F$113:$I$121,3,0),0),0)</f>
        <v>0</v>
      </c>
      <c r="V22" s="406"/>
      <c r="W22" s="74">
        <v>250</v>
      </c>
      <c r="X22" s="139" t="s">
        <v>373</v>
      </c>
      <c r="Y22" s="73">
        <v>2</v>
      </c>
      <c r="Z22" s="68">
        <v>1</v>
      </c>
      <c r="AA22" s="73">
        <v>3</v>
      </c>
      <c r="AB22" s="68">
        <v>1.5</v>
      </c>
      <c r="AC22" s="73">
        <v>2</v>
      </c>
      <c r="AD22" s="68">
        <v>1.5</v>
      </c>
      <c r="AE22" s="408"/>
      <c r="AF22" s="409"/>
      <c r="AJ22" s="187" t="s">
        <v>650</v>
      </c>
      <c r="AL22" s="74"/>
      <c r="AM22" s="49"/>
    </row>
    <row r="23" spans="1:39" ht="13.5" thickBot="1" x14ac:dyDescent="0.25">
      <c r="A23" s="11" t="s">
        <v>650</v>
      </c>
      <c r="B23" s="190" t="s">
        <v>666</v>
      </c>
      <c r="D23" s="311" t="s">
        <v>325</v>
      </c>
      <c r="E23" s="328">
        <v>0.75</v>
      </c>
      <c r="F23" s="329">
        <f>E23*((B31+B32)/2/0.3048)</f>
        <v>3506.3976377952754</v>
      </c>
      <c r="G23" s="228" t="s">
        <v>326</v>
      </c>
      <c r="H23" s="139"/>
      <c r="I23" s="138" t="s">
        <v>262</v>
      </c>
      <c r="K23" s="307" t="str">
        <f t="shared" ref="K23:K29" si="4">IF(AND($B$18=L23,$C$18=M23),2,"")</f>
        <v/>
      </c>
      <c r="L23" s="300">
        <v>2.375</v>
      </c>
      <c r="M23" s="297">
        <v>4.5999999999999996</v>
      </c>
      <c r="N23" s="297">
        <v>1.9950000000000001</v>
      </c>
      <c r="O23" s="299">
        <f>N23*N23*0.5067</f>
        <v>2.0166786675000004</v>
      </c>
      <c r="Q23" s="74"/>
      <c r="U23" s="68"/>
      <c r="V23" s="406"/>
      <c r="W23" s="75">
        <v>350</v>
      </c>
      <c r="X23" s="139" t="s">
        <v>374</v>
      </c>
      <c r="Y23" s="73">
        <v>3</v>
      </c>
      <c r="Z23" s="68">
        <v>1.5</v>
      </c>
      <c r="AA23" s="73">
        <v>4</v>
      </c>
      <c r="AB23" s="68">
        <v>2</v>
      </c>
      <c r="AC23" s="73">
        <v>3</v>
      </c>
      <c r="AD23" s="68">
        <v>2</v>
      </c>
      <c r="AE23" s="408"/>
      <c r="AF23" s="409"/>
      <c r="AJ23" s="187" t="s">
        <v>651</v>
      </c>
      <c r="AL23" s="74"/>
      <c r="AM23" s="49"/>
    </row>
    <row r="24" spans="1:39" ht="13.5" thickBot="1" x14ac:dyDescent="0.25">
      <c r="A24" s="11" t="s">
        <v>651</v>
      </c>
      <c r="B24" s="190" t="s">
        <v>666</v>
      </c>
      <c r="F24" s="329">
        <f>F23-(0.052*8.34*(B31+B32)/2/0.3048)</f>
        <v>1478.8582677165357</v>
      </c>
      <c r="G24" s="228" t="s">
        <v>327</v>
      </c>
      <c r="H24" s="139"/>
      <c r="I24" s="139" t="s">
        <v>428</v>
      </c>
      <c r="K24" s="307" t="str">
        <f t="shared" si="4"/>
        <v/>
      </c>
      <c r="L24" s="300">
        <v>2.875</v>
      </c>
      <c r="M24" s="297">
        <v>6.5</v>
      </c>
      <c r="N24" s="297">
        <v>2.4409999999999998</v>
      </c>
      <c r="O24" s="299">
        <f>N24*N24*0.5067</f>
        <v>3.0191623226999997</v>
      </c>
      <c r="Q24" s="74"/>
      <c r="R24" t="s">
        <v>606</v>
      </c>
      <c r="S24" s="489" t="s">
        <v>205</v>
      </c>
      <c r="T24" s="228" t="s">
        <v>607</v>
      </c>
      <c r="U24" s="68">
        <f>ROUNDUP(IFERROR(VLOOKUP(R24,$A$79:$D$87,3,0),0)+IFERROR(VLOOKUP(R24,$F$79:$I$87,3,0),0)+IFERROR(VLOOKUP(R24,$A$96:$D$104,3,0),0)+IFERROR(VLOOKUP(R24,$F$96:$I$104,3,0),0)+IFERROR(VLOOKUP(R24,$A$113:$D$121,3,0),0)+IFERROR(VLOOKUP(R24,$F$113:$I$121,3,0),0),0)</f>
        <v>0</v>
      </c>
      <c r="V24" s="406"/>
      <c r="W24" s="408"/>
      <c r="X24" s="356" t="str">
        <f>IF(G21&lt;W21,X21,IF(G21&lt;W22,X22,IF(G21&lt;W23,X23,"fuera de rango")))</f>
        <v>Below 200°F(93°C)</v>
      </c>
      <c r="Y24" s="360">
        <f>VLOOKUP($X$24,$X$21:$AD$23,2,FALSE)</f>
        <v>1</v>
      </c>
      <c r="Z24" s="363">
        <f>VLOOKUP($X$24,$X$21:$AD$23,3,FALSE)</f>
        <v>1</v>
      </c>
      <c r="AA24" s="360">
        <f>VLOOKUP($X$24,$X$21:$AD$23,4,FALSE)</f>
        <v>2</v>
      </c>
      <c r="AB24" s="363">
        <f>VLOOKUP($X$24,$X$21:$AD$23,5,FALSE)</f>
        <v>1</v>
      </c>
      <c r="AC24" s="360">
        <f>VLOOKUP($X$24,$X$21:$AD$23,6,FALSE)</f>
        <v>1</v>
      </c>
      <c r="AD24" s="363">
        <f>VLOOKUP($X$24,$X$21:$AD$23,7,FALSE)</f>
        <v>1</v>
      </c>
      <c r="AE24" s="361">
        <f>HLOOKUP(H29,Y19:AD24,6,FALSE)</f>
        <v>1</v>
      </c>
      <c r="AF24" s="409"/>
      <c r="AJ24" s="187" t="s">
        <v>537</v>
      </c>
      <c r="AL24" s="74"/>
      <c r="AM24" s="49"/>
    </row>
    <row r="25" spans="1:39" ht="13.5" thickBot="1" x14ac:dyDescent="0.25">
      <c r="A25" s="12" t="s">
        <v>350</v>
      </c>
      <c r="B25" s="190">
        <v>1588.74</v>
      </c>
      <c r="D25" s="318">
        <f>B77</f>
        <v>9000</v>
      </c>
      <c r="E25" s="577" t="str">
        <f>A76</f>
        <v>Dispersante</v>
      </c>
      <c r="H25" s="139"/>
      <c r="I25" s="139" t="s">
        <v>429</v>
      </c>
      <c r="K25" s="307">
        <f t="shared" si="4"/>
        <v>2</v>
      </c>
      <c r="L25" s="300">
        <v>3.5</v>
      </c>
      <c r="M25" s="297">
        <v>9.1999999999999993</v>
      </c>
      <c r="N25" s="297">
        <v>2.992</v>
      </c>
      <c r="O25" s="299">
        <f>N25*N25*0.5067</f>
        <v>4.5360108288000003</v>
      </c>
      <c r="Q25" s="74"/>
      <c r="U25" s="68"/>
      <c r="V25" s="406"/>
      <c r="W25" s="408"/>
      <c r="X25" s="408"/>
      <c r="Y25" s="362">
        <f>Z24</f>
        <v>1</v>
      </c>
      <c r="Z25" s="408"/>
      <c r="AA25" s="370">
        <f>AB24</f>
        <v>1</v>
      </c>
      <c r="AB25" s="408"/>
      <c r="AC25" s="362">
        <f>AD24</f>
        <v>1</v>
      </c>
      <c r="AD25" s="408"/>
      <c r="AE25" s="371">
        <f>HLOOKUP(H29,Y19:AD25,7,FALSE)</f>
        <v>1</v>
      </c>
      <c r="AF25" s="409"/>
      <c r="AJ25" s="187" t="s">
        <v>264</v>
      </c>
      <c r="AL25" s="74"/>
      <c r="AM25" s="49"/>
    </row>
    <row r="26" spans="1:39" ht="13.5" thickBot="1" x14ac:dyDescent="0.25">
      <c r="A26" s="12" t="s">
        <v>349</v>
      </c>
      <c r="B26" s="190">
        <v>1479.05</v>
      </c>
      <c r="D26" s="318">
        <f>G77</f>
        <v>25000</v>
      </c>
      <c r="E26" s="577" t="str">
        <f>H76</f>
        <v>DS562</v>
      </c>
      <c r="F26" s="228" t="s">
        <v>150</v>
      </c>
      <c r="H26" s="139"/>
      <c r="I26" s="187" t="s">
        <v>434</v>
      </c>
      <c r="K26" s="307" t="str">
        <f t="shared" si="4"/>
        <v/>
      </c>
      <c r="L26" s="297"/>
      <c r="M26" s="297"/>
      <c r="N26" s="297"/>
      <c r="O26" s="301"/>
      <c r="Q26" s="74"/>
      <c r="R26" s="228" t="s">
        <v>296</v>
      </c>
      <c r="T26" s="228"/>
      <c r="U26" s="68"/>
      <c r="V26" s="406"/>
      <c r="W26" s="408"/>
      <c r="X26" s="357" t="s">
        <v>375</v>
      </c>
      <c r="Y26" s="408"/>
      <c r="Z26" s="408"/>
      <c r="AA26" s="408"/>
      <c r="AB26" s="408"/>
      <c r="AC26" s="408"/>
      <c r="AD26" s="408"/>
      <c r="AE26" s="408"/>
      <c r="AF26" s="409"/>
      <c r="AJ26" s="187" t="s">
        <v>435</v>
      </c>
      <c r="AL26" s="74"/>
      <c r="AM26" s="49"/>
    </row>
    <row r="27" spans="1:39" ht="13.5" thickBot="1" x14ac:dyDescent="0.25">
      <c r="A27" s="12" t="s">
        <v>653</v>
      </c>
      <c r="B27" s="190">
        <v>1453.97</v>
      </c>
      <c r="D27" s="318">
        <f>G94</f>
        <v>40000</v>
      </c>
      <c r="E27" s="577" t="str">
        <f>H93</f>
        <v>DS561 + HF (3%)</v>
      </c>
      <c r="F27" s="228" t="s">
        <v>151</v>
      </c>
      <c r="H27" s="319"/>
      <c r="I27" s="140" t="s">
        <v>459</v>
      </c>
      <c r="K27" s="307" t="str">
        <f t="shared" si="4"/>
        <v/>
      </c>
      <c r="L27" s="301"/>
      <c r="M27" s="297"/>
      <c r="N27" s="297"/>
      <c r="O27" s="301"/>
      <c r="Q27" s="74"/>
      <c r="R27" s="228" t="s">
        <v>297</v>
      </c>
      <c r="S27" s="489" t="s">
        <v>206</v>
      </c>
      <c r="T27" s="228" t="s">
        <v>592</v>
      </c>
      <c r="U27" s="68">
        <f>ROUNDUP(IFERROR(VLOOKUP(R27,$A$79:$D$87,3,0),0)+IFERROR(VLOOKUP(R27,$F$79:$I$87,3,0),0)+IFERROR(VLOOKUP(R27,$A$96:$D$104,3,0),0)+IFERROR(VLOOKUP(R27,$F$96:$I$104,3,0),0)+IFERROR(VLOOKUP(R27,$A$113:$D$121,3,0),0)+IFERROR(VLOOKUP(R27,$F$113:$I$121,3,0),0),0)</f>
        <v>0</v>
      </c>
      <c r="V27" s="406"/>
      <c r="W27" s="408"/>
      <c r="X27" s="358" t="s">
        <v>376</v>
      </c>
      <c r="Y27" s="408"/>
      <c r="Z27" s="408"/>
      <c r="AA27" s="408"/>
      <c r="AB27" s="408"/>
      <c r="AC27" s="408"/>
      <c r="AD27" s="408"/>
      <c r="AE27" s="408"/>
      <c r="AF27" s="409"/>
      <c r="AJ27" s="224" t="s">
        <v>652</v>
      </c>
      <c r="AL27" s="293"/>
      <c r="AM27" s="49"/>
    </row>
    <row r="28" spans="1:39" ht="13.5" thickBot="1" x14ac:dyDescent="0.25">
      <c r="A28" s="12" t="s">
        <v>654</v>
      </c>
      <c r="B28" s="190">
        <v>1360.98</v>
      </c>
      <c r="D28" s="318">
        <f>B94</f>
        <v>15000</v>
      </c>
      <c r="E28" s="577" t="str">
        <f>C93</f>
        <v>DS562</v>
      </c>
      <c r="F28" s="228" t="s">
        <v>152</v>
      </c>
      <c r="H28" s="7" t="s">
        <v>375</v>
      </c>
      <c r="I28" t="s">
        <v>396</v>
      </c>
      <c r="K28" s="307" t="str">
        <f t="shared" si="4"/>
        <v/>
      </c>
      <c r="L28" s="301"/>
      <c r="M28" s="297"/>
      <c r="N28" s="297"/>
      <c r="O28" s="301"/>
      <c r="Q28" s="74"/>
      <c r="R28" s="228" t="s">
        <v>535</v>
      </c>
      <c r="S28" s="70" t="s">
        <v>205</v>
      </c>
      <c r="T28" s="228" t="s">
        <v>208</v>
      </c>
      <c r="U28" s="68">
        <f>ROUNDUP(IFERROR(VLOOKUP(R28,$A$79:$D$87,3,0),0)+IFERROR(VLOOKUP(R28,$F$79:$I$87,3,0),0)+IFERROR(VLOOKUP(R28,$A$96:$D$104,3,0),0)+IFERROR(VLOOKUP(R28,$F$96:$I$104,3,0),0)+IFERROR(VLOOKUP(R28,$A$113:$D$121,3,0),0)+IFERROR(VLOOKUP(R28,$F$113:$I$121,3,0),0),0)</f>
        <v>0</v>
      </c>
      <c r="V28" s="406"/>
      <c r="W28" s="408"/>
      <c r="X28" s="234" t="s">
        <v>377</v>
      </c>
      <c r="Y28" s="79">
        <v>2</v>
      </c>
      <c r="Z28" s="79" t="s">
        <v>378</v>
      </c>
      <c r="AA28" s="79"/>
      <c r="AB28" s="79"/>
      <c r="AC28" s="79"/>
      <c r="AD28" s="80"/>
      <c r="AE28" s="408"/>
      <c r="AF28" s="409"/>
      <c r="AL28" s="74"/>
      <c r="AM28" s="49"/>
    </row>
    <row r="29" spans="1:39" ht="13.5" thickBot="1" x14ac:dyDescent="0.25">
      <c r="A29" s="12" t="s">
        <v>655</v>
      </c>
      <c r="B29" s="190">
        <v>1203.17</v>
      </c>
      <c r="H29" s="7" t="s">
        <v>368</v>
      </c>
      <c r="I29" t="s">
        <v>397</v>
      </c>
      <c r="K29" s="308" t="str">
        <f t="shared" si="4"/>
        <v/>
      </c>
      <c r="L29" s="306"/>
      <c r="M29" s="306"/>
      <c r="N29" s="306"/>
      <c r="O29" s="306"/>
      <c r="Q29" s="74"/>
      <c r="R29" s="228" t="s">
        <v>637</v>
      </c>
      <c r="S29" s="70" t="s">
        <v>205</v>
      </c>
      <c r="T29" s="228" t="s">
        <v>208</v>
      </c>
      <c r="U29" s="68">
        <f>ROUNDUP(IFERROR(VLOOKUP(R29,$A$79:$D$87,3,0),0)+IFERROR(VLOOKUP(R29,$F$79:$I$87,3,0),0)+IFERROR(VLOOKUP(R29,$A$96:$D$104,3,0),0)+IFERROR(VLOOKUP(R29,$F$96:$I$104,3,0),0)+IFERROR(VLOOKUP(R29,$A$113:$D$121,3,0),0)+IFERROR(VLOOKUP(R29,$F$113:$I$121,3,0),0),0)</f>
        <v>890</v>
      </c>
      <c r="V29" s="406"/>
      <c r="W29" s="408"/>
      <c r="X29" s="81" t="s">
        <v>379</v>
      </c>
      <c r="Y29">
        <v>109</v>
      </c>
      <c r="Z29" t="s">
        <v>380</v>
      </c>
      <c r="AD29" s="82"/>
      <c r="AE29" s="408"/>
      <c r="AF29" s="409"/>
      <c r="AL29" s="74"/>
      <c r="AM29" s="49"/>
    </row>
    <row r="30" spans="1:39" ht="13.5" thickBot="1" x14ac:dyDescent="0.25">
      <c r="A30" s="12" t="s">
        <v>656</v>
      </c>
      <c r="B30" s="190" t="s">
        <v>666</v>
      </c>
      <c r="D30" s="317">
        <f>D32/2</f>
        <v>3903.5</v>
      </c>
      <c r="E30" s="7" t="s">
        <v>438</v>
      </c>
      <c r="F30" t="s">
        <v>439</v>
      </c>
      <c r="H30" s="190"/>
      <c r="I30" t="s">
        <v>398</v>
      </c>
      <c r="Q30" s="74"/>
      <c r="T30" s="228"/>
      <c r="U30" s="68"/>
      <c r="V30" s="406"/>
      <c r="W30" s="408"/>
      <c r="X30" s="81" t="s">
        <v>381</v>
      </c>
      <c r="Y30">
        <v>37.299999999999997</v>
      </c>
      <c r="Z30" t="s">
        <v>382</v>
      </c>
      <c r="AD30" s="82"/>
      <c r="AE30" s="408"/>
      <c r="AF30" s="409"/>
      <c r="AL30" s="74"/>
      <c r="AM30" s="49"/>
    </row>
    <row r="31" spans="1:39" ht="13.5" thickBot="1" x14ac:dyDescent="0.25">
      <c r="A31" s="6" t="s">
        <v>9</v>
      </c>
      <c r="B31" s="473">
        <f>A71</f>
        <v>1234</v>
      </c>
      <c r="H31" s="181"/>
      <c r="I31" t="s">
        <v>399</v>
      </c>
      <c r="M31" s="344" t="s">
        <v>353</v>
      </c>
      <c r="N31" s="345">
        <f>ROUND(B19*D18+(B31-B19)*D17-B37+B39,0)</f>
        <v>2631</v>
      </c>
      <c r="O31" s="627" t="s">
        <v>457</v>
      </c>
      <c r="Q31" s="74"/>
      <c r="R31" s="228" t="s">
        <v>597</v>
      </c>
      <c r="S31" s="489" t="s">
        <v>205</v>
      </c>
      <c r="T31" s="228" t="s">
        <v>598</v>
      </c>
      <c r="U31" s="68">
        <f>ROUNDUP(IFERROR(VLOOKUP(R31,$A$79:$D$87,3,0),0)+IFERROR(VLOOKUP(R31,$F$79:$I$87,3,0),0)+IFERROR(VLOOKUP(R31,$A$96:$D$104,3,0),0)+IFERROR(VLOOKUP(R31,$F$96:$I$104,3,0),0)+IFERROR(VLOOKUP(R31,$A$113:$D$121,3,0),0)+IFERROR(VLOOKUP(R31,$F$113:$I$121,3,0),0),0)</f>
        <v>0</v>
      </c>
      <c r="V31" s="406"/>
      <c r="W31" s="408"/>
      <c r="X31" s="81" t="s">
        <v>587</v>
      </c>
      <c r="Y31">
        <v>40</v>
      </c>
      <c r="Z31" s="228" t="s">
        <v>406</v>
      </c>
      <c r="AD31" s="414"/>
      <c r="AE31" s="408"/>
      <c r="AF31" s="409"/>
      <c r="AL31" s="74"/>
      <c r="AM31" s="49"/>
    </row>
    <row r="32" spans="1:39" ht="13.5" thickBot="1" x14ac:dyDescent="0.25">
      <c r="B32" s="473">
        <f>B71</f>
        <v>1616</v>
      </c>
      <c r="D32" s="317">
        <f>VLOOKUP(E32,M31:N36,2,0)</f>
        <v>7807</v>
      </c>
      <c r="E32" s="7" t="s">
        <v>352</v>
      </c>
      <c r="F32" t="s">
        <v>153</v>
      </c>
      <c r="H32" s="618" t="str">
        <f>IF(H30=0,"",IF(H28="Ácido Benzoico",W42,W44))</f>
        <v/>
      </c>
      <c r="I32" s="619"/>
      <c r="J32" s="619"/>
      <c r="K32" s="619"/>
      <c r="L32" s="620"/>
      <c r="M32" s="346" t="s">
        <v>352</v>
      </c>
      <c r="N32" s="347">
        <f>IFERROR(ROUND(D18*B25-B37+B39,0),"")</f>
        <v>7807</v>
      </c>
      <c r="O32" s="627"/>
      <c r="Q32" s="74"/>
      <c r="R32" s="228" t="s">
        <v>596</v>
      </c>
      <c r="S32" s="70" t="s">
        <v>205</v>
      </c>
      <c r="T32" s="228" t="s">
        <v>250</v>
      </c>
      <c r="U32" s="68">
        <f>ROUNDUP(IFERROR(VLOOKUP(R32,$A$79:$D$87,3,0),0)+IFERROR(VLOOKUP(R32,$F$79:$I$87,3,0),0)+IFERROR(VLOOKUP(R32,$A$96:$D$104,3,0),0)+IFERROR(VLOOKUP(R32,$F$96:$I$104,3,0),0)+IFERROR(VLOOKUP(R32,$A$113:$D$121,3,0),0)+IFERROR(VLOOKUP(R32,$F$113:$I$121,3,0),0),0)</f>
        <v>0</v>
      </c>
      <c r="V32" s="406"/>
      <c r="W32" s="632" t="s">
        <v>383</v>
      </c>
      <c r="X32" s="631"/>
      <c r="Y32" s="632" t="s">
        <v>384</v>
      </c>
      <c r="Z32" s="630"/>
      <c r="AA32" s="630"/>
      <c r="AB32" s="630"/>
      <c r="AC32" s="630"/>
      <c r="AD32" s="631"/>
      <c r="AE32" s="408"/>
      <c r="AF32" s="409"/>
      <c r="AL32" s="74"/>
      <c r="AM32" s="49"/>
    </row>
    <row r="33" spans="1:39" ht="13.5" thickBot="1" x14ac:dyDescent="0.25">
      <c r="A33" s="23" t="s">
        <v>11</v>
      </c>
      <c r="B33" s="473">
        <f>C72</f>
        <v>170</v>
      </c>
      <c r="D33" s="318"/>
      <c r="E33" s="352" t="str">
        <f>E25</f>
        <v>Dispersante</v>
      </c>
      <c r="F33" t="s">
        <v>292</v>
      </c>
      <c r="H33" s="624" t="str">
        <f>IF(H30=0,"",IF(H28="Ácido Benzoico",W43,W45))</f>
        <v/>
      </c>
      <c r="I33" s="625"/>
      <c r="J33" s="625"/>
      <c r="K33" s="625"/>
      <c r="L33" s="626"/>
      <c r="M33" s="346" t="s">
        <v>351</v>
      </c>
      <c r="N33" s="347">
        <f>IFERROR(ROUND(D18*B26-B37+B39,0),"")</f>
        <v>7309</v>
      </c>
      <c r="O33" s="627"/>
      <c r="Q33" s="74"/>
      <c r="U33" s="68"/>
      <c r="V33" s="406"/>
      <c r="W33" s="365" t="s">
        <v>391</v>
      </c>
      <c r="X33" s="366" t="str">
        <f>H28</f>
        <v>Ácido Benzoico</v>
      </c>
      <c r="Y33" s="376" t="s">
        <v>385</v>
      </c>
      <c r="Z33" s="70"/>
      <c r="AA33" s="364">
        <f>AE24*X35/0.3048*X36</f>
        <v>0</v>
      </c>
      <c r="AB33" s="228" t="s">
        <v>386</v>
      </c>
      <c r="AD33" s="49"/>
      <c r="AE33" s="408"/>
      <c r="AF33" s="409"/>
      <c r="AL33" s="74"/>
      <c r="AM33" s="49"/>
    </row>
    <row r="34" spans="1:39" ht="13.5" thickBot="1" x14ac:dyDescent="0.25">
      <c r="A34" s="103" t="s">
        <v>344</v>
      </c>
      <c r="B34" s="474">
        <f>C73</f>
        <v>170</v>
      </c>
      <c r="D34" s="318"/>
      <c r="E34" s="318" t="s">
        <v>390</v>
      </c>
      <c r="F34" s="351">
        <v>0.3</v>
      </c>
      <c r="H34" s="624" t="str">
        <f>IF(H30=0,"",CONCATENATE("Volumen total de divergente a preparar: ",ROUND(AC35,0)," lts."))</f>
        <v/>
      </c>
      <c r="I34" s="625"/>
      <c r="J34" s="625"/>
      <c r="K34" s="625"/>
      <c r="L34" s="626"/>
      <c r="M34" s="348" t="s">
        <v>456</v>
      </c>
      <c r="N34" s="404">
        <f>ROUND(D18*B19-B37+B39,0)</f>
        <v>7246</v>
      </c>
      <c r="O34" s="627"/>
      <c r="Q34" s="74"/>
      <c r="U34" s="68"/>
      <c r="V34" s="406"/>
      <c r="W34" s="365" t="s">
        <v>392</v>
      </c>
      <c r="X34" s="366" t="str">
        <f>H29</f>
        <v>Con CSG</v>
      </c>
      <c r="Y34" s="74"/>
      <c r="AA34" s="364">
        <f>AA33*0.4538</f>
        <v>0</v>
      </c>
      <c r="AB34" s="228" t="s">
        <v>206</v>
      </c>
      <c r="AD34" s="49"/>
      <c r="AE34" s="408"/>
      <c r="AF34" s="409"/>
      <c r="AL34" s="74"/>
      <c r="AM34" s="49"/>
    </row>
    <row r="35" spans="1:39" ht="13.5" thickBot="1" x14ac:dyDescent="0.25">
      <c r="A35" s="11" t="s">
        <v>262</v>
      </c>
      <c r="B35" s="190">
        <v>2008</v>
      </c>
      <c r="D35" s="317">
        <f>D32</f>
        <v>7807</v>
      </c>
      <c r="E35" s="228" t="s">
        <v>153</v>
      </c>
      <c r="H35" s="621" t="str">
        <f>IF(H30=0,"",CONCATENATE("Bombear divergente en ",H31," bache/s de ",ROUND(AC35/H31,0)," lts."))</f>
        <v/>
      </c>
      <c r="I35" s="622"/>
      <c r="J35" s="622"/>
      <c r="K35" s="622"/>
      <c r="L35" s="623"/>
      <c r="M35" s="355" t="s">
        <v>362</v>
      </c>
      <c r="N35" s="353">
        <f>ROUND(IF(B19&lt;B31,D19*B19+(B31-B19)*D17-B38+B39,D19*B31),0)</f>
        <v>16969</v>
      </c>
      <c r="O35" s="628" t="s">
        <v>361</v>
      </c>
      <c r="Q35" s="74"/>
      <c r="T35" s="228"/>
      <c r="U35" s="68"/>
      <c r="V35" s="406"/>
      <c r="W35" s="365" t="s">
        <v>393</v>
      </c>
      <c r="X35" s="366">
        <f>H30</f>
        <v>0</v>
      </c>
      <c r="Y35" s="376" t="s">
        <v>387</v>
      </c>
      <c r="Z35" s="70"/>
      <c r="AA35" s="364">
        <f>AA33/AE25</f>
        <v>0</v>
      </c>
      <c r="AB35" s="228" t="s">
        <v>395</v>
      </c>
      <c r="AC35" s="364">
        <f>AA33/AE25*3.785</f>
        <v>0</v>
      </c>
      <c r="AD35" s="49" t="s">
        <v>241</v>
      </c>
      <c r="AE35" s="408"/>
      <c r="AF35" s="409"/>
      <c r="AL35" s="75"/>
      <c r="AM35" s="107"/>
    </row>
    <row r="36" spans="1:39" ht="13.5" thickBot="1" x14ac:dyDescent="0.25">
      <c r="A36" s="103" t="s">
        <v>469</v>
      </c>
      <c r="B36" s="190" t="s">
        <v>230</v>
      </c>
      <c r="M36" s="355" t="s">
        <v>416</v>
      </c>
      <c r="N36" s="353">
        <f>ROUND(D19*B19-B38+B39,0)</f>
        <v>20748</v>
      </c>
      <c r="O36" s="628"/>
      <c r="Q36" s="74"/>
      <c r="R36" t="s">
        <v>426</v>
      </c>
      <c r="S36" s="489" t="s">
        <v>205</v>
      </c>
      <c r="T36" s="228" t="s">
        <v>427</v>
      </c>
      <c r="U36" s="68">
        <f>ROUNDUP(IFERROR(VLOOKUP(R36,$A$79:$D$87,3,0),0)+IFERROR(VLOOKUP(R36,$F$79:$I$87,3,0),0)+IFERROR(VLOOKUP(R36,$A$96:$D$104,3,0),0)+IFERROR(VLOOKUP(R36,$F$96:$I$104,3,0),0)+IFERROR(VLOOKUP(R36,$A$113:$D$121,3,0),0)+IFERROR(VLOOKUP(R36,$F$113:$I$121,3,0),0),0)</f>
        <v>0</v>
      </c>
      <c r="V36" s="406"/>
      <c r="W36" s="367" t="s">
        <v>394</v>
      </c>
      <c r="X36" s="368">
        <f>VLOOKUP(1,K3:O20,4,FALSE)</f>
        <v>6.2759999999999998</v>
      </c>
      <c r="Y36" s="367" t="s">
        <v>409</v>
      </c>
      <c r="Z36" s="378">
        <f>AC35*Y31/1000</f>
        <v>0</v>
      </c>
      <c r="AA36" s="377">
        <f>AA35/42</f>
        <v>0</v>
      </c>
      <c r="AB36" s="76" t="s">
        <v>388</v>
      </c>
      <c r="AC36" s="106"/>
      <c r="AD36" s="107"/>
      <c r="AE36" s="408"/>
      <c r="AF36" s="409"/>
    </row>
    <row r="37" spans="1:39" ht="13.5" thickBot="1" x14ac:dyDescent="0.25">
      <c r="A37" s="103" t="s">
        <v>471</v>
      </c>
      <c r="B37" s="417">
        <f>IFERROR(B36*D18,0)</f>
        <v>0</v>
      </c>
      <c r="D37" s="311" t="s">
        <v>467</v>
      </c>
      <c r="E37" s="415">
        <v>4</v>
      </c>
      <c r="I37" s="228"/>
      <c r="M37" s="379"/>
      <c r="N37" s="404"/>
      <c r="O37" s="628"/>
      <c r="Q37" s="74"/>
      <c r="R37" s="228" t="s">
        <v>599</v>
      </c>
      <c r="S37" s="489" t="s">
        <v>205</v>
      </c>
      <c r="T37" s="228" t="s">
        <v>600</v>
      </c>
      <c r="U37" s="68">
        <f>ROUNDUP(IFERROR(VLOOKUP(R37,$A$79:$D$87,3,0),0)+IFERROR(VLOOKUP(R37,$F$79:$I$87,3,0),0)+IFERROR(VLOOKUP(R37,$A$96:$D$104,3,0),0)+IFERROR(VLOOKUP(R37,$F$96:$I$104,3,0),0)+IFERROR(VLOOKUP(R37,$A$113:$D$121,3,0),0)+IFERROR(VLOOKUP(R37,$F$113:$I$121,3,0),0),0)</f>
        <v>0</v>
      </c>
      <c r="V37" s="406"/>
      <c r="W37" s="312" t="s">
        <v>405</v>
      </c>
      <c r="X37" s="372">
        <f>AA33/AE25</f>
        <v>0</v>
      </c>
      <c r="Y37" s="373" t="s">
        <v>395</v>
      </c>
      <c r="Z37" s="374">
        <f>X37/42</f>
        <v>0</v>
      </c>
      <c r="AA37" s="373" t="s">
        <v>388</v>
      </c>
      <c r="AB37" s="372">
        <f>Z37*158.9</f>
        <v>0</v>
      </c>
      <c r="AC37" s="373" t="s">
        <v>241</v>
      </c>
      <c r="AD37" s="46"/>
      <c r="AE37" s="408"/>
      <c r="AF37" s="409"/>
    </row>
    <row r="38" spans="1:39" ht="13.5" thickBot="1" x14ac:dyDescent="0.25">
      <c r="A38" s="103" t="s">
        <v>470</v>
      </c>
      <c r="B38" s="417">
        <f>IFERROR(B36*D19,0)</f>
        <v>0</v>
      </c>
      <c r="I38" s="228"/>
      <c r="Q38" s="74"/>
      <c r="R38" s="228" t="s">
        <v>601</v>
      </c>
      <c r="S38" s="489" t="s">
        <v>205</v>
      </c>
      <c r="T38" s="228" t="s">
        <v>601</v>
      </c>
      <c r="U38" s="68">
        <f>ROUNDUP(IFERROR(VLOOKUP(R38,$A$79:$D$87,3,0),0)+IFERROR(VLOOKUP(R38,$F$79:$I$87,3,0),0)+IFERROR(VLOOKUP(R38,$A$96:$D$104,3,0),0)+IFERROR(VLOOKUP(R38,$F$96:$I$104,3,0),0)+IFERROR(VLOOKUP(R38,$A$113:$D$121,3,0),0)+IFERROR(VLOOKUP(R38,$F$113:$I$121,3,0),0),0)</f>
        <v>0</v>
      </c>
      <c r="V38" s="406"/>
      <c r="W38" s="365" t="s">
        <v>400</v>
      </c>
      <c r="X38" s="364">
        <f>X37*Y30/42-X37*Y30/42*Y31/1000</f>
        <v>0</v>
      </c>
      <c r="Y38" s="228" t="s">
        <v>395</v>
      </c>
      <c r="Z38" s="375">
        <f>X38/42</f>
        <v>0</v>
      </c>
      <c r="AA38" s="228" t="s">
        <v>388</v>
      </c>
      <c r="AB38" s="364">
        <f>Z38*158.9</f>
        <v>0</v>
      </c>
      <c r="AC38" s="228" t="s">
        <v>241</v>
      </c>
      <c r="AD38" s="49"/>
      <c r="AE38" s="408"/>
      <c r="AF38" s="409"/>
    </row>
    <row r="39" spans="1:39" ht="13.5" thickBot="1" x14ac:dyDescent="0.25">
      <c r="A39" s="103" t="s">
        <v>472</v>
      </c>
      <c r="B39" s="416">
        <v>600</v>
      </c>
      <c r="I39" s="228"/>
      <c r="Q39" s="74"/>
      <c r="R39" s="228" t="s">
        <v>602</v>
      </c>
      <c r="S39" s="489" t="s">
        <v>205</v>
      </c>
      <c r="T39" s="228" t="s">
        <v>605</v>
      </c>
      <c r="U39" s="68">
        <f>ROUNDUP(IFERROR(VLOOKUP(R39,$A$79:$D$87,3,0),0)+IFERROR(VLOOKUP(R39,$F$79:$I$87,3,0),0)+IFERROR(VLOOKUP(R39,$A$96:$D$104,3,0),0)+IFERROR(VLOOKUP(R39,$F$96:$I$104,3,0),0)+IFERROR(VLOOKUP(R39,$A$113:$D$121,3,0),0)+IFERROR(VLOOKUP(R39,$F$113:$I$121,3,0),0),0)</f>
        <v>0</v>
      </c>
      <c r="V39" s="406"/>
      <c r="W39" s="365" t="s">
        <v>401</v>
      </c>
      <c r="X39" s="364">
        <f>X37*Y30/42*Y29/42</f>
        <v>0</v>
      </c>
      <c r="Y39" s="228" t="s">
        <v>402</v>
      </c>
      <c r="Z39" s="364">
        <f>X39*0.4538</f>
        <v>0</v>
      </c>
      <c r="AA39" s="228" t="s">
        <v>403</v>
      </c>
      <c r="AD39" s="49"/>
      <c r="AE39" s="408"/>
      <c r="AF39" s="409"/>
    </row>
    <row r="40" spans="1:39" ht="13.5" thickBot="1" x14ac:dyDescent="0.25">
      <c r="D40" s="644" t="s">
        <v>661</v>
      </c>
      <c r="E40" s="644"/>
      <c r="F40" s="644"/>
      <c r="G40" s="610"/>
      <c r="Q40" s="74"/>
      <c r="R40" s="228" t="s">
        <v>603</v>
      </c>
      <c r="S40" s="489" t="s">
        <v>205</v>
      </c>
      <c r="T40" t="s">
        <v>604</v>
      </c>
      <c r="U40" s="68">
        <f>ROUNDUP(IFERROR(VLOOKUP(R40,$A$79:$D$87,3,0),0)+IFERROR(VLOOKUP(R40,$F$79:$I$87,3,0),0)+IFERROR(VLOOKUP(R40,$A$96:$D$104,3,0),0)+IFERROR(VLOOKUP(R40,$F$96:$I$104,3,0),0)+IFERROR(VLOOKUP(R40,$A$113:$D$121,3,0),0)+IFERROR(VLOOKUP(R40,$F$113:$I$121,3,0),0),0)</f>
        <v>0</v>
      </c>
      <c r="V40" s="406"/>
      <c r="W40" s="365" t="s">
        <v>404</v>
      </c>
      <c r="X40" s="364">
        <f>Y31*AB38/1000</f>
        <v>0</v>
      </c>
      <c r="Y40" s="228" t="s">
        <v>241</v>
      </c>
      <c r="AD40" s="49"/>
      <c r="AE40" s="408"/>
      <c r="AF40" s="409"/>
    </row>
    <row r="41" spans="1:39" ht="13.5" thickBot="1" x14ac:dyDescent="0.25">
      <c r="D41" s="526" t="s">
        <v>150</v>
      </c>
      <c r="E41" s="579">
        <v>0.3</v>
      </c>
      <c r="F41" s="527">
        <f>E41*F43</f>
        <v>12000</v>
      </c>
      <c r="G41" s="610"/>
      <c r="H41" s="526" t="s">
        <v>150</v>
      </c>
      <c r="I41" s="617">
        <v>100</v>
      </c>
      <c r="J41" s="527">
        <f>I41*$C$73</f>
        <v>17000</v>
      </c>
      <c r="Q41" s="74"/>
      <c r="V41" s="406"/>
      <c r="W41" s="367" t="s">
        <v>407</v>
      </c>
      <c r="X41" s="369">
        <f>X37*Y28</f>
        <v>0</v>
      </c>
      <c r="Y41" s="76" t="s">
        <v>408</v>
      </c>
      <c r="Z41" s="369">
        <f>X41*0.4538</f>
        <v>0</v>
      </c>
      <c r="AA41" s="76" t="s">
        <v>206</v>
      </c>
      <c r="AB41" s="106"/>
      <c r="AC41" s="106"/>
      <c r="AD41" s="107"/>
      <c r="AE41" s="408"/>
      <c r="AF41" s="409"/>
    </row>
    <row r="42" spans="1:39" ht="13.5" thickBot="1" x14ac:dyDescent="0.25">
      <c r="D42" s="526" t="s">
        <v>150</v>
      </c>
      <c r="E42" s="579">
        <v>0.67</v>
      </c>
      <c r="F42" s="527">
        <f>E42*F43</f>
        <v>26800</v>
      </c>
      <c r="G42" s="610"/>
      <c r="H42" s="526" t="s">
        <v>150</v>
      </c>
      <c r="I42" s="617">
        <v>250</v>
      </c>
      <c r="J42" s="527">
        <f t="shared" ref="J42:J44" si="5">I42*$C$73</f>
        <v>42500</v>
      </c>
      <c r="Q42" s="74"/>
      <c r="V42" s="406"/>
      <c r="W42" s="618" t="str">
        <f>CONCATENATE("Acumular ",ROUND(AC35,0)," lts ( ",ROUND(AA36,0)," bbls ) de agua.")</f>
        <v>Acumular 0 lts ( 0 bbls ) de agua.</v>
      </c>
      <c r="X42" s="619"/>
      <c r="Y42" s="619"/>
      <c r="Z42" s="619"/>
      <c r="AA42" s="619"/>
      <c r="AB42" s="619"/>
      <c r="AC42" s="619"/>
      <c r="AD42" s="620"/>
      <c r="AE42" s="408"/>
      <c r="AF42" s="409"/>
    </row>
    <row r="43" spans="1:39" ht="13.5" thickBot="1" x14ac:dyDescent="0.25">
      <c r="D43" s="526" t="s">
        <v>662</v>
      </c>
      <c r="E43" s="579">
        <v>1</v>
      </c>
      <c r="F43" s="527">
        <f>G94</f>
        <v>40000</v>
      </c>
      <c r="G43" s="610"/>
      <c r="H43" s="526" t="s">
        <v>662</v>
      </c>
      <c r="I43" s="617">
        <v>500</v>
      </c>
      <c r="J43" s="527">
        <f t="shared" si="5"/>
        <v>85000</v>
      </c>
      <c r="Q43" s="74"/>
      <c r="V43" s="406"/>
      <c r="W43" s="621" t="str">
        <f>CONCATENATE("Agregar ",ROUND(Z36,0)," Lts de PDB-200 y luego ",ROUND(AA34,0)," kgs de ",X26)</f>
        <v>Agregar 0 Lts de PDB-200 y luego 0 kgs de Ácido Benzoico</v>
      </c>
      <c r="X43" s="622"/>
      <c r="Y43" s="622"/>
      <c r="Z43" s="622"/>
      <c r="AA43" s="622"/>
      <c r="AB43" s="622"/>
      <c r="AC43" s="622"/>
      <c r="AD43" s="623"/>
      <c r="AE43" s="408"/>
      <c r="AF43" s="409"/>
    </row>
    <row r="44" spans="1:39" ht="13.5" thickBot="1" x14ac:dyDescent="0.25">
      <c r="D44" s="526" t="s">
        <v>152</v>
      </c>
      <c r="E44" s="579">
        <v>0.5</v>
      </c>
      <c r="F44" s="527">
        <f>F43*E44</f>
        <v>20000</v>
      </c>
      <c r="G44" s="611"/>
      <c r="H44" s="526" t="s">
        <v>152</v>
      </c>
      <c r="I44" s="617">
        <v>150</v>
      </c>
      <c r="J44" s="527">
        <f t="shared" si="5"/>
        <v>25500</v>
      </c>
      <c r="Q44" s="74"/>
      <c r="V44" s="406"/>
      <c r="W44" s="618" t="str">
        <f>CONCATENATE("Acumular ",ROUND(X38,0)," lts de Agua y saturar con ",ROUND(Z39,0)," Kgs de Cloruro de sodio.")</f>
        <v>Acumular 0 lts de Agua y saturar con 0 Kgs de Cloruro de sodio.</v>
      </c>
      <c r="X44" s="619"/>
      <c r="Y44" s="619"/>
      <c r="Z44" s="619"/>
      <c r="AA44" s="619"/>
      <c r="AB44" s="619"/>
      <c r="AC44" s="619"/>
      <c r="AD44" s="620"/>
      <c r="AE44" s="408"/>
      <c r="AF44" s="409"/>
    </row>
    <row r="45" spans="1:39" ht="13.5" thickBot="1" x14ac:dyDescent="0.25">
      <c r="M45" s="641" t="s">
        <v>444</v>
      </c>
      <c r="N45" s="642"/>
      <c r="O45" s="643"/>
      <c r="Q45" s="74"/>
      <c r="V45" s="406"/>
      <c r="W45" s="621" t="str">
        <f>CONCATENATE("Agregar ",ROUND(X40,0)," Lts de PDB-200 y luego ",ROUND(Z41,0)," kgs de ",X27)</f>
        <v>Agregar 0 Lts de PDB-200 y luego 0 kgs de Cloruro de Sodio</v>
      </c>
      <c r="X45" s="622"/>
      <c r="Y45" s="622"/>
      <c r="Z45" s="622"/>
      <c r="AA45" s="622"/>
      <c r="AB45" s="622"/>
      <c r="AC45" s="622"/>
      <c r="AD45" s="623"/>
      <c r="AE45" s="408"/>
      <c r="AF45" s="409"/>
    </row>
    <row r="46" spans="1:39" ht="13.5" thickBot="1" x14ac:dyDescent="0.25">
      <c r="L46" s="228"/>
      <c r="M46" s="390" t="s">
        <v>445</v>
      </c>
      <c r="N46" s="391">
        <v>0.18</v>
      </c>
      <c r="P46" s="228"/>
      <c r="Q46" s="74"/>
      <c r="V46" s="406"/>
      <c r="W46" s="408"/>
      <c r="X46" s="408"/>
      <c r="Y46" s="408"/>
      <c r="Z46" s="408"/>
      <c r="AA46" s="408"/>
      <c r="AB46" s="408"/>
      <c r="AC46" s="408"/>
      <c r="AD46" s="408"/>
      <c r="AE46" s="408"/>
      <c r="AF46" s="409"/>
    </row>
    <row r="47" spans="1:39" ht="13.5" thickBot="1" x14ac:dyDescent="0.25">
      <c r="L47" s="228"/>
      <c r="M47" s="639" t="s">
        <v>447</v>
      </c>
      <c r="N47" s="387">
        <v>6</v>
      </c>
      <c r="O47" s="310" t="s">
        <v>446</v>
      </c>
      <c r="Q47" s="74"/>
      <c r="V47" s="407"/>
      <c r="W47" s="410"/>
      <c r="X47" s="410"/>
      <c r="Y47" s="410"/>
      <c r="Z47" s="410"/>
      <c r="AA47" s="410"/>
      <c r="AB47" s="410"/>
      <c r="AC47" s="410"/>
      <c r="AD47" s="410"/>
      <c r="AE47" s="410"/>
      <c r="AF47" s="411"/>
    </row>
    <row r="48" spans="1:39" ht="13.5" thickBot="1" x14ac:dyDescent="0.25">
      <c r="A48" s="321" t="s">
        <v>556</v>
      </c>
      <c r="B48" s="578"/>
      <c r="C48" s="578"/>
      <c r="D48" s="578"/>
      <c r="G48" s="460"/>
      <c r="H48" s="228"/>
      <c r="I48" s="228"/>
      <c r="L48" s="228"/>
      <c r="M48" s="640"/>
      <c r="N48" s="388">
        <f>N47*0.3048</f>
        <v>1.8288000000000002</v>
      </c>
      <c r="O48" s="224" t="s">
        <v>448</v>
      </c>
      <c r="Q48" s="74"/>
      <c r="U48" s="68"/>
      <c r="V48" s="528"/>
      <c r="W48" s="528"/>
      <c r="X48" s="528"/>
      <c r="Y48" s="528"/>
      <c r="Z48" s="528"/>
      <c r="AA48" s="529"/>
    </row>
    <row r="49" spans="1:27" ht="13.5" thickBot="1" x14ac:dyDescent="0.25">
      <c r="A49" s="6" t="s">
        <v>557</v>
      </c>
      <c r="B49" s="103" t="s">
        <v>14</v>
      </c>
      <c r="C49" s="103" t="s">
        <v>558</v>
      </c>
      <c r="D49" s="472" t="s">
        <v>559</v>
      </c>
      <c r="E49" s="103" t="s">
        <v>258</v>
      </c>
      <c r="L49" s="228"/>
      <c r="M49" s="658" t="s">
        <v>452</v>
      </c>
      <c r="N49" s="387">
        <v>8.5</v>
      </c>
      <c r="O49" s="310" t="s">
        <v>453</v>
      </c>
      <c r="Q49" s="74"/>
      <c r="U49" s="68"/>
      <c r="V49" s="530"/>
      <c r="W49" s="645" t="s">
        <v>609</v>
      </c>
      <c r="X49" s="654"/>
      <c r="Y49" s="531" t="s">
        <v>610</v>
      </c>
      <c r="Z49" s="532" t="str">
        <f>IF(C36="DS704",B36,"")</f>
        <v/>
      </c>
      <c r="AA49" s="533"/>
    </row>
    <row r="50" spans="1:27" ht="13.5" thickBot="1" x14ac:dyDescent="0.25">
      <c r="A50" s="190">
        <v>1234</v>
      </c>
      <c r="B50" s="190">
        <v>1248</v>
      </c>
      <c r="C50" s="473">
        <f t="shared" ref="C50:C68" si="6">B50-A50</f>
        <v>14</v>
      </c>
      <c r="D50" s="318" t="s">
        <v>437</v>
      </c>
      <c r="E50" s="318" t="s">
        <v>716</v>
      </c>
      <c r="L50" s="228"/>
      <c r="M50" s="659"/>
      <c r="N50" s="388">
        <f>N49*2.54/100</f>
        <v>0.21590000000000001</v>
      </c>
      <c r="O50" s="224" t="s">
        <v>448</v>
      </c>
      <c r="Q50" s="74"/>
      <c r="U50" s="68"/>
      <c r="V50" s="534"/>
      <c r="W50" s="74"/>
      <c r="Z50" s="49"/>
      <c r="AA50" s="533"/>
    </row>
    <row r="51" spans="1:27" ht="13.5" thickBot="1" x14ac:dyDescent="0.25">
      <c r="A51" s="190">
        <v>1282</v>
      </c>
      <c r="B51" s="190">
        <v>1292</v>
      </c>
      <c r="C51" s="473">
        <f t="shared" si="6"/>
        <v>10</v>
      </c>
      <c r="D51" s="318" t="s">
        <v>437</v>
      </c>
      <c r="E51" s="318" t="s">
        <v>716</v>
      </c>
      <c r="L51" s="228"/>
      <c r="M51" s="657" t="s">
        <v>449</v>
      </c>
      <c r="N51" s="311">
        <f>PI()*(((N48+N50+N48)/2)^2-(N50/2)^2)</f>
        <v>11.74750619539639</v>
      </c>
      <c r="O51" s="310" t="s">
        <v>450</v>
      </c>
      <c r="Q51" s="74"/>
      <c r="U51" s="68"/>
      <c r="V51" s="534"/>
      <c r="W51" s="365" t="s">
        <v>242</v>
      </c>
      <c r="X51" s="535">
        <v>879.99978866225842</v>
      </c>
      <c r="Y51" s="228"/>
      <c r="Z51" s="536">
        <f>IFERROR(X51*Z49/1000,0)</f>
        <v>0</v>
      </c>
      <c r="AA51" s="537"/>
    </row>
    <row r="52" spans="1:27" ht="13.5" thickBot="1" x14ac:dyDescent="0.25">
      <c r="A52" s="190">
        <v>1297.5</v>
      </c>
      <c r="B52" s="190">
        <v>1324.5</v>
      </c>
      <c r="C52" s="473">
        <f t="shared" si="6"/>
        <v>27</v>
      </c>
      <c r="D52" s="318" t="s">
        <v>437</v>
      </c>
      <c r="E52" s="318" t="s">
        <v>716</v>
      </c>
      <c r="L52" s="228"/>
      <c r="M52" s="657"/>
      <c r="N52" s="389">
        <f>N51*1000</f>
        <v>11747.50619539639</v>
      </c>
      <c r="O52" s="310" t="s">
        <v>451</v>
      </c>
      <c r="Q52" s="74"/>
      <c r="U52" s="68"/>
      <c r="V52" s="530"/>
      <c r="W52" s="365" t="s">
        <v>611</v>
      </c>
      <c r="X52" s="538">
        <v>119.82638604536892</v>
      </c>
      <c r="Y52" s="228"/>
      <c r="Z52" s="539">
        <f>IFERROR(X52*Z49/1000,0)</f>
        <v>0</v>
      </c>
      <c r="AA52" s="537"/>
    </row>
    <row r="53" spans="1:27" ht="13.5" thickBot="1" x14ac:dyDescent="0.25">
      <c r="A53" s="190">
        <v>1347</v>
      </c>
      <c r="B53" s="190">
        <v>1354.5</v>
      </c>
      <c r="C53" s="473">
        <f t="shared" si="6"/>
        <v>7.5</v>
      </c>
      <c r="D53" s="318" t="s">
        <v>437</v>
      </c>
      <c r="E53" s="318" t="s">
        <v>716</v>
      </c>
      <c r="M53" s="660" t="s">
        <v>449</v>
      </c>
      <c r="N53" s="311">
        <f>N51*N46</f>
        <v>2.1145511151713503</v>
      </c>
      <c r="O53" s="310" t="s">
        <v>450</v>
      </c>
      <c r="Q53" s="74"/>
      <c r="U53" s="68"/>
      <c r="V53" s="530"/>
      <c r="W53" s="367" t="s">
        <v>612</v>
      </c>
      <c r="X53" s="540">
        <v>59.91319302268446</v>
      </c>
      <c r="Y53" s="76"/>
      <c r="Z53" s="541">
        <f>IFERROR(X53*Z49/1000,0)</f>
        <v>0</v>
      </c>
      <c r="AA53" s="537"/>
    </row>
    <row r="54" spans="1:27" ht="13.5" thickBot="1" x14ac:dyDescent="0.25">
      <c r="A54" s="190">
        <v>1358.5</v>
      </c>
      <c r="B54" s="190">
        <v>1369</v>
      </c>
      <c r="C54" s="473">
        <f t="shared" si="6"/>
        <v>10.5</v>
      </c>
      <c r="D54" s="318" t="s">
        <v>437</v>
      </c>
      <c r="E54" s="318" t="s">
        <v>716</v>
      </c>
      <c r="M54" s="661"/>
      <c r="N54" s="389">
        <f>N53*1000</f>
        <v>2114.5511151713504</v>
      </c>
      <c r="O54" s="310" t="s">
        <v>451</v>
      </c>
      <c r="Q54" s="74"/>
      <c r="U54" s="68"/>
      <c r="V54" s="530"/>
      <c r="W54" s="530"/>
      <c r="X54" s="530"/>
      <c r="Y54" s="530"/>
      <c r="Z54" s="530"/>
      <c r="AA54" s="533"/>
    </row>
    <row r="55" spans="1:27" ht="13.5" thickBot="1" x14ac:dyDescent="0.25">
      <c r="A55" s="190">
        <v>1374.5</v>
      </c>
      <c r="B55" s="190">
        <v>1381.5</v>
      </c>
      <c r="C55" s="473">
        <f t="shared" si="6"/>
        <v>7</v>
      </c>
      <c r="D55" s="318" t="s">
        <v>437</v>
      </c>
      <c r="E55" s="318" t="s">
        <v>716</v>
      </c>
      <c r="M55" t="s">
        <v>562</v>
      </c>
      <c r="N55" s="475">
        <f>N54*C73</f>
        <v>359473.68957912957</v>
      </c>
      <c r="O55" s="187" t="s">
        <v>563</v>
      </c>
      <c r="Q55" s="74"/>
      <c r="U55" s="68"/>
      <c r="V55" s="542"/>
      <c r="W55" s="542"/>
      <c r="X55" s="542"/>
      <c r="Y55" s="542"/>
      <c r="Z55" s="542"/>
      <c r="AA55" s="543"/>
    </row>
    <row r="56" spans="1:27" ht="13.5" thickBot="1" x14ac:dyDescent="0.25">
      <c r="A56" s="190">
        <v>1389</v>
      </c>
      <c r="B56" s="190">
        <v>1394.5</v>
      </c>
      <c r="C56" s="473">
        <f t="shared" si="6"/>
        <v>5.5</v>
      </c>
      <c r="D56" s="318" t="s">
        <v>437</v>
      </c>
      <c r="E56" s="318" t="s">
        <v>716</v>
      </c>
      <c r="Q56" s="74"/>
      <c r="U56" s="68"/>
    </row>
    <row r="57" spans="1:27" ht="13.5" thickBot="1" x14ac:dyDescent="0.25">
      <c r="A57" s="190">
        <v>1396.5</v>
      </c>
      <c r="B57" s="190">
        <v>1405</v>
      </c>
      <c r="C57" s="473">
        <f t="shared" si="6"/>
        <v>8.5</v>
      </c>
      <c r="D57" s="318" t="s">
        <v>437</v>
      </c>
      <c r="E57" s="318" t="s">
        <v>716</v>
      </c>
      <c r="Q57" s="74"/>
      <c r="U57" s="68"/>
    </row>
    <row r="58" spans="1:27" ht="13.5" thickBot="1" x14ac:dyDescent="0.25">
      <c r="A58" s="190">
        <v>1472</v>
      </c>
      <c r="B58" s="190">
        <v>1475.5</v>
      </c>
      <c r="C58" s="473">
        <f t="shared" si="6"/>
        <v>3.5</v>
      </c>
      <c r="D58" s="318" t="s">
        <v>437</v>
      </c>
      <c r="E58" s="318" t="s">
        <v>717</v>
      </c>
      <c r="Q58" s="75"/>
      <c r="R58" s="106"/>
      <c r="S58" s="488"/>
      <c r="T58" s="106"/>
      <c r="U58" s="142"/>
    </row>
    <row r="59" spans="1:27" ht="13.5" thickBot="1" x14ac:dyDescent="0.25">
      <c r="A59" s="190">
        <v>1478.5</v>
      </c>
      <c r="B59" s="190">
        <v>1486.5</v>
      </c>
      <c r="C59" s="473">
        <f t="shared" si="6"/>
        <v>8</v>
      </c>
      <c r="D59" s="318" t="s">
        <v>437</v>
      </c>
      <c r="E59" s="318" t="s">
        <v>717</v>
      </c>
    </row>
    <row r="60" spans="1:27" ht="13.5" thickBot="1" x14ac:dyDescent="0.25">
      <c r="A60" s="190">
        <v>1493.5</v>
      </c>
      <c r="B60" s="190">
        <v>1500</v>
      </c>
      <c r="C60" s="473">
        <f t="shared" si="6"/>
        <v>6.5</v>
      </c>
      <c r="D60" s="318" t="s">
        <v>437</v>
      </c>
      <c r="E60" s="318" t="s">
        <v>717</v>
      </c>
      <c r="L60" s="445"/>
      <c r="M60" s="648" t="s">
        <v>482</v>
      </c>
      <c r="N60" s="648"/>
      <c r="O60" s="648"/>
      <c r="P60" s="648"/>
      <c r="Q60" s="648"/>
      <c r="R60" s="648"/>
      <c r="S60" s="648"/>
      <c r="T60" s="440"/>
      <c r="U60" s="491"/>
    </row>
    <row r="61" spans="1:27" ht="13.5" thickBot="1" x14ac:dyDescent="0.25">
      <c r="A61" s="190">
        <v>1503</v>
      </c>
      <c r="B61" s="190">
        <v>1528</v>
      </c>
      <c r="C61" s="473">
        <f t="shared" si="6"/>
        <v>25</v>
      </c>
      <c r="D61" s="318" t="s">
        <v>437</v>
      </c>
      <c r="E61" s="318" t="s">
        <v>717</v>
      </c>
      <c r="L61" s="443"/>
      <c r="M61" s="649"/>
      <c r="N61" s="649"/>
      <c r="O61" s="649"/>
      <c r="P61" s="649"/>
      <c r="Q61" s="649"/>
      <c r="R61" s="649"/>
      <c r="S61" s="649"/>
      <c r="T61" s="441"/>
      <c r="U61" s="492"/>
    </row>
    <row r="62" spans="1:27" ht="13.5" thickBot="1" x14ac:dyDescent="0.25">
      <c r="A62" s="190">
        <v>1577.5</v>
      </c>
      <c r="B62" s="190">
        <v>1596.5</v>
      </c>
      <c r="C62" s="473">
        <f t="shared" si="6"/>
        <v>19</v>
      </c>
      <c r="D62" s="318" t="s">
        <v>437</v>
      </c>
      <c r="E62" s="318" t="s">
        <v>717</v>
      </c>
      <c r="L62" s="443"/>
      <c r="M62" s="441"/>
      <c r="N62" s="441"/>
      <c r="O62" s="441"/>
      <c r="P62" s="441"/>
      <c r="Q62" s="441"/>
      <c r="R62" s="441"/>
      <c r="S62" s="487"/>
      <c r="T62" s="441"/>
      <c r="U62" s="492"/>
    </row>
    <row r="63" spans="1:27" ht="13.5" thickBot="1" x14ac:dyDescent="0.25">
      <c r="A63" s="190">
        <v>1598</v>
      </c>
      <c r="B63" s="190">
        <v>1616</v>
      </c>
      <c r="C63" s="473">
        <f t="shared" si="6"/>
        <v>18</v>
      </c>
      <c r="D63" s="318" t="s">
        <v>437</v>
      </c>
      <c r="E63" s="318" t="s">
        <v>717</v>
      </c>
      <c r="L63" s="443"/>
      <c r="M63" s="441"/>
      <c r="N63" s="441"/>
      <c r="O63" s="441"/>
      <c r="P63" s="441"/>
      <c r="Q63" s="441"/>
      <c r="R63" s="441"/>
      <c r="S63" s="487"/>
      <c r="T63" s="441"/>
      <c r="U63" s="492"/>
    </row>
    <row r="64" spans="1:27" ht="13.5" thickBot="1" x14ac:dyDescent="0.25">
      <c r="A64" s="190"/>
      <c r="B64" s="190"/>
      <c r="C64" s="473">
        <f t="shared" si="6"/>
        <v>0</v>
      </c>
      <c r="D64" s="318"/>
      <c r="E64" s="318"/>
      <c r="L64" s="443"/>
      <c r="M64" s="441"/>
      <c r="N64" s="441"/>
      <c r="O64" s="441"/>
      <c r="P64" s="441"/>
      <c r="Q64" s="441"/>
      <c r="R64" s="441"/>
      <c r="S64" s="487"/>
      <c r="T64" s="441"/>
      <c r="U64" s="492"/>
    </row>
    <row r="65" spans="1:21" ht="13.5" thickBot="1" x14ac:dyDescent="0.25">
      <c r="A65" s="190"/>
      <c r="B65" s="190"/>
      <c r="C65" s="473">
        <f t="shared" si="6"/>
        <v>0</v>
      </c>
      <c r="D65" s="318"/>
      <c r="E65" s="318"/>
      <c r="L65" s="443"/>
      <c r="M65" s="441"/>
      <c r="N65" s="441"/>
      <c r="O65" s="441"/>
      <c r="P65" s="441"/>
      <c r="Q65" s="441"/>
      <c r="R65" s="441"/>
      <c r="S65" s="487"/>
      <c r="T65" s="441"/>
      <c r="U65" s="492"/>
    </row>
    <row r="66" spans="1:21" ht="13.5" thickBot="1" x14ac:dyDescent="0.25">
      <c r="A66" s="190"/>
      <c r="B66" s="190"/>
      <c r="C66" s="473">
        <f t="shared" si="6"/>
        <v>0</v>
      </c>
      <c r="D66" s="318"/>
      <c r="E66" s="318"/>
      <c r="L66" s="443"/>
      <c r="M66" s="441"/>
      <c r="N66" s="441"/>
      <c r="O66" s="441"/>
      <c r="P66" s="441"/>
      <c r="Q66" s="441"/>
      <c r="R66" s="441"/>
      <c r="S66" s="487"/>
      <c r="T66" s="441"/>
      <c r="U66" s="492"/>
    </row>
    <row r="67" spans="1:21" ht="13.5" thickBot="1" x14ac:dyDescent="0.25">
      <c r="A67" s="190"/>
      <c r="B67" s="190"/>
      <c r="C67" s="473">
        <f t="shared" si="6"/>
        <v>0</v>
      </c>
      <c r="D67" s="318"/>
      <c r="E67" s="318"/>
      <c r="L67" s="443"/>
      <c r="M67" s="441"/>
      <c r="N67" s="441"/>
      <c r="O67" s="441"/>
      <c r="P67" s="441"/>
      <c r="Q67" s="441"/>
      <c r="R67" s="441"/>
      <c r="S67" s="487"/>
      <c r="T67" s="441"/>
      <c r="U67" s="492"/>
    </row>
    <row r="68" spans="1:21" ht="13.5" thickBot="1" x14ac:dyDescent="0.25">
      <c r="A68" s="190"/>
      <c r="B68" s="190"/>
      <c r="C68" s="473">
        <f t="shared" si="6"/>
        <v>0</v>
      </c>
      <c r="D68" s="318"/>
      <c r="E68" s="318"/>
      <c r="L68" s="443"/>
      <c r="M68" s="441"/>
      <c r="N68" s="441"/>
      <c r="O68" s="441"/>
      <c r="P68" s="441"/>
      <c r="Q68" s="441"/>
      <c r="R68" s="441"/>
      <c r="S68" s="487"/>
      <c r="T68" s="441"/>
      <c r="U68" s="492"/>
    </row>
    <row r="69" spans="1:21" ht="13.5" thickBot="1" x14ac:dyDescent="0.25">
      <c r="A69" s="190"/>
      <c r="B69" s="190"/>
      <c r="C69" s="473">
        <f>B69-A69</f>
        <v>0</v>
      </c>
      <c r="D69" s="318"/>
      <c r="E69" s="318"/>
      <c r="L69" s="443"/>
      <c r="M69" s="441"/>
      <c r="N69" s="441"/>
      <c r="O69" s="441"/>
      <c r="P69" s="441"/>
      <c r="Q69" s="441"/>
      <c r="R69" s="441"/>
      <c r="S69" s="487"/>
      <c r="T69" s="441"/>
      <c r="U69" s="492"/>
    </row>
    <row r="70" spans="1:21" ht="13.5" thickBot="1" x14ac:dyDescent="0.25">
      <c r="A70" s="190"/>
      <c r="B70" s="190"/>
      <c r="C70" s="473">
        <f>B70-A70</f>
        <v>0</v>
      </c>
      <c r="D70" s="318"/>
      <c r="E70" s="318"/>
      <c r="L70" s="443"/>
      <c r="M70" s="441" t="s">
        <v>485</v>
      </c>
      <c r="N70" s="441"/>
      <c r="O70" s="441"/>
      <c r="P70" s="441"/>
      <c r="Q70" s="441"/>
      <c r="R70" s="441"/>
      <c r="S70" s="487"/>
      <c r="T70" s="441"/>
      <c r="U70" s="492"/>
    </row>
    <row r="71" spans="1:21" ht="13.5" thickBot="1" x14ac:dyDescent="0.25">
      <c r="A71" s="473">
        <f>A50</f>
        <v>1234</v>
      </c>
      <c r="B71" s="473">
        <f>MAX(B50:B70)</f>
        <v>1616</v>
      </c>
      <c r="L71" s="443"/>
      <c r="M71" s="441"/>
      <c r="N71" s="441"/>
      <c r="O71" s="441"/>
      <c r="P71" s="441"/>
      <c r="Q71" s="441"/>
      <c r="R71" s="441"/>
      <c r="S71" s="487"/>
      <c r="T71" s="441"/>
      <c r="U71" s="492"/>
    </row>
    <row r="72" spans="1:21" ht="13.5" thickBot="1" x14ac:dyDescent="0.25">
      <c r="B72" s="354" t="s">
        <v>560</v>
      </c>
      <c r="C72" s="473">
        <f>SUM(C50:C70)</f>
        <v>170</v>
      </c>
      <c r="L72" s="446" t="s">
        <v>483</v>
      </c>
      <c r="M72" s="441" t="s">
        <v>486</v>
      </c>
      <c r="N72" s="441"/>
      <c r="O72" s="441"/>
      <c r="P72" s="441"/>
      <c r="Q72" s="441"/>
      <c r="R72" s="441"/>
      <c r="S72" s="487"/>
      <c r="T72" s="441"/>
      <c r="U72" s="492"/>
    </row>
    <row r="73" spans="1:21" ht="13.5" thickBot="1" x14ac:dyDescent="0.25">
      <c r="B73" s="354" t="s">
        <v>561</v>
      </c>
      <c r="C73" s="473">
        <f>SUMIF(D50:D70,"SI",C50:C70)</f>
        <v>170</v>
      </c>
      <c r="L73" s="446"/>
      <c r="M73" s="441"/>
      <c r="N73" s="441"/>
      <c r="O73" s="441"/>
      <c r="P73" s="441"/>
      <c r="Q73" s="441"/>
      <c r="R73" s="441"/>
      <c r="S73" s="487"/>
      <c r="T73" s="441"/>
      <c r="U73" s="492"/>
    </row>
    <row r="74" spans="1:21" ht="13.5" thickBot="1" x14ac:dyDescent="0.25">
      <c r="L74" s="446" t="s">
        <v>484</v>
      </c>
      <c r="M74" s="441" t="s">
        <v>487</v>
      </c>
      <c r="N74" s="441"/>
      <c r="O74" s="441"/>
      <c r="P74" s="441"/>
      <c r="Q74" s="441"/>
      <c r="R74" s="441"/>
      <c r="S74" s="487"/>
      <c r="T74" s="441"/>
      <c r="U74" s="492"/>
    </row>
    <row r="75" spans="1:21" ht="13.5" thickBot="1" x14ac:dyDescent="0.25">
      <c r="A75" s="641" t="s">
        <v>640</v>
      </c>
      <c r="B75" s="642"/>
      <c r="C75" s="642"/>
      <c r="D75" s="643"/>
      <c r="F75" s="641" t="s">
        <v>641</v>
      </c>
      <c r="G75" s="642"/>
      <c r="H75" s="642"/>
      <c r="I75" s="643"/>
      <c r="L75" s="443"/>
      <c r="M75" s="441"/>
      <c r="N75" s="441"/>
      <c r="O75" s="441"/>
      <c r="P75" s="441"/>
      <c r="Q75" s="441"/>
      <c r="R75" s="441"/>
      <c r="S75" s="487"/>
      <c r="T75" s="441"/>
      <c r="U75" s="492"/>
    </row>
    <row r="76" spans="1:21" ht="13.5" thickBot="1" x14ac:dyDescent="0.25">
      <c r="A76" s="662" t="s">
        <v>248</v>
      </c>
      <c r="B76" s="663"/>
      <c r="C76" s="664" t="s">
        <v>665</v>
      </c>
      <c r="D76" s="663"/>
      <c r="F76" s="662" t="s">
        <v>249</v>
      </c>
      <c r="G76" s="663"/>
      <c r="H76" s="662" t="s">
        <v>664</v>
      </c>
      <c r="I76" s="663"/>
      <c r="L76" s="443"/>
      <c r="M76" s="650" t="s">
        <v>488</v>
      </c>
      <c r="N76" s="650"/>
      <c r="O76" s="650"/>
      <c r="P76" s="650"/>
      <c r="Q76" s="441"/>
      <c r="R76" s="441"/>
      <c r="S76" s="487"/>
      <c r="T76" s="441"/>
      <c r="U76" s="492"/>
    </row>
    <row r="77" spans="1:21" ht="13.5" thickBot="1" x14ac:dyDescent="0.25">
      <c r="A77" s="214" t="s">
        <v>154</v>
      </c>
      <c r="B77" s="4">
        <v>9000</v>
      </c>
      <c r="C77" s="212" t="s">
        <v>241</v>
      </c>
      <c r="D77" s="213"/>
      <c r="F77" s="214" t="s">
        <v>154</v>
      </c>
      <c r="G77" s="4">
        <v>25000</v>
      </c>
      <c r="H77" s="212" t="s">
        <v>241</v>
      </c>
      <c r="I77" s="213"/>
      <c r="L77" s="443"/>
      <c r="M77" s="441"/>
      <c r="N77" s="441"/>
      <c r="O77" s="441"/>
      <c r="P77" s="441"/>
      <c r="Q77" s="441"/>
      <c r="R77" s="441"/>
      <c r="S77" s="487"/>
      <c r="T77" s="441"/>
      <c r="U77" s="492"/>
    </row>
    <row r="78" spans="1:21" ht="13.5" thickBot="1" x14ac:dyDescent="0.25">
      <c r="A78" s="103" t="s">
        <v>155</v>
      </c>
      <c r="B78" s="103" t="s">
        <v>240</v>
      </c>
      <c r="C78" s="103" t="s">
        <v>218</v>
      </c>
      <c r="D78" s="103"/>
      <c r="E78" s="489" t="s">
        <v>639</v>
      </c>
      <c r="F78" s="103" t="s">
        <v>155</v>
      </c>
      <c r="G78" s="103" t="s">
        <v>240</v>
      </c>
      <c r="H78" s="103" t="s">
        <v>218</v>
      </c>
      <c r="I78" s="103"/>
      <c r="J78" s="489" t="s">
        <v>639</v>
      </c>
      <c r="L78" s="446" t="s">
        <v>483</v>
      </c>
      <c r="M78" s="441" t="s">
        <v>489</v>
      </c>
      <c r="N78" s="441"/>
      <c r="O78" s="441"/>
      <c r="P78" s="441"/>
      <c r="Q78" s="441"/>
      <c r="R78" s="441"/>
      <c r="S78" s="487"/>
      <c r="T78" s="441"/>
      <c r="U78" s="492"/>
    </row>
    <row r="79" spans="1:21" x14ac:dyDescent="0.2">
      <c r="A79" s="186" t="s">
        <v>242</v>
      </c>
      <c r="B79" s="191">
        <f>100-SUMIF(D80:D88,"Lts",B80:B88)</f>
        <v>91</v>
      </c>
      <c r="C79" s="191">
        <f t="shared" ref="C79:C88" si="7">$B$77*B79/100</f>
        <v>8190</v>
      </c>
      <c r="D79" s="294" t="s">
        <v>205</v>
      </c>
      <c r="E79" s="191" t="s">
        <v>438</v>
      </c>
      <c r="F79" s="186" t="s">
        <v>242</v>
      </c>
      <c r="G79" s="191">
        <f>100-SUMIF(I80:I88,"Lts",G80:G88)</f>
        <v>67.900000000000006</v>
      </c>
      <c r="H79" s="191">
        <f>$G$77*G79/100</f>
        <v>16975.000000000004</v>
      </c>
      <c r="I79" s="574" t="s">
        <v>205</v>
      </c>
      <c r="J79" s="294" t="s">
        <v>438</v>
      </c>
      <c r="L79" s="446"/>
      <c r="M79" s="441"/>
      <c r="N79" s="441"/>
      <c r="O79" s="441"/>
      <c r="P79" s="441"/>
      <c r="Q79" s="441"/>
      <c r="R79" s="441"/>
      <c r="S79" s="487"/>
      <c r="T79" s="441"/>
      <c r="U79" s="492"/>
    </row>
    <row r="80" spans="1:21" x14ac:dyDescent="0.2">
      <c r="A80" s="139" t="s">
        <v>576</v>
      </c>
      <c r="B80" s="188">
        <v>3</v>
      </c>
      <c r="C80" s="188">
        <f t="shared" si="7"/>
        <v>270</v>
      </c>
      <c r="D80" s="188" t="str">
        <f t="shared" ref="D80:D88" si="8">IFERROR(VLOOKUP(A80,$R$4:$U$58,2,0),"")</f>
        <v>Lts</v>
      </c>
      <c r="E80" s="319" t="s">
        <v>437</v>
      </c>
      <c r="F80" s="139" t="s">
        <v>574</v>
      </c>
      <c r="G80" s="188">
        <v>30</v>
      </c>
      <c r="H80" s="188">
        <f>$G$77*G80/100</f>
        <v>7500</v>
      </c>
      <c r="I80" s="73" t="str">
        <f t="shared" ref="I80:I88" si="9">IFERROR(VLOOKUP(F80,$R$4:$U$58,2,0),"")</f>
        <v>Lts</v>
      </c>
      <c r="J80" s="319" t="s">
        <v>438</v>
      </c>
      <c r="L80" s="446" t="s">
        <v>484</v>
      </c>
      <c r="M80" s="441" t="s">
        <v>490</v>
      </c>
      <c r="N80" s="441"/>
      <c r="O80" s="441"/>
      <c r="P80" s="441"/>
      <c r="Q80" s="441"/>
      <c r="R80" s="441"/>
      <c r="S80" s="487"/>
      <c r="T80" s="441"/>
      <c r="U80" s="492"/>
    </row>
    <row r="81" spans="1:21" x14ac:dyDescent="0.2">
      <c r="A81" s="139" t="s">
        <v>637</v>
      </c>
      <c r="B81" s="188">
        <v>1</v>
      </c>
      <c r="C81" s="188">
        <f t="shared" si="7"/>
        <v>90</v>
      </c>
      <c r="D81" s="188" t="str">
        <f t="shared" si="8"/>
        <v>Lts</v>
      </c>
      <c r="E81" s="319" t="s">
        <v>437</v>
      </c>
      <c r="F81" s="139" t="s">
        <v>709</v>
      </c>
      <c r="G81" s="188">
        <v>0.5</v>
      </c>
      <c r="H81" s="188">
        <f t="shared" ref="H81:H87" si="10">$G$77*G81/100</f>
        <v>125</v>
      </c>
      <c r="I81" s="73" t="str">
        <f t="shared" si="9"/>
        <v>Kgs</v>
      </c>
      <c r="J81" s="319" t="s">
        <v>437</v>
      </c>
      <c r="L81" s="446"/>
      <c r="M81" s="441"/>
      <c r="N81" s="441"/>
      <c r="O81" s="441"/>
      <c r="P81" s="441"/>
      <c r="Q81" s="441"/>
      <c r="R81" s="441"/>
      <c r="S81" s="487"/>
      <c r="T81" s="441"/>
      <c r="U81" s="492"/>
    </row>
    <row r="82" spans="1:21" x14ac:dyDescent="0.2">
      <c r="A82" s="139" t="s">
        <v>584</v>
      </c>
      <c r="B82" s="188">
        <v>5</v>
      </c>
      <c r="C82" s="188">
        <f t="shared" si="7"/>
        <v>450</v>
      </c>
      <c r="D82" s="188" t="str">
        <f t="shared" si="8"/>
        <v>Lts</v>
      </c>
      <c r="E82" s="188" t="s">
        <v>437</v>
      </c>
      <c r="F82" s="139" t="s">
        <v>580</v>
      </c>
      <c r="G82" s="188">
        <v>0.6</v>
      </c>
      <c r="H82" s="188">
        <f t="shared" si="10"/>
        <v>150</v>
      </c>
      <c r="I82" s="73" t="str">
        <f t="shared" si="9"/>
        <v>Lts</v>
      </c>
      <c r="J82" s="319" t="s">
        <v>437</v>
      </c>
      <c r="L82" s="446" t="s">
        <v>492</v>
      </c>
      <c r="M82" s="441" t="s">
        <v>491</v>
      </c>
      <c r="N82" s="441"/>
      <c r="O82" s="441"/>
      <c r="P82" s="441"/>
      <c r="Q82" s="441"/>
      <c r="R82" s="441"/>
      <c r="S82" s="487"/>
      <c r="T82" s="441"/>
      <c r="U82" s="492"/>
    </row>
    <row r="83" spans="1:21" x14ac:dyDescent="0.2">
      <c r="A83" s="139"/>
      <c r="B83" s="188"/>
      <c r="C83" s="188">
        <f t="shared" si="7"/>
        <v>0</v>
      </c>
      <c r="D83" s="188" t="str">
        <f t="shared" si="8"/>
        <v/>
      </c>
      <c r="E83" s="188"/>
      <c r="F83" s="139" t="s">
        <v>637</v>
      </c>
      <c r="G83" s="188">
        <v>1</v>
      </c>
      <c r="H83" s="188">
        <f t="shared" si="10"/>
        <v>250</v>
      </c>
      <c r="I83" s="73" t="str">
        <f t="shared" si="9"/>
        <v>Lts</v>
      </c>
      <c r="J83" s="319" t="s">
        <v>437</v>
      </c>
      <c r="L83" s="443"/>
      <c r="M83" s="441"/>
      <c r="N83" s="441"/>
      <c r="O83" s="441"/>
      <c r="P83" s="441"/>
      <c r="Q83" s="441"/>
      <c r="R83" s="441"/>
      <c r="S83" s="487"/>
      <c r="T83" s="441"/>
      <c r="U83" s="492"/>
    </row>
    <row r="84" spans="1:21" ht="13.5" thickBot="1" x14ac:dyDescent="0.25">
      <c r="A84" s="139"/>
      <c r="B84" s="188"/>
      <c r="C84" s="188">
        <f t="shared" si="7"/>
        <v>0</v>
      </c>
      <c r="D84" s="188" t="str">
        <f t="shared" si="8"/>
        <v/>
      </c>
      <c r="E84" s="188"/>
      <c r="F84" s="139" t="s">
        <v>576</v>
      </c>
      <c r="G84" s="188">
        <v>0.5</v>
      </c>
      <c r="H84" s="188">
        <f t="shared" si="10"/>
        <v>125</v>
      </c>
      <c r="I84" s="73" t="str">
        <f t="shared" si="9"/>
        <v>Lts</v>
      </c>
      <c r="J84" s="188" t="s">
        <v>437</v>
      </c>
      <c r="L84" s="443"/>
      <c r="M84" s="441"/>
      <c r="N84" s="441"/>
      <c r="O84" s="441"/>
      <c r="P84" s="441"/>
      <c r="Q84" s="441"/>
      <c r="R84" s="441"/>
      <c r="S84" s="487"/>
      <c r="T84" s="441"/>
      <c r="U84" s="492"/>
    </row>
    <row r="85" spans="1:21" ht="13.5" thickBot="1" x14ac:dyDescent="0.25">
      <c r="A85" s="139"/>
      <c r="B85" s="188"/>
      <c r="C85" s="188">
        <f t="shared" si="7"/>
        <v>0</v>
      </c>
      <c r="D85" s="188" t="str">
        <f t="shared" si="8"/>
        <v/>
      </c>
      <c r="E85" s="188"/>
      <c r="F85" s="139"/>
      <c r="G85" s="188"/>
      <c r="H85" s="188">
        <f t="shared" si="10"/>
        <v>0</v>
      </c>
      <c r="I85" s="73" t="str">
        <f t="shared" si="9"/>
        <v/>
      </c>
      <c r="J85" s="188"/>
      <c r="L85" s="443"/>
      <c r="M85" s="629" t="s">
        <v>493</v>
      </c>
      <c r="N85" s="630"/>
      <c r="O85" s="631"/>
      <c r="P85" s="441"/>
      <c r="Q85" s="441"/>
      <c r="R85" s="441"/>
      <c r="S85" s="487"/>
      <c r="T85" s="441"/>
      <c r="U85" s="492"/>
    </row>
    <row r="86" spans="1:21" ht="13.5" thickBot="1" x14ac:dyDescent="0.25">
      <c r="A86" s="139"/>
      <c r="B86" s="188"/>
      <c r="C86" s="188">
        <f t="shared" si="7"/>
        <v>0</v>
      </c>
      <c r="D86" s="188" t="str">
        <f t="shared" si="8"/>
        <v/>
      </c>
      <c r="E86" s="188"/>
      <c r="F86" s="139"/>
      <c r="G86" s="188"/>
      <c r="H86" s="188">
        <f t="shared" si="10"/>
        <v>0</v>
      </c>
      <c r="I86" s="73" t="str">
        <f t="shared" si="9"/>
        <v/>
      </c>
      <c r="J86" s="188"/>
      <c r="L86" s="443"/>
      <c r="M86" s="74"/>
      <c r="O86" s="49"/>
      <c r="P86" s="441"/>
      <c r="Q86" s="441"/>
      <c r="R86" s="441"/>
      <c r="S86" s="487"/>
      <c r="T86" s="441"/>
      <c r="U86" s="492"/>
    </row>
    <row r="87" spans="1:21" x14ac:dyDescent="0.2">
      <c r="A87" s="139"/>
      <c r="B87" s="188"/>
      <c r="C87" s="188">
        <f t="shared" si="7"/>
        <v>0</v>
      </c>
      <c r="D87" s="188" t="str">
        <f t="shared" si="8"/>
        <v/>
      </c>
      <c r="E87" s="188"/>
      <c r="F87" s="139"/>
      <c r="G87" s="188"/>
      <c r="H87" s="188">
        <f t="shared" si="10"/>
        <v>0</v>
      </c>
      <c r="I87" s="73" t="str">
        <f t="shared" si="9"/>
        <v/>
      </c>
      <c r="J87" s="188"/>
      <c r="L87" s="443"/>
      <c r="M87" s="418" t="s">
        <v>494</v>
      </c>
      <c r="N87" s="424">
        <v>6</v>
      </c>
      <c r="O87" s="419" t="s">
        <v>495</v>
      </c>
      <c r="P87" s="441"/>
      <c r="Q87" s="441"/>
      <c r="R87" s="441"/>
      <c r="S87" s="487"/>
      <c r="T87" s="441"/>
      <c r="U87" s="492"/>
    </row>
    <row r="88" spans="1:21" ht="13.5" thickBot="1" x14ac:dyDescent="0.25">
      <c r="A88" s="140"/>
      <c r="B88" s="189"/>
      <c r="C88" s="189">
        <f t="shared" si="7"/>
        <v>0</v>
      </c>
      <c r="D88" s="189" t="str">
        <f t="shared" si="8"/>
        <v/>
      </c>
      <c r="E88" s="189"/>
      <c r="F88" s="140"/>
      <c r="G88" s="189"/>
      <c r="H88" s="189"/>
      <c r="I88" s="147" t="str">
        <f t="shared" si="9"/>
        <v/>
      </c>
      <c r="J88" s="189"/>
      <c r="L88" s="443"/>
      <c r="M88" s="420" t="s">
        <v>497</v>
      </c>
      <c r="N88" s="425">
        <f>B17</f>
        <v>7</v>
      </c>
      <c r="O88" s="421" t="s">
        <v>496</v>
      </c>
      <c r="P88" s="441"/>
      <c r="Q88" s="441"/>
      <c r="R88" s="441"/>
      <c r="S88" s="487"/>
      <c r="T88" s="441"/>
      <c r="U88" s="492"/>
    </row>
    <row r="89" spans="1:21" x14ac:dyDescent="0.2">
      <c r="L89" s="443"/>
      <c r="M89" s="420" t="s">
        <v>445</v>
      </c>
      <c r="N89" s="425">
        <v>22</v>
      </c>
      <c r="O89" s="421" t="s">
        <v>240</v>
      </c>
      <c r="P89" s="441"/>
      <c r="Q89" s="441"/>
      <c r="R89" s="441"/>
      <c r="S89" s="487"/>
      <c r="T89" s="441"/>
      <c r="U89" s="492"/>
    </row>
    <row r="90" spans="1:21" ht="13.5" thickBot="1" x14ac:dyDescent="0.25">
      <c r="L90" s="443"/>
      <c r="M90" s="422" t="s">
        <v>265</v>
      </c>
      <c r="N90" s="426">
        <f>B34</f>
        <v>170</v>
      </c>
      <c r="O90" s="423" t="s">
        <v>448</v>
      </c>
      <c r="P90" s="441"/>
      <c r="Q90" s="441"/>
      <c r="R90" s="441"/>
      <c r="S90" s="487"/>
      <c r="T90" s="441"/>
      <c r="U90" s="492"/>
    </row>
    <row r="91" spans="1:21" ht="13.5" thickBot="1" x14ac:dyDescent="0.25">
      <c r="C91" s="322" t="str">
        <f>IFERROR(HLOOKUP(#REF!,Z3:AG10,5,0),"")</f>
        <v/>
      </c>
      <c r="H91" s="322" t="str">
        <f>IFERROR(HLOOKUP(#REF!,Z3:AG10,6,0),"")</f>
        <v/>
      </c>
      <c r="L91" s="443"/>
      <c r="M91" s="74"/>
      <c r="O91" s="49"/>
      <c r="P91" s="441"/>
      <c r="Q91" s="441"/>
      <c r="R91" s="441"/>
      <c r="S91" s="487"/>
      <c r="T91" s="441"/>
      <c r="U91" s="492"/>
    </row>
    <row r="92" spans="1:21" ht="13.5" thickBot="1" x14ac:dyDescent="0.25">
      <c r="A92" s="641" t="s">
        <v>152</v>
      </c>
      <c r="B92" s="642"/>
      <c r="C92" s="642"/>
      <c r="D92" s="643"/>
      <c r="F92" s="641" t="s">
        <v>642</v>
      </c>
      <c r="G92" s="642"/>
      <c r="H92" s="642"/>
      <c r="I92" s="643"/>
      <c r="L92" s="443"/>
      <c r="M92" s="651" t="s">
        <v>498</v>
      </c>
      <c r="N92" s="427">
        <f>((N87/(N90*(N89/100)*PI())+(N88*0.0254)^2))^0.5</f>
        <v>0.28753886196788186</v>
      </c>
      <c r="O92" s="419" t="s">
        <v>448</v>
      </c>
      <c r="P92" s="441"/>
      <c r="Q92" s="441"/>
      <c r="R92" s="441"/>
      <c r="S92" s="487"/>
      <c r="T92" s="441"/>
      <c r="U92" s="492"/>
    </row>
    <row r="93" spans="1:21" ht="13.5" thickBot="1" x14ac:dyDescent="0.25">
      <c r="A93" s="662" t="s">
        <v>249</v>
      </c>
      <c r="B93" s="663"/>
      <c r="C93" s="662" t="s">
        <v>664</v>
      </c>
      <c r="D93" s="663"/>
      <c r="F93" s="662" t="s">
        <v>249</v>
      </c>
      <c r="G93" s="663"/>
      <c r="H93" s="664" t="s">
        <v>663</v>
      </c>
      <c r="I93" s="663"/>
      <c r="L93" s="443"/>
      <c r="M93" s="652"/>
      <c r="N93" s="428">
        <f>N92/0.0254</f>
        <v>11.320427636530782</v>
      </c>
      <c r="O93" s="423" t="s">
        <v>496</v>
      </c>
      <c r="P93" s="441"/>
      <c r="Q93" s="441"/>
      <c r="R93" s="441"/>
      <c r="S93" s="487"/>
      <c r="T93" s="441"/>
      <c r="U93" s="492"/>
    </row>
    <row r="94" spans="1:21" ht="13.5" thickBot="1" x14ac:dyDescent="0.25">
      <c r="A94" s="214" t="s">
        <v>154</v>
      </c>
      <c r="B94" s="4">
        <v>15000</v>
      </c>
      <c r="C94" s="212" t="s">
        <v>241</v>
      </c>
      <c r="D94" s="213"/>
      <c r="F94" s="214" t="s">
        <v>154</v>
      </c>
      <c r="G94" s="4">
        <v>40000</v>
      </c>
      <c r="H94" s="212" t="s">
        <v>241</v>
      </c>
      <c r="I94" s="213"/>
      <c r="L94" s="443"/>
      <c r="M94" s="74"/>
      <c r="O94" s="49"/>
      <c r="P94" s="441"/>
      <c r="Q94" s="441"/>
      <c r="R94" s="441"/>
      <c r="S94" s="487"/>
      <c r="T94" s="441"/>
      <c r="U94" s="492"/>
    </row>
    <row r="95" spans="1:21" ht="13.5" thickBot="1" x14ac:dyDescent="0.25">
      <c r="A95" s="103" t="s">
        <v>155</v>
      </c>
      <c r="B95" s="103" t="s">
        <v>240</v>
      </c>
      <c r="C95" s="103" t="s">
        <v>218</v>
      </c>
      <c r="D95" s="103"/>
      <c r="E95" s="489" t="s">
        <v>639</v>
      </c>
      <c r="F95" s="103" t="s">
        <v>155</v>
      </c>
      <c r="G95" s="103" t="s">
        <v>240</v>
      </c>
      <c r="H95" s="103" t="s">
        <v>218</v>
      </c>
      <c r="I95" s="103"/>
      <c r="J95" s="489" t="s">
        <v>639</v>
      </c>
      <c r="L95" s="443"/>
      <c r="M95" s="132" t="s">
        <v>499</v>
      </c>
      <c r="N95" s="429">
        <v>116</v>
      </c>
      <c r="O95" s="430" t="s">
        <v>500</v>
      </c>
      <c r="P95" s="441"/>
      <c r="Q95" s="441"/>
      <c r="R95" s="441"/>
      <c r="S95" s="487"/>
      <c r="T95" s="441"/>
      <c r="U95" s="492"/>
    </row>
    <row r="96" spans="1:21" x14ac:dyDescent="0.2">
      <c r="A96" s="186" t="s">
        <v>242</v>
      </c>
      <c r="B96" s="191">
        <f>100-SUMIF(D97:D105,"Lts",B97:B105)</f>
        <v>67.900000000000006</v>
      </c>
      <c r="C96" s="191">
        <f t="shared" ref="C96:C105" si="11">$B$94*B96/100</f>
        <v>10185.000000000002</v>
      </c>
      <c r="D96" s="294" t="s">
        <v>205</v>
      </c>
      <c r="E96" s="294" t="s">
        <v>438</v>
      </c>
      <c r="F96" s="186" t="s">
        <v>242</v>
      </c>
      <c r="G96" s="191">
        <f>100-SUMIF(I97:I105,"Lts",G97:G105)</f>
        <v>54.9</v>
      </c>
      <c r="H96" s="191">
        <f t="shared" ref="H96:H105" si="12">$G$94*G96/100</f>
        <v>21960</v>
      </c>
      <c r="I96" s="294" t="s">
        <v>205</v>
      </c>
      <c r="J96" s="294" t="s">
        <v>438</v>
      </c>
      <c r="L96" s="443"/>
      <c r="M96" s="653" t="s">
        <v>503</v>
      </c>
      <c r="N96" s="431">
        <f>N95/(2*PI()*N92*N90)</f>
        <v>0.377687533359088</v>
      </c>
      <c r="O96" s="432" t="s">
        <v>501</v>
      </c>
      <c r="P96" s="441"/>
      <c r="Q96" s="441"/>
      <c r="R96" s="441"/>
      <c r="S96" s="487"/>
      <c r="T96" s="441"/>
      <c r="U96" s="492"/>
    </row>
    <row r="97" spans="1:21" ht="13.5" thickBot="1" x14ac:dyDescent="0.25">
      <c r="A97" s="139" t="s">
        <v>574</v>
      </c>
      <c r="B97" s="188">
        <v>30</v>
      </c>
      <c r="C97" s="188">
        <f t="shared" si="11"/>
        <v>4500</v>
      </c>
      <c r="D97" s="188" t="str">
        <f t="shared" ref="D97:D105" si="13">IFERROR(VLOOKUP(A97,$R$4:$U$58,2,0),"")</f>
        <v>Lts</v>
      </c>
      <c r="E97" s="319" t="s">
        <v>438</v>
      </c>
      <c r="F97" s="139" t="s">
        <v>574</v>
      </c>
      <c r="G97" s="188">
        <v>43</v>
      </c>
      <c r="H97" s="188">
        <f t="shared" si="12"/>
        <v>17200</v>
      </c>
      <c r="I97" s="188" t="str">
        <f t="shared" ref="I97:I105" si="14">IFERROR(VLOOKUP(F97,$R$4:$U$58,2,0),"")</f>
        <v>Lts</v>
      </c>
      <c r="J97" s="319" t="s">
        <v>438</v>
      </c>
      <c r="L97" s="443"/>
      <c r="M97" s="647"/>
      <c r="N97" s="433">
        <f>N96/24*100</f>
        <v>1.5736980556628668</v>
      </c>
      <c r="O97" s="434" t="s">
        <v>502</v>
      </c>
      <c r="P97" s="441"/>
      <c r="Q97" s="441"/>
      <c r="R97" s="441"/>
      <c r="S97" s="487"/>
      <c r="T97" s="441"/>
      <c r="U97" s="492"/>
    </row>
    <row r="98" spans="1:21" ht="13.5" thickBot="1" x14ac:dyDescent="0.25">
      <c r="A98" s="139" t="s">
        <v>709</v>
      </c>
      <c r="B98" s="188">
        <v>0.5</v>
      </c>
      <c r="C98" s="188">
        <f t="shared" si="11"/>
        <v>75</v>
      </c>
      <c r="D98" s="188" t="str">
        <f t="shared" si="13"/>
        <v>Kgs</v>
      </c>
      <c r="E98" s="319" t="s">
        <v>437</v>
      </c>
      <c r="F98" s="139" t="s">
        <v>709</v>
      </c>
      <c r="G98" s="188">
        <v>0.5</v>
      </c>
      <c r="H98" s="188">
        <f t="shared" si="12"/>
        <v>200</v>
      </c>
      <c r="I98" s="188" t="str">
        <f t="shared" si="14"/>
        <v>Kgs</v>
      </c>
      <c r="J98" s="319" t="s">
        <v>437</v>
      </c>
      <c r="L98" s="443"/>
      <c r="M98" s="441"/>
      <c r="N98" s="441"/>
      <c r="O98" s="441"/>
      <c r="P98" s="441"/>
      <c r="Q98" s="441"/>
      <c r="R98" s="441"/>
      <c r="S98" s="487"/>
      <c r="T98" s="441"/>
      <c r="U98" s="492"/>
    </row>
    <row r="99" spans="1:21" ht="13.5" thickBot="1" x14ac:dyDescent="0.25">
      <c r="A99" s="139" t="s">
        <v>580</v>
      </c>
      <c r="B99" s="188">
        <v>0.6</v>
      </c>
      <c r="C99" s="188">
        <f t="shared" si="11"/>
        <v>90</v>
      </c>
      <c r="D99" s="188" t="str">
        <f t="shared" si="13"/>
        <v>Lts</v>
      </c>
      <c r="E99" s="319" t="s">
        <v>437</v>
      </c>
      <c r="F99" s="139" t="s">
        <v>580</v>
      </c>
      <c r="G99" s="188">
        <v>0.6</v>
      </c>
      <c r="H99" s="188">
        <f t="shared" si="12"/>
        <v>240</v>
      </c>
      <c r="I99" s="188" t="str">
        <f t="shared" si="14"/>
        <v>Lts</v>
      </c>
      <c r="J99" s="319" t="s">
        <v>437</v>
      </c>
      <c r="L99" s="443"/>
      <c r="M99" s="632" t="s">
        <v>504</v>
      </c>
      <c r="N99" s="630"/>
      <c r="O99" s="631"/>
      <c r="P99" s="441"/>
      <c r="Q99" s="441"/>
      <c r="R99" s="441"/>
      <c r="S99" s="487"/>
      <c r="T99" s="441"/>
      <c r="U99" s="492"/>
    </row>
    <row r="100" spans="1:21" ht="13.5" thickBot="1" x14ac:dyDescent="0.25">
      <c r="A100" s="139" t="s">
        <v>637</v>
      </c>
      <c r="B100" s="188">
        <v>1</v>
      </c>
      <c r="C100" s="188">
        <f t="shared" si="11"/>
        <v>150</v>
      </c>
      <c r="D100" s="188" t="str">
        <f t="shared" si="13"/>
        <v>Lts</v>
      </c>
      <c r="E100" s="319" t="s">
        <v>437</v>
      </c>
      <c r="F100" s="139" t="s">
        <v>637</v>
      </c>
      <c r="G100" s="188">
        <v>1</v>
      </c>
      <c r="H100" s="188">
        <f t="shared" si="12"/>
        <v>400</v>
      </c>
      <c r="I100" s="188" t="str">
        <f t="shared" si="14"/>
        <v>Lts</v>
      </c>
      <c r="J100" s="319" t="s">
        <v>437</v>
      </c>
      <c r="L100" s="443"/>
      <c r="M100" s="74"/>
      <c r="O100" s="49"/>
      <c r="P100" s="441"/>
      <c r="Q100" s="441"/>
      <c r="R100" s="441"/>
      <c r="S100" s="487"/>
      <c r="T100" s="441"/>
      <c r="U100" s="492"/>
    </row>
    <row r="101" spans="1:21" ht="13.5" thickBot="1" x14ac:dyDescent="0.25">
      <c r="A101" s="139" t="s">
        <v>576</v>
      </c>
      <c r="B101" s="188">
        <v>0.5</v>
      </c>
      <c r="C101" s="188">
        <f t="shared" si="11"/>
        <v>75</v>
      </c>
      <c r="D101" s="188" t="str">
        <f t="shared" si="13"/>
        <v>Lts</v>
      </c>
      <c r="E101" s="319" t="s">
        <v>437</v>
      </c>
      <c r="F101" s="139" t="s">
        <v>594</v>
      </c>
      <c r="G101" s="188">
        <v>5</v>
      </c>
      <c r="H101" s="188">
        <f t="shared" si="12"/>
        <v>2000</v>
      </c>
      <c r="I101" s="188" t="str">
        <f t="shared" si="14"/>
        <v>Kgs</v>
      </c>
      <c r="J101" s="319" t="s">
        <v>438</v>
      </c>
      <c r="L101" s="443"/>
      <c r="M101" s="132" t="s">
        <v>505</v>
      </c>
      <c r="N101" s="429">
        <v>9</v>
      </c>
      <c r="O101" s="430" t="s">
        <v>495</v>
      </c>
      <c r="P101" s="441"/>
      <c r="Q101" s="441"/>
      <c r="R101" s="441"/>
      <c r="S101" s="487"/>
      <c r="T101" s="441"/>
      <c r="U101" s="492"/>
    </row>
    <row r="102" spans="1:21" ht="13.5" thickBot="1" x14ac:dyDescent="0.25">
      <c r="A102" s="139"/>
      <c r="B102" s="188"/>
      <c r="C102" s="188">
        <f t="shared" si="11"/>
        <v>0</v>
      </c>
      <c r="D102" s="188" t="str">
        <f t="shared" si="13"/>
        <v/>
      </c>
      <c r="E102" s="188"/>
      <c r="F102" s="139" t="s">
        <v>576</v>
      </c>
      <c r="G102" s="188">
        <v>0.5</v>
      </c>
      <c r="H102" s="188">
        <f t="shared" si="12"/>
        <v>200</v>
      </c>
      <c r="I102" s="188" t="str">
        <f t="shared" si="14"/>
        <v>Lts</v>
      </c>
      <c r="J102" s="319" t="s">
        <v>437</v>
      </c>
      <c r="L102" s="443"/>
      <c r="M102" s="74"/>
      <c r="O102" s="49"/>
      <c r="P102" s="441"/>
      <c r="Q102" s="441"/>
      <c r="R102" s="441"/>
      <c r="S102" s="487"/>
      <c r="T102" s="441"/>
      <c r="U102" s="492"/>
    </row>
    <row r="103" spans="1:21" x14ac:dyDescent="0.2">
      <c r="A103" s="139"/>
      <c r="B103" s="188"/>
      <c r="C103" s="188">
        <f t="shared" si="11"/>
        <v>0</v>
      </c>
      <c r="D103" s="188" t="str">
        <f t="shared" si="13"/>
        <v/>
      </c>
      <c r="E103" s="188"/>
      <c r="F103" s="139"/>
      <c r="G103" s="188"/>
      <c r="H103" s="188">
        <f t="shared" si="12"/>
        <v>0</v>
      </c>
      <c r="I103" s="188" t="str">
        <f t="shared" si="14"/>
        <v/>
      </c>
      <c r="J103" s="188"/>
      <c r="L103" s="443"/>
      <c r="M103" s="655" t="s">
        <v>506</v>
      </c>
      <c r="N103" s="427">
        <f>((N101/(N90*(N89/100)*PI())+(N88*0.0254)^2))^0.5</f>
        <v>0.3289551272022932</v>
      </c>
      <c r="O103" s="419" t="s">
        <v>448</v>
      </c>
      <c r="P103" s="441"/>
      <c r="Q103" s="441"/>
      <c r="R103" s="441"/>
      <c r="S103" s="487"/>
      <c r="T103" s="441"/>
      <c r="U103" s="492"/>
    </row>
    <row r="104" spans="1:21" ht="13.5" thickBot="1" x14ac:dyDescent="0.25">
      <c r="A104" s="139"/>
      <c r="B104" s="188"/>
      <c r="C104" s="188">
        <f t="shared" si="11"/>
        <v>0</v>
      </c>
      <c r="D104" s="188" t="str">
        <f t="shared" si="13"/>
        <v/>
      </c>
      <c r="E104" s="188"/>
      <c r="F104" s="139"/>
      <c r="G104" s="188"/>
      <c r="H104" s="188">
        <f t="shared" si="12"/>
        <v>0</v>
      </c>
      <c r="I104" s="188" t="str">
        <f t="shared" si="14"/>
        <v/>
      </c>
      <c r="J104" s="188"/>
      <c r="L104" s="443"/>
      <c r="M104" s="656"/>
      <c r="N104" s="428">
        <f>N103/0.0254</f>
        <v>12.950989259932804</v>
      </c>
      <c r="O104" s="423" t="s">
        <v>496</v>
      </c>
      <c r="P104" s="441"/>
      <c r="Q104" s="441"/>
      <c r="R104" s="441"/>
      <c r="S104" s="487"/>
      <c r="T104" s="441"/>
      <c r="U104" s="492"/>
    </row>
    <row r="105" spans="1:21" ht="13.5" thickBot="1" x14ac:dyDescent="0.25">
      <c r="A105" s="140"/>
      <c r="B105" s="189"/>
      <c r="C105" s="189">
        <f t="shared" si="11"/>
        <v>0</v>
      </c>
      <c r="D105" s="189" t="str">
        <f t="shared" si="13"/>
        <v/>
      </c>
      <c r="E105" s="189"/>
      <c r="F105" s="140"/>
      <c r="G105" s="189"/>
      <c r="H105" s="189">
        <f t="shared" si="12"/>
        <v>0</v>
      </c>
      <c r="I105" s="189" t="str">
        <f t="shared" si="14"/>
        <v/>
      </c>
      <c r="J105" s="189"/>
      <c r="L105" s="443"/>
      <c r="M105" s="74"/>
      <c r="O105" s="49"/>
      <c r="P105" s="441"/>
      <c r="Q105" s="441"/>
      <c r="R105" s="441"/>
      <c r="S105" s="487"/>
      <c r="T105" s="441"/>
      <c r="U105" s="492"/>
    </row>
    <row r="106" spans="1:21" x14ac:dyDescent="0.2">
      <c r="L106" s="443"/>
      <c r="M106" s="646" t="s">
        <v>503</v>
      </c>
      <c r="N106" s="435">
        <f>N96</f>
        <v>0.377687533359088</v>
      </c>
      <c r="O106" s="436" t="s">
        <v>501</v>
      </c>
      <c r="P106" s="441"/>
      <c r="Q106" s="441"/>
      <c r="R106" s="441"/>
      <c r="S106" s="487"/>
      <c r="T106" s="441"/>
      <c r="U106" s="492"/>
    </row>
    <row r="107" spans="1:21" ht="13.5" thickBot="1" x14ac:dyDescent="0.25">
      <c r="L107" s="443"/>
      <c r="M107" s="647"/>
      <c r="N107" s="433">
        <f>N106/24*100</f>
        <v>1.5736980556628668</v>
      </c>
      <c r="O107" s="434" t="s">
        <v>502</v>
      </c>
      <c r="P107" s="441"/>
      <c r="Q107" s="441"/>
      <c r="R107" s="441"/>
      <c r="S107" s="487"/>
      <c r="T107" s="441"/>
      <c r="U107" s="492"/>
    </row>
    <row r="108" spans="1:21" ht="13.5" thickBot="1" x14ac:dyDescent="0.25">
      <c r="C108" s="322" t="str">
        <f>IFERROR(HLOOKUP(#REF!,Z3:AG10,7,0),"")</f>
        <v/>
      </c>
      <c r="H108" s="322" t="str">
        <f>IFERROR(HLOOKUP(#REF!,Z3:AG10,8,0),"")</f>
        <v/>
      </c>
      <c r="L108" s="443"/>
      <c r="M108" s="74"/>
      <c r="O108" s="49"/>
      <c r="P108" s="441"/>
      <c r="Q108" s="441"/>
      <c r="R108" s="441"/>
      <c r="S108" s="487"/>
      <c r="T108" s="441"/>
      <c r="U108" s="492"/>
    </row>
    <row r="109" spans="1:21" ht="13.5" thickBot="1" x14ac:dyDescent="0.25">
      <c r="A109" s="641" t="s">
        <v>237</v>
      </c>
      <c r="B109" s="642"/>
      <c r="C109" s="642"/>
      <c r="D109" s="643"/>
      <c r="F109" s="641" t="s">
        <v>238</v>
      </c>
      <c r="G109" s="642"/>
      <c r="H109" s="642"/>
      <c r="I109" s="643"/>
      <c r="L109" s="443"/>
      <c r="M109" s="437" t="s">
        <v>507</v>
      </c>
      <c r="N109" s="439">
        <f>N106*PI()*2*N103*N90</f>
        <v>132.70830417256207</v>
      </c>
      <c r="O109" s="438" t="s">
        <v>508</v>
      </c>
      <c r="P109" s="441"/>
      <c r="Q109" s="441"/>
      <c r="R109" s="441"/>
      <c r="S109" s="487"/>
      <c r="T109" s="441"/>
      <c r="U109" s="492"/>
    </row>
    <row r="110" spans="1:21" ht="13.5" thickBot="1" x14ac:dyDescent="0.25">
      <c r="A110" s="662"/>
      <c r="B110" s="663"/>
      <c r="C110" s="662"/>
      <c r="D110" s="663"/>
      <c r="F110" s="662"/>
      <c r="G110" s="663"/>
      <c r="H110" s="662"/>
      <c r="I110" s="663"/>
      <c r="L110" s="444"/>
      <c r="M110" s="442"/>
      <c r="N110" s="442"/>
      <c r="O110" s="442"/>
      <c r="P110" s="442"/>
      <c r="Q110" s="442"/>
      <c r="R110" s="442"/>
      <c r="S110" s="490"/>
      <c r="T110" s="442"/>
      <c r="U110" s="493"/>
    </row>
    <row r="111" spans="1:21" ht="13.5" thickBot="1" x14ac:dyDescent="0.25">
      <c r="A111" s="214" t="s">
        <v>154</v>
      </c>
      <c r="B111" s="4">
        <v>10000</v>
      </c>
      <c r="C111" s="212" t="s">
        <v>241</v>
      </c>
      <c r="D111" s="213"/>
      <c r="F111" s="214" t="s">
        <v>154</v>
      </c>
      <c r="G111" s="4"/>
      <c r="H111" s="212" t="s">
        <v>241</v>
      </c>
      <c r="I111" s="213"/>
    </row>
    <row r="112" spans="1:21" ht="13.5" thickBot="1" x14ac:dyDescent="0.25">
      <c r="A112" s="103" t="s">
        <v>155</v>
      </c>
      <c r="B112" s="103" t="s">
        <v>240</v>
      </c>
      <c r="C112" s="103" t="s">
        <v>218</v>
      </c>
      <c r="D112" s="103"/>
      <c r="F112" s="103" t="s">
        <v>155</v>
      </c>
      <c r="G112" s="103" t="s">
        <v>240</v>
      </c>
      <c r="H112" s="103" t="s">
        <v>218</v>
      </c>
      <c r="I112" s="103"/>
    </row>
    <row r="113" spans="1:10" x14ac:dyDescent="0.2">
      <c r="A113" s="186" t="s">
        <v>242</v>
      </c>
      <c r="B113" s="191">
        <f>100-SUMIF(D114:D122,"Lts",B114:B122)</f>
        <v>100</v>
      </c>
      <c r="C113" s="191">
        <f t="shared" ref="C113:C122" si="15">$B$111*B113/100</f>
        <v>10000</v>
      </c>
      <c r="D113" s="294" t="s">
        <v>205</v>
      </c>
      <c r="E113" s="70"/>
      <c r="F113" s="186" t="s">
        <v>242</v>
      </c>
      <c r="G113" s="191">
        <f>100-SUMIF(I114:I122,"Lts",G114:G122)</f>
        <v>100</v>
      </c>
      <c r="H113" s="191">
        <f t="shared" ref="H113:H122" si="16">$G$111*G113/100</f>
        <v>0</v>
      </c>
      <c r="I113" s="294" t="s">
        <v>205</v>
      </c>
      <c r="J113" s="70"/>
    </row>
    <row r="114" spans="1:10" x14ac:dyDescent="0.2">
      <c r="A114" s="139" t="s">
        <v>297</v>
      </c>
      <c r="B114" s="188">
        <v>0</v>
      </c>
      <c r="C114" s="188">
        <f t="shared" si="15"/>
        <v>0</v>
      </c>
      <c r="D114" s="188" t="str">
        <f t="shared" ref="D114:D122" si="17">IFERROR(VLOOKUP(A114,$R$4:$U$58,2,0),"")</f>
        <v>Kgs</v>
      </c>
      <c r="E114" s="70"/>
      <c r="F114" s="139"/>
      <c r="G114" s="188"/>
      <c r="H114" s="188">
        <f t="shared" si="16"/>
        <v>0</v>
      </c>
      <c r="I114" s="188" t="str">
        <f t="shared" ref="I114:I122" si="18">IFERROR(VLOOKUP(F114,$R$4:$U$58,2,0),"")</f>
        <v/>
      </c>
      <c r="J114" s="70"/>
    </row>
    <row r="115" spans="1:10" x14ac:dyDescent="0.2">
      <c r="A115" s="139"/>
      <c r="B115" s="188"/>
      <c r="C115" s="188">
        <f t="shared" si="15"/>
        <v>0</v>
      </c>
      <c r="D115" s="188" t="str">
        <f t="shared" si="17"/>
        <v/>
      </c>
      <c r="E115" s="70"/>
      <c r="F115" s="139"/>
      <c r="G115" s="188"/>
      <c r="H115" s="188">
        <f t="shared" si="16"/>
        <v>0</v>
      </c>
      <c r="I115" s="188" t="str">
        <f t="shared" si="18"/>
        <v/>
      </c>
      <c r="J115" s="70"/>
    </row>
    <row r="116" spans="1:10" x14ac:dyDescent="0.2">
      <c r="A116" s="139"/>
      <c r="B116" s="188"/>
      <c r="C116" s="188">
        <f t="shared" si="15"/>
        <v>0</v>
      </c>
      <c r="D116" s="188" t="str">
        <f t="shared" si="17"/>
        <v/>
      </c>
      <c r="E116" s="70"/>
      <c r="F116" s="139"/>
      <c r="G116" s="188"/>
      <c r="H116" s="188">
        <f t="shared" si="16"/>
        <v>0</v>
      </c>
      <c r="I116" s="188" t="str">
        <f t="shared" si="18"/>
        <v/>
      </c>
      <c r="J116" s="70"/>
    </row>
    <row r="117" spans="1:10" x14ac:dyDescent="0.2">
      <c r="A117" s="139"/>
      <c r="B117" s="188"/>
      <c r="C117" s="188">
        <f t="shared" si="15"/>
        <v>0</v>
      </c>
      <c r="D117" s="188" t="str">
        <f t="shared" si="17"/>
        <v/>
      </c>
      <c r="E117" s="70"/>
      <c r="F117" s="139"/>
      <c r="G117" s="188"/>
      <c r="H117" s="188">
        <f t="shared" si="16"/>
        <v>0</v>
      </c>
      <c r="I117" s="188" t="str">
        <f t="shared" si="18"/>
        <v/>
      </c>
      <c r="J117" s="70"/>
    </row>
    <row r="118" spans="1:10" x14ac:dyDescent="0.2">
      <c r="A118" s="139"/>
      <c r="B118" s="188"/>
      <c r="C118" s="188">
        <f t="shared" si="15"/>
        <v>0</v>
      </c>
      <c r="D118" s="188" t="str">
        <f t="shared" si="17"/>
        <v/>
      </c>
      <c r="E118" s="70"/>
      <c r="F118" s="139"/>
      <c r="G118" s="188"/>
      <c r="H118" s="188">
        <f t="shared" si="16"/>
        <v>0</v>
      </c>
      <c r="I118" s="188" t="str">
        <f t="shared" si="18"/>
        <v/>
      </c>
      <c r="J118" s="70"/>
    </row>
    <row r="119" spans="1:10" x14ac:dyDescent="0.2">
      <c r="A119" s="139"/>
      <c r="B119" s="188"/>
      <c r="C119" s="188">
        <f t="shared" si="15"/>
        <v>0</v>
      </c>
      <c r="D119" s="188" t="str">
        <f t="shared" si="17"/>
        <v/>
      </c>
      <c r="E119" s="70"/>
      <c r="F119" s="139"/>
      <c r="G119" s="188"/>
      <c r="H119" s="188">
        <f t="shared" si="16"/>
        <v>0</v>
      </c>
      <c r="I119" s="188" t="str">
        <f t="shared" si="18"/>
        <v/>
      </c>
      <c r="J119" s="70"/>
    </row>
    <row r="120" spans="1:10" x14ac:dyDescent="0.2">
      <c r="A120" s="139"/>
      <c r="B120" s="188"/>
      <c r="C120" s="188">
        <f t="shared" si="15"/>
        <v>0</v>
      </c>
      <c r="D120" s="188" t="str">
        <f t="shared" si="17"/>
        <v/>
      </c>
      <c r="E120" s="70"/>
      <c r="F120" s="139"/>
      <c r="G120" s="188"/>
      <c r="H120" s="188">
        <f t="shared" si="16"/>
        <v>0</v>
      </c>
      <c r="I120" s="188" t="str">
        <f t="shared" si="18"/>
        <v/>
      </c>
      <c r="J120" s="70"/>
    </row>
    <row r="121" spans="1:10" x14ac:dyDescent="0.2">
      <c r="A121" s="139"/>
      <c r="B121" s="188"/>
      <c r="C121" s="188">
        <f t="shared" si="15"/>
        <v>0</v>
      </c>
      <c r="D121" s="188" t="str">
        <f t="shared" si="17"/>
        <v/>
      </c>
      <c r="E121" s="70"/>
      <c r="F121" s="139"/>
      <c r="G121" s="188"/>
      <c r="H121" s="188">
        <f t="shared" si="16"/>
        <v>0</v>
      </c>
      <c r="I121" s="188" t="str">
        <f t="shared" si="18"/>
        <v/>
      </c>
      <c r="J121" s="70"/>
    </row>
    <row r="122" spans="1:10" ht="13.5" thickBot="1" x14ac:dyDescent="0.25">
      <c r="A122" s="140"/>
      <c r="B122" s="189"/>
      <c r="C122" s="189">
        <f t="shared" si="15"/>
        <v>0</v>
      </c>
      <c r="D122" s="189" t="str">
        <f t="shared" si="17"/>
        <v/>
      </c>
      <c r="E122" s="70"/>
      <c r="F122" s="140"/>
      <c r="G122" s="189"/>
      <c r="H122" s="189">
        <f t="shared" si="16"/>
        <v>0</v>
      </c>
      <c r="I122" s="189" t="str">
        <f t="shared" si="18"/>
        <v/>
      </c>
      <c r="J122" s="70"/>
    </row>
  </sheetData>
  <sortState xmlns:xlrd2="http://schemas.microsoft.com/office/spreadsheetml/2017/richdata2" ref="L3:O17">
    <sortCondition ref="L3"/>
  </sortState>
  <mergeCells count="60">
    <mergeCell ref="A109:D109"/>
    <mergeCell ref="F109:I109"/>
    <mergeCell ref="A110:B110"/>
    <mergeCell ref="C110:D110"/>
    <mergeCell ref="F110:G110"/>
    <mergeCell ref="H110:I110"/>
    <mergeCell ref="F75:I75"/>
    <mergeCell ref="F76:G76"/>
    <mergeCell ref="H76:I76"/>
    <mergeCell ref="C93:D93"/>
    <mergeCell ref="F92:I92"/>
    <mergeCell ref="F93:G93"/>
    <mergeCell ref="H93:I93"/>
    <mergeCell ref="A75:D75"/>
    <mergeCell ref="A92:D92"/>
    <mergeCell ref="A93:B93"/>
    <mergeCell ref="A76:B76"/>
    <mergeCell ref="C76:D76"/>
    <mergeCell ref="W49:X49"/>
    <mergeCell ref="M99:O99"/>
    <mergeCell ref="M103:M104"/>
    <mergeCell ref="M51:M52"/>
    <mergeCell ref="M49:M50"/>
    <mergeCell ref="M53:M54"/>
    <mergeCell ref="M106:M107"/>
    <mergeCell ref="M60:S61"/>
    <mergeCell ref="M76:P76"/>
    <mergeCell ref="M92:M93"/>
    <mergeCell ref="M96:M97"/>
    <mergeCell ref="M85:O85"/>
    <mergeCell ref="AH3:AI3"/>
    <mergeCell ref="X3:Y3"/>
    <mergeCell ref="Z3:AA3"/>
    <mergeCell ref="AB3:AC3"/>
    <mergeCell ref="AD3:AE3"/>
    <mergeCell ref="AF3:AG3"/>
    <mergeCell ref="Q2:U2"/>
    <mergeCell ref="B9:C9"/>
    <mergeCell ref="B10:C10"/>
    <mergeCell ref="D11:F11"/>
    <mergeCell ref="M47:M48"/>
    <mergeCell ref="M45:O45"/>
    <mergeCell ref="B3:C3"/>
    <mergeCell ref="D40:F40"/>
    <mergeCell ref="W17:AE17"/>
    <mergeCell ref="W32:X32"/>
    <mergeCell ref="Y32:AD32"/>
    <mergeCell ref="Y19:Z19"/>
    <mergeCell ref="AA19:AB19"/>
    <mergeCell ref="AC19:AD19"/>
    <mergeCell ref="W42:AD42"/>
    <mergeCell ref="W44:AD44"/>
    <mergeCell ref="W43:AD43"/>
    <mergeCell ref="W45:AD45"/>
    <mergeCell ref="H32:L32"/>
    <mergeCell ref="H33:L33"/>
    <mergeCell ref="H34:L34"/>
    <mergeCell ref="H35:L35"/>
    <mergeCell ref="O31:O34"/>
    <mergeCell ref="O35:O37"/>
  </mergeCells>
  <dataValidations count="19">
    <dataValidation type="list" allowBlank="1" showInputMessage="1" showErrorMessage="1" sqref="A76:B76 F76:G76 F93 F110 A110:B110 A93" xr:uid="{EEC5B1E2-1FD1-4662-AA59-7A108181D1CC}">
      <formula1>$P$3:$P$12</formula1>
    </dataValidation>
    <dataValidation type="list" allowBlank="1" showInputMessage="1" showErrorMessage="1" sqref="A35" xr:uid="{7A66374C-200A-4873-8942-A4CB2F62124B}">
      <formula1>$I$23:$I$27</formula1>
    </dataValidation>
    <dataValidation type="list" allowBlank="1" showInputMessage="1" showErrorMessage="1" sqref="E32" xr:uid="{00000000-0002-0000-0000-000003000000}">
      <formula1>$M$31:$M$37</formula1>
    </dataValidation>
    <dataValidation type="list" allowBlank="1" showInputMessage="1" showErrorMessage="1" sqref="E34" xr:uid="{00000000-0002-0000-0000-000004000000}">
      <formula1>$I$19:$I$21</formula1>
    </dataValidation>
    <dataValidation type="list" allowBlank="1" showInputMessage="1" showErrorMessage="1" sqref="B7" xr:uid="{122DD2C1-22BC-4446-8FAA-B23501CCAFF3}">
      <formula1>$I$3:$I$8</formula1>
    </dataValidation>
    <dataValidation type="list" allowBlank="1" showInputMessage="1" showErrorMessage="1" sqref="B9" xr:uid="{BF618F1B-871A-4534-A5BE-00BF75949A87}">
      <formula1>$J$3:$J$12</formula1>
    </dataValidation>
    <dataValidation type="list" allowBlank="1" showInputMessage="1" showErrorMessage="1" sqref="B17" xr:uid="{6809AF1E-3425-4ABD-B057-0A4BCB563B92}">
      <formula1>$L$3:$L$19</formula1>
    </dataValidation>
    <dataValidation type="list" allowBlank="1" showInputMessage="1" showErrorMessage="1" sqref="B18" xr:uid="{D243C9A5-3D6F-4947-B5FA-EB1238FF5C59}">
      <formula1>$L$23:$L$29</formula1>
    </dataValidation>
    <dataValidation type="list" allowBlank="1" showInputMessage="1" showErrorMessage="1" sqref="B5" xr:uid="{4E13960A-849D-48DB-81BE-B7B2C713E466}">
      <formula1>$I$11:$I$12</formula1>
    </dataValidation>
    <dataValidation type="list" allowBlank="1" showInputMessage="1" showErrorMessage="1" sqref="C17" xr:uid="{F0EFCF4A-D924-4071-931B-E22BADA86310}">
      <formula1>$M$3:$M$19</formula1>
    </dataValidation>
    <dataValidation type="list" allowBlank="1" showInputMessage="1" showErrorMessage="1" sqref="C18" xr:uid="{FAD65DE5-2A79-4078-AEEE-0C339F9BB5DF}">
      <formula1>$M$22:$M$29</formula1>
    </dataValidation>
    <dataValidation type="list" allowBlank="1" showInputMessage="1" showErrorMessage="1" sqref="B10:C10" xr:uid="{3DA93BF0-B863-4272-9F86-400C8A7AD806}">
      <formula1>$J$14:$J$19</formula1>
    </dataValidation>
    <dataValidation type="list" allowBlank="1" showInputMessage="1" showErrorMessage="1" sqref="H28" xr:uid="{00000000-0002-0000-0000-00000F000000}">
      <formula1>$X$26:$X$27</formula1>
    </dataValidation>
    <dataValidation type="list" allowBlank="1" showInputMessage="1" showErrorMessage="1" sqref="H29" xr:uid="{00000000-0002-0000-0000-000010000000}">
      <formula1>$Y$19:$AD$19</formula1>
    </dataValidation>
    <dataValidation type="list" allowBlank="1" showInputMessage="1" showErrorMessage="1" sqref="E30 E96:E105 J113:J122 E79:E88 J79:J88 J96:J105 E113:E122 D50:D70" xr:uid="{00000000-0002-0000-0000-000011000000}">
      <formula1>$J$20:$J$21</formula1>
    </dataValidation>
    <dataValidation type="list" allowBlank="1" showInputMessage="1" showErrorMessage="1" sqref="F114:F122 F103:F105 A114:A122 A83:A88 F85:F88 A103:A105" xr:uid="{4BAB736E-4DB1-4389-AB46-F24581958AFF}">
      <formula1>$R$4:$R$58</formula1>
    </dataValidation>
    <dataValidation type="list" allowBlank="1" showInputMessage="1" showErrorMessage="1" sqref="B3:C3" xr:uid="{AA662525-048F-4FD7-94F8-DF88E6BBE6F0}">
      <formula1>$AL$3:$AL$35</formula1>
    </dataValidation>
    <dataValidation type="list" allowBlank="1" showInputMessage="1" showErrorMessage="1" sqref="A19:A24" xr:uid="{84ED8CBB-B1E6-408D-8E53-0EB6DB889C5A}">
      <formula1>$AJ$16:$AJ$27</formula1>
    </dataValidation>
    <dataValidation type="list" allowBlank="1" showInputMessage="1" showErrorMessage="1" sqref="F97:F102 F80:F84 A80:A82 A97:A102" xr:uid="{F479DE13-9B00-46D7-9EC8-D5072C107C55}">
      <formula1>$R$4:$R$60</formula1>
    </dataValidation>
  </dataValidations>
  <pageMargins left="0.7" right="0.7" top="0.75" bottom="0.75" header="0.3" footer="0.3"/>
  <pageSetup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1032" r:id="rId4">
          <objectPr defaultSize="0" autoPict="0" r:id="rId5">
            <anchor moveWithCells="1">
              <from>
                <xdr:col>12</xdr:col>
                <xdr:colOff>47625</xdr:colOff>
                <xdr:row>62</xdr:row>
                <xdr:rowOff>9525</xdr:rowOff>
              </from>
              <to>
                <xdr:col>16</xdr:col>
                <xdr:colOff>438150</xdr:colOff>
                <xdr:row>64</xdr:row>
                <xdr:rowOff>57150</xdr:rowOff>
              </to>
            </anchor>
          </objectPr>
        </oleObject>
      </mc:Choice>
      <mc:Fallback>
        <oleObject progId="Equation.3" shapeId="1032" r:id="rId4"/>
      </mc:Fallback>
    </mc:AlternateContent>
    <mc:AlternateContent xmlns:mc="http://schemas.openxmlformats.org/markup-compatibility/2006">
      <mc:Choice Requires="x14">
        <oleObject progId="Equation.3" shapeId="1033" r:id="rId6">
          <objectPr defaultSize="0" r:id="rId7">
            <anchor moveWithCells="1">
              <from>
                <xdr:col>12</xdr:col>
                <xdr:colOff>47625</xdr:colOff>
                <xdr:row>65</xdr:row>
                <xdr:rowOff>9525</xdr:rowOff>
              </from>
              <to>
                <xdr:col>15</xdr:col>
                <xdr:colOff>933450</xdr:colOff>
                <xdr:row>67</xdr:row>
                <xdr:rowOff>123825</xdr:rowOff>
              </to>
            </anchor>
          </objectPr>
        </oleObject>
      </mc:Choice>
      <mc:Fallback>
        <oleObject progId="Equation.3" shapeId="1033" r:id="rId6"/>
      </mc:Fallback>
    </mc:AlternateContent>
    <mc:AlternateContent xmlns:mc="http://schemas.openxmlformats.org/markup-compatibility/2006">
      <mc:Choice Requires="x14">
        <oleObject progId="Equation.3" shapeId="1034" r:id="rId8">
          <objectPr defaultSize="0" autoPict="0" r:id="rId9">
            <anchor moveWithCells="1">
              <from>
                <xdr:col>15</xdr:col>
                <xdr:colOff>933450</xdr:colOff>
                <xdr:row>76</xdr:row>
                <xdr:rowOff>66675</xdr:rowOff>
              </from>
              <to>
                <xdr:col>18</xdr:col>
                <xdr:colOff>438150</xdr:colOff>
                <xdr:row>80</xdr:row>
                <xdr:rowOff>28575</xdr:rowOff>
              </to>
            </anchor>
          </objectPr>
        </oleObject>
      </mc:Choice>
      <mc:Fallback>
        <oleObject progId="Equation.3" shapeId="1034" r:id="rId8"/>
      </mc:Fallback>
    </mc:AlternateContent>
    <mc:AlternateContent xmlns:mc="http://schemas.openxmlformats.org/markup-compatibility/2006">
      <mc:Choice Requires="x14">
        <oleObject progId="Equation.3" shapeId="1035" r:id="rId10">
          <objectPr defaultSize="0" autoPict="0" r:id="rId11">
            <anchor moveWithCells="1">
              <from>
                <xdr:col>15</xdr:col>
                <xdr:colOff>476250</xdr:colOff>
                <xdr:row>80</xdr:row>
                <xdr:rowOff>85725</xdr:rowOff>
              </from>
              <to>
                <xdr:col>20</xdr:col>
                <xdr:colOff>533400</xdr:colOff>
                <xdr:row>82</xdr:row>
                <xdr:rowOff>85725</xdr:rowOff>
              </to>
            </anchor>
          </objectPr>
        </oleObject>
      </mc:Choice>
      <mc:Fallback>
        <oleObject progId="Equation.3" shapeId="1035" r:id="rId10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92"/>
  <sheetViews>
    <sheetView view="pageBreakPreview" topLeftCell="A84" zoomScaleNormal="50" zoomScaleSheetLayoutView="100" workbookViewId="0">
      <selection sqref="A1:G26"/>
    </sheetView>
  </sheetViews>
  <sheetFormatPr baseColWidth="10" defaultRowHeight="12.75" x14ac:dyDescent="0.2"/>
  <cols>
    <col min="1" max="1" width="18.42578125" customWidth="1"/>
    <col min="2" max="2" width="23.28515625" customWidth="1"/>
    <col min="3" max="3" width="14.140625" customWidth="1"/>
    <col min="5" max="5" width="7.140625" customWidth="1"/>
    <col min="7" max="7" width="15.7109375" customWidth="1"/>
    <col min="9" max="9" width="25.85546875" customWidth="1"/>
  </cols>
  <sheetData>
    <row r="1" spans="1:9" ht="16.5" customHeight="1" x14ac:dyDescent="0.2">
      <c r="A1" s="234"/>
      <c r="B1" s="79"/>
      <c r="C1" s="79"/>
      <c r="D1" s="79"/>
      <c r="E1" s="79"/>
      <c r="F1" s="79"/>
      <c r="G1" s="80"/>
    </row>
    <row r="2" spans="1:9" ht="16.5" customHeight="1" x14ac:dyDescent="0.2">
      <c r="A2" s="81"/>
      <c r="G2" s="82"/>
    </row>
    <row r="3" spans="1:9" ht="16.5" customHeight="1" x14ac:dyDescent="0.2">
      <c r="A3" s="81"/>
      <c r="G3" s="82"/>
    </row>
    <row r="4" spans="1:9" ht="16.5" customHeight="1" x14ac:dyDescent="0.2">
      <c r="A4" s="81"/>
      <c r="G4" s="82"/>
    </row>
    <row r="5" spans="1:9" ht="16.5" customHeight="1" x14ac:dyDescent="0.2">
      <c r="A5" s="81"/>
      <c r="G5" s="82"/>
    </row>
    <row r="6" spans="1:9" ht="16.5" customHeight="1" x14ac:dyDescent="0.2">
      <c r="A6" s="81"/>
      <c r="G6" s="82"/>
    </row>
    <row r="7" spans="1:9" ht="16.5" customHeight="1" x14ac:dyDescent="0.2">
      <c r="A7" s="81"/>
      <c r="G7" s="82"/>
    </row>
    <row r="8" spans="1:9" ht="16.5" customHeight="1" x14ac:dyDescent="0.4">
      <c r="A8" s="748" t="str">
        <f>CONCATENATE("Programa de tratamiento de ",'Ingreso Info'!B9)</f>
        <v>Programa de tratamiento de Bombeo Químico</v>
      </c>
      <c r="B8" s="749"/>
      <c r="C8" s="749"/>
      <c r="D8" s="749"/>
      <c r="E8" s="749"/>
      <c r="F8" s="749"/>
      <c r="G8" s="750"/>
      <c r="H8" s="219"/>
      <c r="I8" s="219"/>
    </row>
    <row r="9" spans="1:9" ht="16.5" customHeight="1" x14ac:dyDescent="0.4">
      <c r="A9" s="748"/>
      <c r="B9" s="749"/>
      <c r="C9" s="749"/>
      <c r="D9" s="749"/>
      <c r="E9" s="749"/>
      <c r="F9" s="749"/>
      <c r="G9" s="750"/>
      <c r="H9" s="219"/>
      <c r="I9" s="219"/>
    </row>
    <row r="10" spans="1:9" ht="16.5" customHeight="1" x14ac:dyDescent="0.2">
      <c r="A10" s="81"/>
      <c r="G10" s="82"/>
    </row>
    <row r="11" spans="1:9" ht="16.5" customHeight="1" x14ac:dyDescent="0.2">
      <c r="A11" s="748" t="e">
        <f>Programa!A8:G9</f>
        <v>#VALUE!</v>
      </c>
      <c r="B11" s="749"/>
      <c r="C11" s="749"/>
      <c r="D11" s="749"/>
      <c r="E11" s="749"/>
      <c r="F11" s="749"/>
      <c r="G11" s="750"/>
    </row>
    <row r="12" spans="1:9" ht="16.5" customHeight="1" x14ac:dyDescent="0.2">
      <c r="A12" s="748"/>
      <c r="B12" s="749"/>
      <c r="C12" s="749"/>
      <c r="D12" s="749"/>
      <c r="E12" s="749"/>
      <c r="F12" s="749"/>
      <c r="G12" s="750"/>
    </row>
    <row r="13" spans="1:9" ht="16.5" customHeight="1" x14ac:dyDescent="0.2">
      <c r="A13" s="81"/>
      <c r="G13" s="82"/>
    </row>
    <row r="14" spans="1:9" ht="16.5" customHeight="1" x14ac:dyDescent="0.2">
      <c r="A14" s="81"/>
      <c r="G14" s="82"/>
    </row>
    <row r="15" spans="1:9" ht="16.5" customHeight="1" x14ac:dyDescent="0.2">
      <c r="A15" s="81"/>
      <c r="G15" s="82"/>
    </row>
    <row r="16" spans="1:9" ht="16.5" customHeight="1" x14ac:dyDescent="0.2">
      <c r="A16" s="81"/>
      <c r="G16" s="82"/>
    </row>
    <row r="17" spans="1:7" ht="16.5" customHeight="1" x14ac:dyDescent="0.2">
      <c r="A17" s="81"/>
      <c r="G17" s="82"/>
    </row>
    <row r="18" spans="1:7" ht="16.5" customHeight="1" x14ac:dyDescent="0.3">
      <c r="A18" s="81"/>
      <c r="B18" s="215" t="str">
        <f>CONCATENATE("Pozo: ",'Ingreso Info'!B4)</f>
        <v>Pozo: LA.s-399</v>
      </c>
      <c r="G18" s="82"/>
    </row>
    <row r="19" spans="1:7" ht="16.5" customHeight="1" x14ac:dyDescent="0.2">
      <c r="A19" s="81"/>
      <c r="G19" s="82"/>
    </row>
    <row r="20" spans="1:7" ht="16.5" customHeight="1" x14ac:dyDescent="0.3">
      <c r="A20" s="81"/>
      <c r="B20" s="215" t="str">
        <f>CONCATENATE("Yacimiento: ", 'Ingreso Info'!B3)</f>
        <v>Yacimiento: Lindero Atravesado</v>
      </c>
      <c r="G20" s="82"/>
    </row>
    <row r="21" spans="1:7" ht="16.5" customHeight="1" x14ac:dyDescent="0.2">
      <c r="A21" s="81"/>
      <c r="G21" s="82"/>
    </row>
    <row r="22" spans="1:7" ht="16.5" customHeight="1" x14ac:dyDescent="0.3">
      <c r="A22" s="81"/>
      <c r="B22" s="215" t="str">
        <f>CONCATENATE("Punzados: ",'Ingreso Info'!B31," - ",'Ingreso Info'!B32," mts")</f>
        <v>Punzados: 1234 - 1616 mts</v>
      </c>
      <c r="G22" s="82"/>
    </row>
    <row r="23" spans="1:7" ht="16.5" customHeight="1" x14ac:dyDescent="0.2">
      <c r="A23" s="81"/>
      <c r="G23" s="82"/>
    </row>
    <row r="24" spans="1:7" ht="16.5" customHeight="1" x14ac:dyDescent="0.3">
      <c r="A24" s="81"/>
      <c r="B24" s="215" t="str">
        <f>CONCATENATE("Instalación: ",'Ingreso Info'!B7)</f>
        <v>Instalación: Selectiva</v>
      </c>
      <c r="G24" s="82"/>
    </row>
    <row r="25" spans="1:7" ht="16.5" customHeight="1" x14ac:dyDescent="0.2">
      <c r="A25" s="81"/>
      <c r="G25" s="82"/>
    </row>
    <row r="26" spans="1:7" ht="16.5" customHeight="1" x14ac:dyDescent="0.3">
      <c r="A26" s="81"/>
      <c r="B26" s="215" t="str">
        <f>CONCATENATE("Formación: ",'Ingreso Info'!B6)</f>
        <v>Formación: Centenario</v>
      </c>
      <c r="G26" s="82"/>
    </row>
    <row r="27" spans="1:7" ht="16.5" customHeight="1" x14ac:dyDescent="0.2">
      <c r="A27" s="81"/>
      <c r="G27" s="82"/>
    </row>
    <row r="28" spans="1:7" ht="16.5" customHeight="1" x14ac:dyDescent="0.2">
      <c r="A28" s="81"/>
      <c r="G28" s="82"/>
    </row>
    <row r="29" spans="1:7" ht="16.5" customHeight="1" x14ac:dyDescent="0.2">
      <c r="A29" s="81"/>
      <c r="G29" s="82"/>
    </row>
    <row r="30" spans="1:7" ht="16.5" customHeight="1" x14ac:dyDescent="0.2">
      <c r="A30" s="81"/>
      <c r="G30" s="82"/>
    </row>
    <row r="31" spans="1:7" ht="16.5" customHeight="1" x14ac:dyDescent="0.2">
      <c r="A31" s="81"/>
      <c r="G31" s="82"/>
    </row>
    <row r="32" spans="1:7" ht="16.5" customHeight="1" x14ac:dyDescent="0.2">
      <c r="A32" s="81"/>
      <c r="G32" s="82"/>
    </row>
    <row r="33" spans="1:8" ht="16.5" customHeight="1" x14ac:dyDescent="0.2">
      <c r="A33" s="81"/>
      <c r="G33" s="82"/>
    </row>
    <row r="34" spans="1:8" ht="16.5" customHeight="1" x14ac:dyDescent="0.2">
      <c r="A34" s="81"/>
      <c r="G34" s="82"/>
    </row>
    <row r="35" spans="1:8" ht="16.5" customHeight="1" x14ac:dyDescent="0.2">
      <c r="A35" s="81"/>
      <c r="G35" s="82"/>
    </row>
    <row r="36" spans="1:8" ht="16.5" customHeight="1" x14ac:dyDescent="0.2">
      <c r="A36" s="81"/>
      <c r="G36" s="82"/>
    </row>
    <row r="37" spans="1:8" ht="16.5" customHeight="1" x14ac:dyDescent="0.25">
      <c r="A37" s="81"/>
      <c r="B37" s="216" t="s">
        <v>259</v>
      </c>
      <c r="G37" s="82"/>
    </row>
    <row r="38" spans="1:8" ht="16.5" customHeight="1" x14ac:dyDescent="0.25">
      <c r="A38" s="81"/>
      <c r="B38" s="702">
        <f ca="1">'Ingreso Info'!B11</f>
        <v>45376</v>
      </c>
      <c r="C38" s="702"/>
      <c r="G38" s="82"/>
    </row>
    <row r="39" spans="1:8" ht="16.5" customHeight="1" x14ac:dyDescent="0.2">
      <c r="A39" s="81"/>
      <c r="G39" s="82"/>
    </row>
    <row r="40" spans="1:8" ht="16.5" customHeight="1" x14ac:dyDescent="0.2">
      <c r="A40" s="81"/>
      <c r="G40" s="82"/>
    </row>
    <row r="41" spans="1:8" ht="16.5" customHeight="1" x14ac:dyDescent="0.2">
      <c r="A41" s="81"/>
      <c r="B41" s="95"/>
      <c r="C41" s="95"/>
      <c r="D41" s="95"/>
      <c r="E41" s="95"/>
      <c r="F41" s="95"/>
      <c r="G41" s="82"/>
    </row>
    <row r="42" spans="1:8" ht="16.5" customHeight="1" x14ac:dyDescent="0.2">
      <c r="A42" s="81"/>
      <c r="B42" s="746" t="s">
        <v>253</v>
      </c>
      <c r="C42" s="746"/>
      <c r="D42" s="746"/>
      <c r="E42" s="746"/>
      <c r="F42" s="746"/>
      <c r="G42" s="235"/>
      <c r="H42" s="230"/>
    </row>
    <row r="43" spans="1:8" ht="16.5" customHeight="1" x14ac:dyDescent="0.2">
      <c r="A43" s="81"/>
      <c r="B43" s="740"/>
      <c r="C43" s="740"/>
      <c r="D43" s="740"/>
      <c r="E43" s="740"/>
      <c r="F43" s="740"/>
      <c r="G43" s="235"/>
      <c r="H43" s="230"/>
    </row>
    <row r="44" spans="1:8" ht="16.5" customHeight="1" x14ac:dyDescent="0.2">
      <c r="A44" s="81"/>
      <c r="B44" s="740"/>
      <c r="C44" s="740"/>
      <c r="D44" s="740"/>
      <c r="E44" s="740"/>
      <c r="F44" s="740"/>
      <c r="G44" s="235"/>
      <c r="H44" s="230"/>
    </row>
    <row r="45" spans="1:8" ht="16.5" customHeight="1" x14ac:dyDescent="0.2">
      <c r="A45" s="81"/>
      <c r="B45" s="740"/>
      <c r="C45" s="740"/>
      <c r="D45" s="740"/>
      <c r="E45" s="740"/>
      <c r="F45" s="740"/>
      <c r="G45" s="82"/>
    </row>
    <row r="46" spans="1:8" ht="16.5" customHeight="1" x14ac:dyDescent="0.2">
      <c r="A46" s="94"/>
      <c r="B46" s="236"/>
      <c r="C46" s="236"/>
      <c r="D46" s="236"/>
      <c r="E46" s="236"/>
      <c r="F46" s="236"/>
      <c r="G46" s="96"/>
    </row>
    <row r="47" spans="1:8" ht="16.5" customHeight="1" x14ac:dyDescent="0.2">
      <c r="A47" s="234"/>
      <c r="B47" s="79"/>
      <c r="C47" s="79"/>
      <c r="D47" s="79"/>
      <c r="E47" s="79"/>
      <c r="F47" s="79"/>
      <c r="G47" s="80"/>
    </row>
    <row r="48" spans="1:8" ht="16.5" customHeight="1" x14ac:dyDescent="0.2">
      <c r="A48" s="81"/>
      <c r="G48" s="82"/>
    </row>
    <row r="49" spans="1:256" ht="16.5" customHeight="1" x14ac:dyDescent="0.2">
      <c r="A49" s="81"/>
      <c r="G49" s="82"/>
    </row>
    <row r="50" spans="1:256" ht="16.5" customHeight="1" x14ac:dyDescent="0.2">
      <c r="A50" s="81"/>
      <c r="G50" s="82"/>
    </row>
    <row r="51" spans="1:256" ht="16.5" customHeight="1" x14ac:dyDescent="0.2">
      <c r="A51" s="81"/>
      <c r="G51" s="82"/>
    </row>
    <row r="52" spans="1:256" ht="16.5" customHeight="1" x14ac:dyDescent="0.3">
      <c r="A52" s="81"/>
      <c r="B52" s="220" t="s">
        <v>516</v>
      </c>
      <c r="G52" s="82"/>
    </row>
    <row r="53" spans="1:256" ht="16.5" customHeight="1" x14ac:dyDescent="0.2">
      <c r="A53" s="81"/>
      <c r="G53" s="82"/>
    </row>
    <row r="54" spans="1:256" ht="16.5" customHeight="1" x14ac:dyDescent="0.3">
      <c r="A54" s="248" t="s">
        <v>254</v>
      </c>
      <c r="B54" s="221" t="str">
        <f>'Ingreso Info'!B4</f>
        <v>LA.s-399</v>
      </c>
      <c r="D54" s="216"/>
      <c r="E54" s="233" t="str">
        <f>Programa!E41</f>
        <v>Yacimiento:</v>
      </c>
      <c r="F54" s="216" t="str">
        <f>Programa!F41</f>
        <v>Lindero Atravesado</v>
      </c>
      <c r="G54" s="82"/>
    </row>
    <row r="55" spans="1:256" ht="16.5" customHeight="1" x14ac:dyDescent="0.3">
      <c r="A55" s="248"/>
      <c r="B55" s="221"/>
      <c r="D55" s="216"/>
      <c r="E55" s="233"/>
      <c r="F55" s="216"/>
      <c r="G55" s="82"/>
    </row>
    <row r="56" spans="1:256" ht="16.5" customHeight="1" x14ac:dyDescent="0.3">
      <c r="A56" s="248" t="s">
        <v>185</v>
      </c>
      <c r="B56" s="221" t="str">
        <f>'Ingreso Info'!B13</f>
        <v>Sin equipo</v>
      </c>
      <c r="D56" s="216"/>
      <c r="E56" s="233" t="str">
        <f>Programa!E43</f>
        <v>Formación:</v>
      </c>
      <c r="F56" s="216" t="str">
        <f>Programa!F43</f>
        <v>Centenario</v>
      </c>
      <c r="G56" s="82"/>
    </row>
    <row r="57" spans="1:256" ht="16.5" customHeight="1" x14ac:dyDescent="0.3">
      <c r="A57" s="248"/>
      <c r="B57" s="221"/>
      <c r="D57" s="216"/>
      <c r="E57" s="233"/>
      <c r="F57" s="216"/>
      <c r="G57" s="82"/>
      <c r="J57" s="216"/>
      <c r="M57" s="216"/>
      <c r="P57" s="216"/>
      <c r="S57" s="216"/>
      <c r="V57" s="216"/>
      <c r="Y57" s="216"/>
      <c r="AB57" s="216"/>
      <c r="AE57" s="216"/>
      <c r="AH57" s="216"/>
      <c r="AK57" s="216"/>
      <c r="AN57" s="216"/>
      <c r="AQ57" s="216"/>
      <c r="AT57" s="216"/>
      <c r="AW57" s="216"/>
      <c r="AZ57" s="216"/>
      <c r="BC57" s="216"/>
      <c r="BF57" s="216"/>
      <c r="BI57" s="216"/>
      <c r="BL57" s="216"/>
      <c r="BO57" s="216"/>
      <c r="BR57" s="216"/>
      <c r="BU57" s="216"/>
      <c r="BX57" s="216"/>
      <c r="CA57" s="216"/>
      <c r="CD57" s="216"/>
      <c r="CG57" s="216"/>
      <c r="CJ57" s="216"/>
      <c r="CM57" s="216"/>
      <c r="CP57" s="216"/>
      <c r="CS57" s="216"/>
      <c r="CV57" s="216"/>
      <c r="CY57" s="216"/>
      <c r="DB57" s="216"/>
      <c r="DE57" s="216"/>
      <c r="DH57" s="216"/>
      <c r="DK57" s="216"/>
      <c r="DN57" s="216"/>
      <c r="DQ57" s="216"/>
      <c r="DT57" s="216"/>
      <c r="DW57" s="216"/>
      <c r="DZ57" s="216"/>
      <c r="EC57" s="216"/>
      <c r="EF57" s="216"/>
      <c r="EI57" s="216"/>
      <c r="EL57" s="216"/>
      <c r="EO57" s="216"/>
      <c r="ER57" s="216"/>
      <c r="EU57" s="216"/>
      <c r="EX57" s="216"/>
      <c r="FA57" s="216"/>
      <c r="FD57" s="216"/>
      <c r="FG57" s="216"/>
      <c r="FJ57" s="216"/>
      <c r="FM57" s="216"/>
      <c r="FP57" s="216"/>
      <c r="FS57" s="216"/>
      <c r="FV57" s="216"/>
      <c r="FY57" s="216"/>
      <c r="GB57" s="216"/>
      <c r="GE57" s="216"/>
      <c r="GH57" s="216"/>
      <c r="GK57" s="216"/>
      <c r="GN57" s="216"/>
      <c r="GQ57" s="216"/>
      <c r="GT57" s="216"/>
      <c r="GW57" s="216"/>
      <c r="GZ57" s="216"/>
      <c r="HC57" s="216"/>
      <c r="HF57" s="216"/>
      <c r="HI57" s="216"/>
      <c r="HL57" s="216"/>
      <c r="HO57" s="216"/>
      <c r="HR57" s="216"/>
      <c r="HU57" s="216"/>
      <c r="HX57" s="216"/>
      <c r="IA57" s="216"/>
      <c r="ID57" s="216"/>
      <c r="IG57" s="216"/>
      <c r="IJ57" s="216"/>
      <c r="IM57" s="216"/>
      <c r="IP57" s="216"/>
      <c r="IS57" s="216"/>
      <c r="IV57" s="216"/>
    </row>
    <row r="58" spans="1:256" ht="16.5" customHeight="1" x14ac:dyDescent="0.3">
      <c r="A58" s="248" t="str">
        <f>Programa!A47</f>
        <v>Casing:</v>
      </c>
      <c r="B58" s="222" t="str">
        <f>Programa!B47</f>
        <v>7´ 26 #/ft</v>
      </c>
      <c r="D58" s="216"/>
      <c r="E58" s="248" t="str">
        <f>Programa!E47</f>
        <v>Tubing:</v>
      </c>
      <c r="F58" s="222" t="str">
        <f>Programa!F47</f>
        <v>3,5´ 9,2 #/ft</v>
      </c>
      <c r="G58" s="82"/>
      <c r="J58" s="218"/>
      <c r="M58" s="218"/>
      <c r="P58" s="218"/>
      <c r="S58" s="218"/>
      <c r="V58" s="218"/>
      <c r="Y58" s="218"/>
      <c r="AB58" s="218"/>
      <c r="AE58" s="218"/>
      <c r="AH58" s="218"/>
      <c r="AK58" s="218"/>
      <c r="AN58" s="218"/>
      <c r="AQ58" s="218"/>
      <c r="AT58" s="218"/>
      <c r="AW58" s="218"/>
      <c r="AZ58" s="218"/>
      <c r="BC58" s="218"/>
      <c r="BF58" s="218"/>
      <c r="BI58" s="218"/>
      <c r="BL58" s="218"/>
      <c r="BO58" s="218"/>
      <c r="BR58" s="218"/>
      <c r="BU58" s="218"/>
      <c r="BX58" s="218"/>
      <c r="CA58" s="218"/>
      <c r="CD58" s="218"/>
      <c r="CG58" s="218"/>
      <c r="CJ58" s="218"/>
      <c r="CM58" s="218"/>
      <c r="CP58" s="218"/>
      <c r="CS58" s="218"/>
      <c r="CV58" s="218"/>
      <c r="CY58" s="218"/>
      <c r="DB58" s="218"/>
      <c r="DE58" s="218"/>
      <c r="DH58" s="218"/>
      <c r="DK58" s="218"/>
      <c r="DN58" s="218"/>
      <c r="DQ58" s="218"/>
      <c r="DT58" s="218"/>
      <c r="DW58" s="218"/>
      <c r="DZ58" s="218"/>
      <c r="EC58" s="218"/>
      <c r="EF58" s="218"/>
      <c r="EI58" s="218"/>
      <c r="EL58" s="218"/>
      <c r="EO58" s="218"/>
      <c r="ER58" s="218"/>
      <c r="EU58" s="218"/>
      <c r="EX58" s="218"/>
      <c r="FA58" s="218"/>
      <c r="FD58" s="218"/>
      <c r="FG58" s="218"/>
      <c r="FJ58" s="218"/>
      <c r="FM58" s="218"/>
      <c r="FP58" s="218"/>
      <c r="FS58" s="218"/>
      <c r="FV58" s="218"/>
      <c r="FY58" s="218"/>
      <c r="GB58" s="218"/>
      <c r="GE58" s="218"/>
      <c r="GH58" s="218"/>
      <c r="GK58" s="218"/>
      <c r="GN58" s="218"/>
      <c r="GQ58" s="218"/>
      <c r="GT58" s="218"/>
      <c r="GW58" s="218"/>
      <c r="GZ58" s="218"/>
      <c r="HC58" s="218"/>
      <c r="HF58" s="218"/>
      <c r="HI58" s="218"/>
      <c r="HL58" s="218"/>
      <c r="HO58" s="218"/>
      <c r="HR58" s="218"/>
      <c r="HU58" s="218"/>
      <c r="HX58" s="218"/>
      <c r="IA58" s="218"/>
      <c r="ID58" s="218"/>
      <c r="IG58" s="218"/>
      <c r="IJ58" s="218"/>
      <c r="IM58" s="218"/>
      <c r="IP58" s="218"/>
      <c r="IS58" s="218"/>
      <c r="IV58" s="218"/>
    </row>
    <row r="59" spans="1:256" ht="16.5" customHeight="1" x14ac:dyDescent="0.3">
      <c r="A59" s="248"/>
      <c r="B59" s="222"/>
      <c r="D59" s="216"/>
      <c r="E59" s="233"/>
      <c r="F59" s="216"/>
      <c r="G59" s="82"/>
    </row>
    <row r="60" spans="1:256" ht="16.5" customHeight="1" x14ac:dyDescent="0.3">
      <c r="A60" s="248" t="str">
        <f>Programa!A49</f>
        <v>Packer 1:</v>
      </c>
      <c r="B60" s="223">
        <f>Programa!B49</f>
        <v>1465.24</v>
      </c>
      <c r="D60" s="216"/>
      <c r="E60" s="248" t="str">
        <f>'Ingreso Info'!A20</f>
        <v>Packer 2:</v>
      </c>
      <c r="F60" s="703">
        <f>'Ingreso Info'!B20</f>
        <v>1440.28</v>
      </c>
      <c r="G60" s="751"/>
    </row>
    <row r="61" spans="1:256" ht="16.5" customHeight="1" x14ac:dyDescent="0.3">
      <c r="A61" s="248"/>
      <c r="B61" s="222"/>
      <c r="D61" s="216"/>
      <c r="E61" s="233"/>
      <c r="F61" s="216"/>
      <c r="G61" s="82"/>
    </row>
    <row r="62" spans="1:256" ht="16.5" customHeight="1" x14ac:dyDescent="0.3">
      <c r="A62" s="248" t="str">
        <f>Programa!E49</f>
        <v>Mandril 1:</v>
      </c>
      <c r="B62" s="223">
        <f>Programa!F49</f>
        <v>1588.74</v>
      </c>
      <c r="D62" s="216"/>
      <c r="E62" s="233" t="str">
        <f>Programa!E51</f>
        <v>Mandril 2:</v>
      </c>
      <c r="F62" s="703">
        <f>Programa!F51</f>
        <v>1479.05</v>
      </c>
      <c r="G62" s="751"/>
    </row>
    <row r="63" spans="1:256" ht="16.5" customHeight="1" x14ac:dyDescent="0.3">
      <c r="A63" s="248"/>
      <c r="B63" s="222"/>
      <c r="D63" s="216"/>
      <c r="E63" s="233"/>
      <c r="F63" s="216"/>
      <c r="G63" s="82"/>
    </row>
    <row r="64" spans="1:256" ht="16.5" customHeight="1" x14ac:dyDescent="0.3">
      <c r="A64" s="248" t="str">
        <f>Programa!A61</f>
        <v>Punzados:</v>
      </c>
      <c r="B64" s="222" t="str">
        <f>Programa!B61</f>
        <v>1234 / 1616 mts</v>
      </c>
      <c r="D64" s="216"/>
      <c r="E64" s="233" t="str">
        <f>Programa!E61</f>
        <v>Espesor de punzados:</v>
      </c>
      <c r="F64" s="703">
        <f>Programa!F61</f>
        <v>170</v>
      </c>
      <c r="G64" s="751"/>
    </row>
    <row r="65" spans="1:9" ht="16.5" customHeight="1" x14ac:dyDescent="0.3">
      <c r="A65" s="248"/>
      <c r="B65" s="222"/>
      <c r="D65" s="216"/>
      <c r="E65" s="233"/>
      <c r="F65" s="216"/>
      <c r="G65" s="82"/>
    </row>
    <row r="66" spans="1:9" ht="16.5" customHeight="1" x14ac:dyDescent="0.3">
      <c r="A66" s="248" t="s">
        <v>263</v>
      </c>
      <c r="B66" s="222" t="str">
        <f>'Ingreso Info'!B5</f>
        <v>Inyector</v>
      </c>
      <c r="D66" s="216"/>
      <c r="E66" s="233" t="str">
        <f>Programa!E45</f>
        <v>Presión máx de trabajo:</v>
      </c>
      <c r="F66" s="216" t="str">
        <f>Programa!F45</f>
        <v>1390 psi (98 kg/cm2)</v>
      </c>
      <c r="G66" s="82"/>
    </row>
    <row r="67" spans="1:9" ht="16.5" customHeight="1" x14ac:dyDescent="0.3">
      <c r="A67" s="248"/>
      <c r="B67" s="222"/>
      <c r="D67" s="216"/>
      <c r="E67" s="233"/>
      <c r="F67" s="216"/>
      <c r="G67" s="82"/>
    </row>
    <row r="68" spans="1:9" ht="16.5" customHeight="1" x14ac:dyDescent="0.3">
      <c r="A68" s="248" t="e">
        <f>Programa!#REF!</f>
        <v>#REF!</v>
      </c>
      <c r="B68" s="223" t="e">
        <f>Programa!#REF!</f>
        <v>#REF!</v>
      </c>
      <c r="D68" s="216"/>
      <c r="E68" s="233" t="e">
        <f>Programa!#REF!</f>
        <v>#REF!</v>
      </c>
      <c r="F68" s="216" t="e">
        <f>Programa!#REF!</f>
        <v>#REF!</v>
      </c>
      <c r="G68" s="82"/>
    </row>
    <row r="69" spans="1:9" ht="16.5" customHeight="1" x14ac:dyDescent="0.25">
      <c r="A69" s="81"/>
      <c r="B69" s="216"/>
      <c r="C69" s="216"/>
      <c r="D69" s="216"/>
      <c r="E69" s="216"/>
      <c r="F69" s="216"/>
      <c r="G69" s="240"/>
      <c r="H69" s="216"/>
    </row>
    <row r="70" spans="1:9" ht="16.5" hidden="1" customHeight="1" x14ac:dyDescent="0.2">
      <c r="A70" s="81"/>
      <c r="G70" s="82"/>
    </row>
    <row r="71" spans="1:9" ht="16.5" customHeight="1" x14ac:dyDescent="0.4">
      <c r="A71" s="238"/>
      <c r="B71" s="219"/>
      <c r="C71" s="219"/>
      <c r="D71" s="219"/>
      <c r="E71" s="219"/>
      <c r="F71" s="219"/>
      <c r="G71" s="239"/>
      <c r="H71" s="219"/>
      <c r="I71" s="219"/>
    </row>
    <row r="72" spans="1:9" ht="16.5" customHeight="1" x14ac:dyDescent="0.3">
      <c r="A72" s="81"/>
      <c r="B72" s="220" t="s">
        <v>270</v>
      </c>
      <c r="G72" s="82"/>
    </row>
    <row r="73" spans="1:9" ht="16.5" customHeight="1" x14ac:dyDescent="0.2">
      <c r="A73" s="81"/>
      <c r="G73" s="82"/>
    </row>
    <row r="74" spans="1:9" ht="16.5" customHeight="1" x14ac:dyDescent="0.2">
      <c r="A74" s="744" t="s">
        <v>271</v>
      </c>
      <c r="B74" s="696"/>
      <c r="C74" s="696"/>
      <c r="D74" s="696"/>
      <c r="E74" s="696"/>
      <c r="F74" s="696"/>
      <c r="G74" s="745"/>
      <c r="H74" s="226"/>
      <c r="I74" s="226"/>
    </row>
    <row r="75" spans="1:9" ht="16.5" customHeight="1" x14ac:dyDescent="0.2">
      <c r="A75" s="81"/>
      <c r="G75" s="82"/>
    </row>
    <row r="76" spans="1:9" ht="16.5" customHeight="1" x14ac:dyDescent="0.2">
      <c r="A76" s="742" t="s">
        <v>272</v>
      </c>
      <c r="B76" s="695"/>
      <c r="C76" s="695"/>
      <c r="D76" s="695"/>
      <c r="E76" s="695"/>
      <c r="F76" s="695"/>
      <c r="G76" s="743"/>
      <c r="H76" s="229"/>
      <c r="I76" s="229"/>
    </row>
    <row r="77" spans="1:9" ht="16.5" customHeight="1" x14ac:dyDescent="0.2">
      <c r="A77" s="742"/>
      <c r="B77" s="695"/>
      <c r="C77" s="695"/>
      <c r="D77" s="695"/>
      <c r="E77" s="695"/>
      <c r="F77" s="695"/>
      <c r="G77" s="743"/>
      <c r="H77" s="229"/>
      <c r="I77" s="229"/>
    </row>
    <row r="78" spans="1:9" ht="16.5" customHeight="1" x14ac:dyDescent="0.2">
      <c r="A78" s="81"/>
      <c r="G78" s="82"/>
    </row>
    <row r="79" spans="1:9" ht="16.5" customHeight="1" x14ac:dyDescent="0.2">
      <c r="A79" s="744" t="s">
        <v>273</v>
      </c>
      <c r="B79" s="696"/>
      <c r="C79" s="696"/>
      <c r="D79" s="696"/>
      <c r="E79" s="696"/>
      <c r="F79" s="696"/>
      <c r="G79" s="745"/>
      <c r="H79" s="226"/>
      <c r="I79" s="226"/>
    </row>
    <row r="80" spans="1:9" ht="16.5" customHeight="1" x14ac:dyDescent="0.2">
      <c r="A80" s="81"/>
      <c r="G80" s="82"/>
    </row>
    <row r="81" spans="1:9" ht="16.5" customHeight="1" x14ac:dyDescent="0.2">
      <c r="A81" s="744" t="s">
        <v>274</v>
      </c>
      <c r="B81" s="696"/>
      <c r="C81" s="696"/>
      <c r="D81" s="696"/>
      <c r="E81" s="696"/>
      <c r="F81" s="696"/>
      <c r="G81" s="745"/>
      <c r="H81" s="226"/>
      <c r="I81" s="226"/>
    </row>
    <row r="82" spans="1:9" ht="16.5" customHeight="1" x14ac:dyDescent="0.2">
      <c r="A82" s="81"/>
      <c r="G82" s="82"/>
    </row>
    <row r="83" spans="1:9" ht="16.5" customHeight="1" x14ac:dyDescent="0.2">
      <c r="A83" s="742" t="s">
        <v>275</v>
      </c>
      <c r="B83" s="695"/>
      <c r="C83" s="695"/>
      <c r="D83" s="695"/>
      <c r="E83" s="695"/>
      <c r="F83" s="695"/>
      <c r="G83" s="743"/>
      <c r="H83" s="229"/>
      <c r="I83" s="229"/>
    </row>
    <row r="84" spans="1:9" ht="16.5" customHeight="1" x14ac:dyDescent="0.2">
      <c r="A84" s="742"/>
      <c r="B84" s="695"/>
      <c r="C84" s="695"/>
      <c r="D84" s="695"/>
      <c r="E84" s="695"/>
      <c r="F84" s="695"/>
      <c r="G84" s="743"/>
      <c r="H84" s="229"/>
      <c r="I84" s="229"/>
    </row>
    <row r="85" spans="1:9" ht="16.5" customHeight="1" x14ac:dyDescent="0.25">
      <c r="A85" s="81"/>
      <c r="B85" s="216"/>
      <c r="G85" s="82"/>
    </row>
    <row r="86" spans="1:9" ht="16.5" customHeight="1" x14ac:dyDescent="0.2">
      <c r="A86" s="744" t="s">
        <v>276</v>
      </c>
      <c r="B86" s="696"/>
      <c r="C86" s="696"/>
      <c r="D86" s="696"/>
      <c r="E86" s="696"/>
      <c r="F86" s="696"/>
      <c r="G86" s="745"/>
      <c r="H86" s="226"/>
      <c r="I86" s="226"/>
    </row>
    <row r="87" spans="1:9" ht="16.5" customHeight="1" x14ac:dyDescent="0.2">
      <c r="A87" s="81"/>
      <c r="G87" s="82"/>
    </row>
    <row r="88" spans="1:9" ht="16.5" customHeight="1" x14ac:dyDescent="0.2">
      <c r="A88" s="744" t="s">
        <v>277</v>
      </c>
      <c r="B88" s="696"/>
      <c r="C88" s="696"/>
      <c r="D88" s="696"/>
      <c r="E88" s="696"/>
      <c r="F88" s="696"/>
      <c r="G88" s="745"/>
      <c r="H88" s="226"/>
      <c r="I88" s="226"/>
    </row>
    <row r="89" spans="1:9" ht="16.5" hidden="1" customHeight="1" x14ac:dyDescent="0.2">
      <c r="A89" s="249"/>
      <c r="B89" s="225"/>
      <c r="C89" s="225"/>
      <c r="D89" s="225"/>
      <c r="E89" s="225"/>
      <c r="F89" s="225"/>
      <c r="G89" s="250"/>
      <c r="H89" s="225"/>
      <c r="I89" s="225"/>
    </row>
    <row r="90" spans="1:9" ht="16.5" customHeight="1" x14ac:dyDescent="0.2">
      <c r="A90" s="81"/>
      <c r="B90" s="95"/>
      <c r="C90" s="95"/>
      <c r="D90" s="95"/>
      <c r="E90" s="95"/>
      <c r="F90" s="95"/>
      <c r="G90" s="82"/>
    </row>
    <row r="91" spans="1:9" ht="16.5" customHeight="1" x14ac:dyDescent="0.2">
      <c r="A91" s="81"/>
      <c r="B91" s="746" t="s">
        <v>253</v>
      </c>
      <c r="C91" s="746"/>
      <c r="D91" s="746"/>
      <c r="E91" s="746"/>
      <c r="F91" s="746"/>
      <c r="G91" s="235"/>
      <c r="H91" s="230"/>
    </row>
    <row r="92" spans="1:9" ht="16.5" customHeight="1" x14ac:dyDescent="0.2">
      <c r="A92" s="81"/>
      <c r="B92" s="740"/>
      <c r="C92" s="740"/>
      <c r="D92" s="740"/>
      <c r="E92" s="740"/>
      <c r="F92" s="740"/>
      <c r="G92" s="235"/>
      <c r="H92" s="230"/>
    </row>
    <row r="93" spans="1:9" ht="16.5" customHeight="1" x14ac:dyDescent="0.2">
      <c r="A93" s="81"/>
      <c r="B93" s="740"/>
      <c r="C93" s="740"/>
      <c r="D93" s="740"/>
      <c r="E93" s="740"/>
      <c r="F93" s="740"/>
      <c r="G93" s="235"/>
      <c r="H93" s="230"/>
    </row>
    <row r="94" spans="1:9" ht="16.5" customHeight="1" x14ac:dyDescent="0.2">
      <c r="A94" s="94"/>
      <c r="B94" s="741"/>
      <c r="C94" s="741"/>
      <c r="D94" s="741"/>
      <c r="E94" s="741"/>
      <c r="F94" s="741"/>
      <c r="G94" s="96"/>
      <c r="H94" s="230"/>
    </row>
    <row r="95" spans="1:9" ht="16.5" customHeight="1" x14ac:dyDescent="0.2">
      <c r="A95" s="234"/>
      <c r="B95" s="237"/>
      <c r="C95" s="237"/>
      <c r="D95" s="237"/>
      <c r="E95" s="237"/>
      <c r="F95" s="237"/>
      <c r="G95" s="80"/>
    </row>
    <row r="96" spans="1:9" ht="16.5" customHeight="1" x14ac:dyDescent="0.2">
      <c r="A96" s="81"/>
      <c r="G96" s="82"/>
    </row>
    <row r="97" spans="1:11" ht="16.5" customHeight="1" x14ac:dyDescent="0.2">
      <c r="A97" s="81"/>
      <c r="G97" s="82"/>
    </row>
    <row r="98" spans="1:11" ht="16.5" customHeight="1" x14ac:dyDescent="0.2">
      <c r="A98" s="81"/>
      <c r="G98" s="82"/>
    </row>
    <row r="99" spans="1:11" ht="16.5" customHeight="1" x14ac:dyDescent="0.2">
      <c r="A99" s="81"/>
      <c r="G99" s="82"/>
    </row>
    <row r="100" spans="1:11" ht="19.5" customHeight="1" thickBot="1" x14ac:dyDescent="0.35">
      <c r="A100" s="81"/>
      <c r="B100" s="220" t="s">
        <v>278</v>
      </c>
      <c r="G100" s="82"/>
    </row>
    <row r="101" spans="1:11" ht="16.5" hidden="1" customHeight="1" x14ac:dyDescent="0.2">
      <c r="A101" s="81"/>
      <c r="G101" s="82"/>
    </row>
    <row r="102" spans="1:11" ht="16.5" hidden="1" customHeight="1" thickBot="1" x14ac:dyDescent="0.3">
      <c r="A102" s="81"/>
      <c r="B102" s="216"/>
      <c r="C102" s="221"/>
      <c r="D102" s="216"/>
      <c r="E102" s="216"/>
      <c r="F102" s="216"/>
      <c r="G102" s="240"/>
      <c r="H102" s="216"/>
    </row>
    <row r="103" spans="1:11" ht="16.5" customHeight="1" x14ac:dyDescent="0.3">
      <c r="A103" s="81"/>
      <c r="B103" s="227" t="str">
        <f>IF('Ingreso Info'!B9="Bombeo Químico","","Segunda Etapa: Cloro X")</f>
        <v/>
      </c>
      <c r="C103" s="221"/>
      <c r="D103" s="216"/>
      <c r="E103" s="216"/>
      <c r="F103" s="216"/>
      <c r="G103" s="240"/>
      <c r="H103" s="216"/>
      <c r="I103" s="105"/>
      <c r="J103" s="45"/>
      <c r="K103" s="46"/>
    </row>
    <row r="104" spans="1:11" ht="16.5" customHeight="1" x14ac:dyDescent="0.25">
      <c r="A104" s="81"/>
      <c r="B104" s="216"/>
      <c r="C104" s="221"/>
      <c r="D104" s="216"/>
      <c r="E104" s="216"/>
      <c r="F104" s="216"/>
      <c r="G104" s="240"/>
      <c r="H104" s="216"/>
      <c r="I104" s="74"/>
      <c r="K104" s="49"/>
    </row>
    <row r="105" spans="1:11" ht="16.5" customHeight="1" x14ac:dyDescent="0.25">
      <c r="A105" s="241" t="s">
        <v>279</v>
      </c>
      <c r="B105" s="216" t="s">
        <v>412</v>
      </c>
      <c r="C105" s="216"/>
      <c r="D105" s="216"/>
      <c r="E105" s="216"/>
      <c r="F105" s="216"/>
      <c r="G105" s="240"/>
      <c r="H105" s="216"/>
      <c r="I105" s="74" t="str">
        <f>CONCATENATE('Ingreso Info'!D33," lts de Preflujo.")</f>
        <v xml:space="preserve"> lts de Preflujo.</v>
      </c>
      <c r="K105" s="49"/>
    </row>
    <row r="106" spans="1:11" ht="16.5" customHeight="1" x14ac:dyDescent="0.25">
      <c r="A106" s="242"/>
      <c r="D106" s="216"/>
      <c r="G106" s="240"/>
      <c r="I106" s="74" t="str">
        <f>CONCATENATE('Ingreso Info'!D33/2," lts de Preflujo.")</f>
        <v>0 lts de Preflujo.</v>
      </c>
      <c r="K106" s="49"/>
    </row>
    <row r="107" spans="1:11" ht="16.5" customHeight="1" x14ac:dyDescent="0.25">
      <c r="A107" s="247" t="s">
        <v>280</v>
      </c>
      <c r="B107" s="216" t="s">
        <v>415</v>
      </c>
      <c r="C107" s="221"/>
      <c r="D107" s="216"/>
      <c r="E107" s="216"/>
      <c r="F107" s="216"/>
      <c r="G107" s="240"/>
      <c r="H107" s="216"/>
      <c r="I107" s="74"/>
      <c r="K107" s="49"/>
    </row>
    <row r="108" spans="1:11" ht="16.5" customHeight="1" x14ac:dyDescent="0.25">
      <c r="A108" s="81"/>
      <c r="B108" s="216"/>
      <c r="C108" s="222"/>
      <c r="D108" s="218"/>
      <c r="E108" s="216"/>
      <c r="F108" s="216"/>
      <c r="G108" s="243"/>
      <c r="H108" s="216"/>
      <c r="I108" s="74" t="str">
        <f>CONCATENATE('Ingreso Info'!D34," lts. de ",'Ingreso Info'!E34)</f>
        <v xml:space="preserve"> lts. de Cloro X.</v>
      </c>
      <c r="K108" s="49"/>
    </row>
    <row r="109" spans="1:11" ht="16.5" customHeight="1" x14ac:dyDescent="0.25">
      <c r="A109" s="245" t="s">
        <v>281</v>
      </c>
      <c r="B109" s="216" t="s">
        <v>414</v>
      </c>
      <c r="C109" s="221"/>
      <c r="D109" s="216"/>
      <c r="E109" s="216"/>
      <c r="F109" s="216"/>
      <c r="G109" s="240"/>
      <c r="H109" s="216"/>
      <c r="I109" s="74" t="str">
        <f>CONCATENATE('Ingreso Info'!D34/2," lts. de ",'Ingreso Info'!E34)</f>
        <v>0 lts. de Cloro X.</v>
      </c>
      <c r="K109" s="49"/>
    </row>
    <row r="110" spans="1:11" ht="16.5" customHeight="1" x14ac:dyDescent="0.25">
      <c r="A110" s="244"/>
      <c r="B110" s="216"/>
      <c r="C110" s="222"/>
      <c r="D110" s="216"/>
      <c r="E110" s="216"/>
      <c r="F110" s="216"/>
      <c r="G110" s="240"/>
      <c r="H110" s="216"/>
      <c r="I110" s="74"/>
      <c r="K110" s="49"/>
    </row>
    <row r="111" spans="1:11" ht="16.5" customHeight="1" x14ac:dyDescent="0.25">
      <c r="A111" s="247" t="s">
        <v>282</v>
      </c>
      <c r="B111" s="216" t="s">
        <v>284</v>
      </c>
      <c r="C111" s="221"/>
      <c r="D111" s="216"/>
      <c r="E111" s="216"/>
      <c r="F111" s="216"/>
      <c r="G111" s="240"/>
      <c r="H111" s="216"/>
      <c r="I111" s="74" t="str">
        <f>CONCATENATE(ROUND('Ingreso Info'!AC35,0)," lts de divergente")</f>
        <v>0 lts de divergente</v>
      </c>
      <c r="K111" s="49"/>
    </row>
    <row r="112" spans="1:11" ht="16.5" customHeight="1" x14ac:dyDescent="0.25">
      <c r="A112" s="241"/>
      <c r="B112" s="216"/>
      <c r="C112" s="223"/>
      <c r="D112" s="216"/>
      <c r="E112" s="216"/>
      <c r="F112" s="216"/>
      <c r="G112" s="240"/>
      <c r="H112" s="216"/>
      <c r="I112" s="74" t="e">
        <f>CONCATENATE(ROUND('Ingreso Info'!AC35/'Ingreso Info'!H31,0)," lts de divergente")</f>
        <v>#DIV/0!</v>
      </c>
      <c r="K112" s="49"/>
    </row>
    <row r="113" spans="1:11" ht="16.5" customHeight="1" x14ac:dyDescent="0.25">
      <c r="A113" s="241" t="s">
        <v>283</v>
      </c>
      <c r="B113" s="216" t="s">
        <v>288</v>
      </c>
      <c r="C113" s="221"/>
      <c r="D113" s="216"/>
      <c r="E113" s="216"/>
      <c r="F113" s="216"/>
      <c r="G113" s="240"/>
      <c r="H113" s="216"/>
      <c r="I113" s="74"/>
      <c r="K113" s="49"/>
    </row>
    <row r="114" spans="1:11" ht="16.5" customHeight="1" x14ac:dyDescent="0.25">
      <c r="A114" s="81"/>
      <c r="B114" s="216"/>
      <c r="C114" s="221"/>
      <c r="D114" s="216"/>
      <c r="E114" s="216"/>
      <c r="F114" s="216"/>
      <c r="G114" s="240"/>
      <c r="H114" s="216"/>
      <c r="I114" s="74" t="str">
        <f>CONCATENATE("Desplazar con ",ROUND('Ingreso Info'!D35,0)," lts. de agua de Inyección.")</f>
        <v>Desplazar con 7807 lts. de agua de Inyección.</v>
      </c>
      <c r="K114" s="49"/>
    </row>
    <row r="115" spans="1:11" ht="16.5" customHeight="1" x14ac:dyDescent="0.25">
      <c r="A115" s="241" t="s">
        <v>291</v>
      </c>
      <c r="B115" s="216" t="s">
        <v>289</v>
      </c>
      <c r="C115" s="221"/>
      <c r="D115" s="216"/>
      <c r="E115" s="216"/>
      <c r="F115" s="216"/>
      <c r="G115" s="240"/>
      <c r="H115" s="216"/>
      <c r="I115" s="74"/>
      <c r="K115" s="49"/>
    </row>
    <row r="116" spans="1:11" ht="16.5" customHeight="1" x14ac:dyDescent="0.25">
      <c r="A116" s="244"/>
      <c r="B116" s="216"/>
      <c r="C116" s="221"/>
      <c r="D116" s="216"/>
      <c r="E116" s="216"/>
      <c r="F116" s="216"/>
      <c r="G116" s="240"/>
      <c r="H116" s="216"/>
      <c r="I116" s="74"/>
      <c r="K116" s="49"/>
    </row>
    <row r="117" spans="1:11" ht="16.5" hidden="1" customHeight="1" x14ac:dyDescent="0.25">
      <c r="A117" s="241" t="s">
        <v>410</v>
      </c>
      <c r="B117" s="216" t="s">
        <v>284</v>
      </c>
      <c r="C117" s="221"/>
      <c r="D117" s="216"/>
      <c r="E117" s="216"/>
      <c r="F117" s="216"/>
      <c r="G117" s="240"/>
      <c r="H117" s="216"/>
      <c r="I117" s="74"/>
      <c r="K117" s="49"/>
    </row>
    <row r="118" spans="1:11" ht="16.5" hidden="1" customHeight="1" x14ac:dyDescent="0.25">
      <c r="A118" s="81"/>
      <c r="B118" s="216"/>
      <c r="C118" s="223"/>
      <c r="D118" s="216"/>
      <c r="E118" s="216"/>
      <c r="F118" s="216"/>
      <c r="G118" s="240"/>
      <c r="H118" s="217"/>
      <c r="I118" s="74"/>
      <c r="K118" s="49"/>
    </row>
    <row r="119" spans="1:11" ht="16.5" hidden="1" customHeight="1" x14ac:dyDescent="0.25">
      <c r="A119" s="241" t="s">
        <v>411</v>
      </c>
      <c r="B119" s="216" t="s">
        <v>288</v>
      </c>
      <c r="D119" s="218"/>
      <c r="G119" s="243"/>
      <c r="I119" s="74"/>
      <c r="K119" s="49"/>
    </row>
    <row r="120" spans="1:11" ht="16.5" hidden="1" customHeight="1" x14ac:dyDescent="0.2">
      <c r="A120" s="81"/>
      <c r="G120" s="82"/>
      <c r="I120" s="74"/>
      <c r="K120" s="49"/>
    </row>
    <row r="121" spans="1:11" ht="16.5" hidden="1" customHeight="1" x14ac:dyDescent="0.25">
      <c r="A121" s="241" t="s">
        <v>413</v>
      </c>
      <c r="B121" s="216" t="s">
        <v>289</v>
      </c>
      <c r="G121" s="82"/>
      <c r="I121" s="74"/>
      <c r="K121" s="49"/>
    </row>
    <row r="122" spans="1:11" ht="16.5" customHeight="1" x14ac:dyDescent="0.4">
      <c r="A122" s="238"/>
      <c r="B122" s="219"/>
      <c r="C122" s="219"/>
      <c r="D122" s="219"/>
      <c r="E122" s="219"/>
      <c r="F122" s="219"/>
      <c r="G122" s="239"/>
      <c r="H122" s="219"/>
      <c r="I122" s="365" t="s">
        <v>284</v>
      </c>
      <c r="K122" s="49"/>
    </row>
    <row r="123" spans="1:11" ht="16.5" customHeight="1" x14ac:dyDescent="0.3">
      <c r="A123" s="81"/>
      <c r="B123" s="220" t="s">
        <v>517</v>
      </c>
      <c r="G123" s="82"/>
      <c r="I123" s="365" t="s">
        <v>443</v>
      </c>
      <c r="K123" s="49"/>
    </row>
    <row r="124" spans="1:11" ht="16.5" customHeight="1" thickBot="1" x14ac:dyDescent="0.25">
      <c r="A124" s="81"/>
      <c r="G124" s="82"/>
      <c r="I124" s="367" t="s">
        <v>289</v>
      </c>
      <c r="J124" s="106"/>
      <c r="K124" s="107"/>
    </row>
    <row r="125" spans="1:11" ht="19.5" customHeight="1" x14ac:dyDescent="0.2">
      <c r="A125" s="247" t="s">
        <v>279</v>
      </c>
      <c r="B125" s="226" t="s">
        <v>305</v>
      </c>
      <c r="C125" s="229"/>
      <c r="G125" s="82"/>
    </row>
    <row r="126" spans="1:11" ht="16.5" customHeight="1" x14ac:dyDescent="0.2">
      <c r="A126" s="81"/>
      <c r="G126" s="82"/>
    </row>
    <row r="127" spans="1:11" ht="19.5" customHeight="1" x14ac:dyDescent="0.2">
      <c r="A127" s="245" t="s">
        <v>280</v>
      </c>
      <c r="B127" s="226" t="s">
        <v>306</v>
      </c>
      <c r="C127" s="226"/>
      <c r="D127" s="226"/>
      <c r="E127" s="226"/>
      <c r="F127" s="226"/>
      <c r="G127" s="246"/>
      <c r="H127" s="226"/>
      <c r="I127" s="226"/>
    </row>
    <row r="128" spans="1:11" ht="16.5" customHeight="1" x14ac:dyDescent="0.2">
      <c r="A128" s="244"/>
      <c r="G128" s="82"/>
    </row>
    <row r="129" spans="1:9" ht="19.5" customHeight="1" x14ac:dyDescent="0.2">
      <c r="A129" s="247" t="s">
        <v>281</v>
      </c>
      <c r="B129" s="695" t="s">
        <v>307</v>
      </c>
      <c r="C129" s="695"/>
      <c r="D129" s="695"/>
      <c r="E129" s="695"/>
      <c r="F129" s="695"/>
      <c r="G129" s="743"/>
      <c r="H129" s="229"/>
      <c r="I129" s="229"/>
    </row>
    <row r="130" spans="1:9" ht="18" customHeight="1" x14ac:dyDescent="0.2">
      <c r="A130" s="81"/>
      <c r="B130" s="695"/>
      <c r="C130" s="695"/>
      <c r="D130" s="695"/>
      <c r="E130" s="695"/>
      <c r="F130" s="695"/>
      <c r="G130" s="743"/>
      <c r="H130" s="229"/>
      <c r="I130" s="229"/>
    </row>
    <row r="131" spans="1:9" ht="16.5" customHeight="1" x14ac:dyDescent="0.2">
      <c r="A131" s="81"/>
      <c r="G131" s="82"/>
    </row>
    <row r="132" spans="1:9" ht="19.5" customHeight="1" x14ac:dyDescent="0.2">
      <c r="A132" s="247" t="s">
        <v>282</v>
      </c>
      <c r="B132" s="226">
        <f>Programa!B95</f>
        <v>0</v>
      </c>
      <c r="C132" s="226"/>
      <c r="D132" s="226"/>
      <c r="E132" s="226"/>
      <c r="F132" s="226"/>
      <c r="G132" s="246"/>
      <c r="H132" s="226"/>
      <c r="I132" s="226"/>
    </row>
    <row r="133" spans="1:9" ht="16.5" customHeight="1" x14ac:dyDescent="0.2">
      <c r="A133" s="247"/>
      <c r="B133" s="226"/>
      <c r="C133" s="226"/>
      <c r="D133" s="226"/>
      <c r="E133" s="226"/>
      <c r="F133" s="226"/>
      <c r="G133" s="246"/>
      <c r="H133" s="226"/>
      <c r="I133" s="226"/>
    </row>
    <row r="134" spans="1:9" ht="19.5" customHeight="1" x14ac:dyDescent="0.2">
      <c r="A134" s="247" t="s">
        <v>283</v>
      </c>
      <c r="B134" s="226" t="e">
        <f>Programa!#REF!</f>
        <v>#REF!</v>
      </c>
      <c r="C134" s="226"/>
      <c r="D134" s="226"/>
      <c r="E134" s="226"/>
      <c r="F134" s="226"/>
      <c r="G134" s="246"/>
      <c r="H134" s="226"/>
      <c r="I134" s="226"/>
    </row>
    <row r="135" spans="1:9" ht="16.5" customHeight="1" x14ac:dyDescent="0.2">
      <c r="A135" s="247"/>
      <c r="B135" s="226"/>
      <c r="C135" s="226"/>
      <c r="D135" s="226"/>
      <c r="E135" s="226"/>
      <c r="F135" s="226"/>
      <c r="G135" s="246"/>
      <c r="H135" s="226"/>
      <c r="I135" s="226"/>
    </row>
    <row r="136" spans="1:9" ht="19.5" customHeight="1" x14ac:dyDescent="0.2">
      <c r="A136" s="247" t="s">
        <v>291</v>
      </c>
      <c r="B136" s="226" t="e">
        <f>Programa!#REF!</f>
        <v>#REF!</v>
      </c>
      <c r="C136" s="226"/>
      <c r="D136" s="226"/>
      <c r="E136" s="226"/>
      <c r="F136" s="226"/>
      <c r="G136" s="246"/>
    </row>
    <row r="137" spans="1:9" ht="16.5" customHeight="1" x14ac:dyDescent="0.2">
      <c r="A137" s="247"/>
      <c r="B137" s="229"/>
      <c r="C137" s="229"/>
      <c r="G137" s="82"/>
    </row>
    <row r="138" spans="1:9" ht="19.5" customHeight="1" x14ac:dyDescent="0.2">
      <c r="A138" s="247" t="s">
        <v>410</v>
      </c>
      <c r="B138" s="695" t="e">
        <f>Programa!#REF!</f>
        <v>#REF!</v>
      </c>
      <c r="C138" s="695"/>
      <c r="D138" s="695"/>
      <c r="E138" s="695"/>
      <c r="F138" s="695"/>
      <c r="G138" s="743"/>
    </row>
    <row r="139" spans="1:9" ht="19.5" customHeight="1" x14ac:dyDescent="0.2">
      <c r="A139" s="81"/>
      <c r="B139" s="695"/>
      <c r="C139" s="695"/>
      <c r="D139" s="695"/>
      <c r="E139" s="695"/>
      <c r="F139" s="695"/>
      <c r="G139" s="743"/>
    </row>
    <row r="140" spans="1:9" ht="19.5" customHeight="1" x14ac:dyDescent="0.2">
      <c r="A140" s="247" t="s">
        <v>411</v>
      </c>
      <c r="B140" s="226" t="e">
        <f>Programa!#REF!</f>
        <v>#REF!</v>
      </c>
      <c r="C140" s="384"/>
      <c r="D140" s="384"/>
      <c r="E140" s="384"/>
      <c r="F140" s="384"/>
      <c r="G140" s="385"/>
    </row>
    <row r="141" spans="1:9" ht="16.5" customHeight="1" x14ac:dyDescent="0.2">
      <c r="A141" s="81"/>
      <c r="B141" s="95"/>
      <c r="C141" s="95"/>
      <c r="D141" s="95"/>
      <c r="E141" s="95"/>
      <c r="F141" s="95"/>
      <c r="G141" s="82"/>
    </row>
    <row r="142" spans="1:9" ht="16.5" customHeight="1" x14ac:dyDescent="0.2">
      <c r="A142" s="81"/>
      <c r="B142" s="740" t="s">
        <v>253</v>
      </c>
      <c r="C142" s="740"/>
      <c r="D142" s="740"/>
      <c r="E142" s="740"/>
      <c r="F142" s="740"/>
      <c r="G142" s="235"/>
    </row>
    <row r="143" spans="1:9" ht="16.5" customHeight="1" x14ac:dyDescent="0.2">
      <c r="A143" s="81"/>
      <c r="B143" s="740"/>
      <c r="C143" s="740"/>
      <c r="D143" s="740"/>
      <c r="E143" s="740"/>
      <c r="F143" s="740"/>
      <c r="G143" s="235"/>
    </row>
    <row r="144" spans="1:9" ht="16.5" customHeight="1" x14ac:dyDescent="0.2">
      <c r="A144" s="81"/>
      <c r="B144" s="740"/>
      <c r="C144" s="740"/>
      <c r="D144" s="740"/>
      <c r="E144" s="740"/>
      <c r="F144" s="740"/>
      <c r="G144" s="235"/>
    </row>
    <row r="145" spans="1:9" ht="16.5" customHeight="1" x14ac:dyDescent="0.2">
      <c r="A145" s="94"/>
      <c r="B145" s="741"/>
      <c r="C145" s="741"/>
      <c r="D145" s="741"/>
      <c r="E145" s="741"/>
      <c r="F145" s="741"/>
      <c r="G145" s="96"/>
      <c r="H145" s="226"/>
      <c r="I145" s="226"/>
    </row>
    <row r="146" spans="1:9" ht="16.5" customHeight="1" x14ac:dyDescent="0.2">
      <c r="A146" s="234"/>
      <c r="B146" s="237"/>
      <c r="C146" s="237"/>
      <c r="D146" s="237"/>
      <c r="E146" s="237"/>
      <c r="F146" s="237"/>
      <c r="G146" s="80"/>
    </row>
    <row r="147" spans="1:9" ht="16.5" customHeight="1" x14ac:dyDescent="0.2">
      <c r="A147" s="81"/>
      <c r="G147" s="82"/>
    </row>
    <row r="148" spans="1:9" ht="16.5" customHeight="1" x14ac:dyDescent="0.2">
      <c r="A148" s="81"/>
      <c r="G148" s="82"/>
    </row>
    <row r="149" spans="1:9" ht="16.5" customHeight="1" x14ac:dyDescent="0.2">
      <c r="A149" s="81"/>
      <c r="G149" s="82"/>
    </row>
    <row r="150" spans="1:9" x14ac:dyDescent="0.2">
      <c r="A150" s="81"/>
      <c r="G150" s="82"/>
    </row>
    <row r="151" spans="1:9" ht="20.25" x14ac:dyDescent="0.3">
      <c r="A151" s="81"/>
      <c r="B151" s="220" t="s">
        <v>468</v>
      </c>
      <c r="G151" s="82"/>
    </row>
    <row r="152" spans="1:9" ht="18" x14ac:dyDescent="0.25">
      <c r="A152" s="81"/>
      <c r="B152" s="216"/>
      <c r="C152" s="221"/>
      <c r="D152" s="216"/>
      <c r="E152" s="216"/>
      <c r="F152" s="216"/>
      <c r="G152" s="240"/>
    </row>
    <row r="153" spans="1:9" ht="18.75" x14ac:dyDescent="0.3">
      <c r="A153" s="81"/>
      <c r="B153" s="227"/>
      <c r="C153" s="221"/>
      <c r="D153" s="216"/>
      <c r="E153" s="216"/>
      <c r="F153" s="216"/>
      <c r="G153" s="240"/>
    </row>
    <row r="154" spans="1:9" ht="18" x14ac:dyDescent="0.25">
      <c r="A154" s="81"/>
      <c r="B154" s="216"/>
      <c r="C154" s="221"/>
      <c r="D154" s="216"/>
      <c r="E154" s="216"/>
      <c r="F154" s="216"/>
      <c r="G154" s="240"/>
    </row>
    <row r="155" spans="1:9" ht="18" x14ac:dyDescent="0.25">
      <c r="A155" s="241"/>
      <c r="B155" s="216"/>
      <c r="C155" s="221"/>
      <c r="D155" s="216"/>
      <c r="E155" s="216"/>
      <c r="F155" s="216"/>
      <c r="G155" s="240"/>
    </row>
    <row r="156" spans="1:9" ht="18" x14ac:dyDescent="0.25">
      <c r="A156" s="242"/>
      <c r="B156" s="216"/>
      <c r="C156" s="222"/>
      <c r="D156" s="218"/>
      <c r="E156" s="216"/>
      <c r="F156" s="216"/>
      <c r="G156" s="243"/>
    </row>
    <row r="157" spans="1:9" ht="18" x14ac:dyDescent="0.25">
      <c r="A157" s="241"/>
      <c r="B157" s="216"/>
      <c r="C157" s="221"/>
      <c r="D157" s="216"/>
      <c r="E157" s="216"/>
      <c r="F157" s="216"/>
      <c r="G157" s="240"/>
    </row>
    <row r="158" spans="1:9" ht="18" x14ac:dyDescent="0.25">
      <c r="A158" s="241"/>
      <c r="B158" s="216"/>
      <c r="C158" s="222"/>
      <c r="D158" s="216"/>
      <c r="E158" s="216"/>
      <c r="F158" s="216"/>
      <c r="G158" s="240"/>
    </row>
    <row r="159" spans="1:9" ht="18" x14ac:dyDescent="0.25">
      <c r="A159" s="241"/>
      <c r="B159" s="216"/>
      <c r="C159" s="221"/>
      <c r="D159" s="216"/>
      <c r="E159" s="216"/>
      <c r="F159" s="216"/>
      <c r="G159" s="240"/>
    </row>
    <row r="160" spans="1:9" ht="18" x14ac:dyDescent="0.25">
      <c r="A160" s="241"/>
      <c r="C160" s="223"/>
      <c r="D160" s="216"/>
      <c r="E160" s="216"/>
      <c r="F160" s="216"/>
      <c r="G160" s="240"/>
    </row>
    <row r="161" spans="1:11" ht="18" x14ac:dyDescent="0.25">
      <c r="A161" s="241"/>
      <c r="B161" s="216"/>
      <c r="C161" s="221"/>
      <c r="D161" s="216"/>
      <c r="E161" s="216"/>
      <c r="F161" s="216"/>
      <c r="G161" s="240"/>
    </row>
    <row r="162" spans="1:11" ht="18" x14ac:dyDescent="0.25">
      <c r="A162" s="241"/>
      <c r="C162" s="221"/>
      <c r="D162" s="216"/>
      <c r="E162" s="216"/>
      <c r="F162" s="216"/>
      <c r="G162" s="240"/>
    </row>
    <row r="163" spans="1:11" ht="18" x14ac:dyDescent="0.25">
      <c r="A163" s="241"/>
      <c r="B163" s="216"/>
      <c r="C163" s="221"/>
      <c r="D163" s="216"/>
      <c r="E163" s="216"/>
      <c r="F163" s="216"/>
      <c r="G163" s="240"/>
    </row>
    <row r="164" spans="1:11" ht="18" x14ac:dyDescent="0.25">
      <c r="A164" s="241"/>
      <c r="B164" s="216"/>
      <c r="C164" s="221"/>
      <c r="D164" s="216"/>
      <c r="E164" s="216"/>
      <c r="F164" s="216"/>
      <c r="G164" s="240"/>
    </row>
    <row r="165" spans="1:11" ht="18" x14ac:dyDescent="0.25">
      <c r="A165" s="241"/>
      <c r="B165" s="216"/>
      <c r="C165" s="221"/>
      <c r="D165" s="216"/>
      <c r="E165" s="216"/>
      <c r="F165" s="216"/>
      <c r="G165" s="240"/>
    </row>
    <row r="166" spans="1:11" ht="18" x14ac:dyDescent="0.25">
      <c r="A166" s="241"/>
      <c r="B166" s="216"/>
      <c r="C166" s="223"/>
      <c r="D166" s="216"/>
      <c r="E166" s="216"/>
      <c r="F166" s="216"/>
      <c r="G166" s="240"/>
    </row>
    <row r="167" spans="1:11" ht="18" x14ac:dyDescent="0.25">
      <c r="A167" s="241"/>
      <c r="B167" s="216"/>
      <c r="C167" s="216"/>
      <c r="D167" s="216"/>
      <c r="E167" s="216"/>
      <c r="F167" s="216"/>
      <c r="G167" s="240"/>
    </row>
    <row r="168" spans="1:11" ht="18" x14ac:dyDescent="0.25">
      <c r="A168" s="241"/>
      <c r="D168" s="216"/>
      <c r="G168" s="240"/>
    </row>
    <row r="169" spans="1:11" ht="18" x14ac:dyDescent="0.25">
      <c r="A169" s="241"/>
      <c r="B169" s="216"/>
      <c r="D169" s="218"/>
      <c r="G169" s="243"/>
    </row>
    <row r="170" spans="1:11" hidden="1" x14ac:dyDescent="0.2">
      <c r="A170" s="81"/>
      <c r="G170" s="82"/>
    </row>
    <row r="171" spans="1:11" ht="20.25" x14ac:dyDescent="0.3">
      <c r="A171" s="81"/>
      <c r="B171" s="220" t="s">
        <v>509</v>
      </c>
      <c r="G171" s="82"/>
    </row>
    <row r="172" spans="1:11" ht="18" x14ac:dyDescent="0.2">
      <c r="A172" s="247"/>
      <c r="B172" s="229"/>
      <c r="C172" s="229"/>
      <c r="G172" s="82"/>
    </row>
    <row r="173" spans="1:11" ht="18.75" x14ac:dyDescent="0.25">
      <c r="A173" s="247"/>
      <c r="B173" s="450" t="s">
        <v>6</v>
      </c>
      <c r="C173" s="747" t="s">
        <v>512</v>
      </c>
      <c r="D173" s="747"/>
      <c r="E173" s="747"/>
      <c r="G173" s="82"/>
      <c r="I173" s="451" t="s">
        <v>6</v>
      </c>
      <c r="J173" s="79" t="s">
        <v>510</v>
      </c>
      <c r="K173" s="80"/>
    </row>
    <row r="174" spans="1:11" ht="18" customHeight="1" x14ac:dyDescent="0.25">
      <c r="A174" s="81"/>
      <c r="B174" s="449">
        <f>I174</f>
        <v>41914</v>
      </c>
      <c r="C174" s="691" t="str">
        <f t="shared" ref="C174:C176" si="0">J174</f>
        <v>Sales Orgánicas</v>
      </c>
      <c r="D174" s="691"/>
      <c r="E174" s="691"/>
      <c r="G174" s="82"/>
      <c r="I174" s="452">
        <v>41914</v>
      </c>
      <c r="J174" t="s">
        <v>198</v>
      </c>
      <c r="K174" s="82"/>
    </row>
    <row r="175" spans="1:11" ht="18" x14ac:dyDescent="0.25">
      <c r="A175" s="247"/>
      <c r="B175" s="449">
        <f t="shared" ref="B175:B176" si="1">I175</f>
        <v>41915</v>
      </c>
      <c r="C175" s="691" t="str">
        <f t="shared" si="0"/>
        <v>CloroX</v>
      </c>
      <c r="D175" s="691"/>
      <c r="E175" s="691"/>
      <c r="G175" s="82"/>
      <c r="I175" s="452">
        <v>41915</v>
      </c>
      <c r="J175" t="s">
        <v>511</v>
      </c>
      <c r="K175" s="82"/>
    </row>
    <row r="176" spans="1:11" ht="18" x14ac:dyDescent="0.25">
      <c r="A176" s="247"/>
      <c r="B176" s="449">
        <f t="shared" si="1"/>
        <v>42059</v>
      </c>
      <c r="C176" s="691" t="str">
        <f t="shared" si="0"/>
        <v>Sales Orgánicas</v>
      </c>
      <c r="D176" s="691"/>
      <c r="E176" s="691"/>
      <c r="G176" s="82"/>
      <c r="I176" s="453">
        <v>42059</v>
      </c>
      <c r="J176" s="95" t="s">
        <v>198</v>
      </c>
      <c r="K176" s="96"/>
    </row>
    <row r="177" spans="1:7" ht="18" x14ac:dyDescent="0.2">
      <c r="A177" s="247"/>
      <c r="B177" s="448"/>
      <c r="C177" s="691"/>
      <c r="D177" s="691"/>
      <c r="E177" s="691"/>
      <c r="G177" s="82"/>
    </row>
    <row r="178" spans="1:7" ht="18" x14ac:dyDescent="0.2">
      <c r="A178" s="247"/>
      <c r="B178" s="448"/>
      <c r="C178" s="691"/>
      <c r="D178" s="691"/>
      <c r="E178" s="691"/>
      <c r="G178" s="82"/>
    </row>
    <row r="179" spans="1:7" ht="18" x14ac:dyDescent="0.2">
      <c r="A179" s="247"/>
      <c r="B179" s="226"/>
      <c r="C179" s="229"/>
      <c r="G179" s="82"/>
    </row>
    <row r="180" spans="1:7" ht="18" x14ac:dyDescent="0.2">
      <c r="A180" s="247"/>
      <c r="B180" s="226"/>
      <c r="C180" s="229"/>
      <c r="G180" s="82"/>
    </row>
    <row r="181" spans="1:7" ht="18" x14ac:dyDescent="0.2">
      <c r="A181" s="247"/>
      <c r="B181" s="226"/>
      <c r="C181" s="229"/>
      <c r="G181" s="82"/>
    </row>
    <row r="182" spans="1:7" ht="18" x14ac:dyDescent="0.2">
      <c r="A182" s="247"/>
      <c r="B182" s="226"/>
      <c r="C182" s="229"/>
      <c r="G182" s="82"/>
    </row>
    <row r="183" spans="1:7" ht="18" x14ac:dyDescent="0.2">
      <c r="A183" s="247"/>
      <c r="B183" s="226"/>
      <c r="C183" s="229"/>
      <c r="G183" s="82"/>
    </row>
    <row r="184" spans="1:7" ht="18" x14ac:dyDescent="0.2">
      <c r="A184" s="247"/>
      <c r="B184" s="226"/>
      <c r="C184" s="229"/>
      <c r="G184" s="82"/>
    </row>
    <row r="185" spans="1:7" ht="18" x14ac:dyDescent="0.2">
      <c r="A185" s="247"/>
      <c r="B185" s="226"/>
      <c r="C185" s="229"/>
      <c r="G185" s="82"/>
    </row>
    <row r="186" spans="1:7" ht="12.75" customHeight="1" x14ac:dyDescent="0.2">
      <c r="A186" s="247"/>
      <c r="B186" s="226"/>
      <c r="C186" s="229"/>
      <c r="G186" s="82"/>
    </row>
    <row r="187" spans="1:7" ht="18" x14ac:dyDescent="0.2">
      <c r="A187" s="247"/>
      <c r="B187" s="226"/>
      <c r="C187" s="229"/>
      <c r="G187" s="82"/>
    </row>
    <row r="188" spans="1:7" ht="18" x14ac:dyDescent="0.2">
      <c r="A188" s="247"/>
      <c r="B188" s="226"/>
      <c r="C188" s="229"/>
      <c r="G188" s="82"/>
    </row>
    <row r="189" spans="1:7" x14ac:dyDescent="0.2">
      <c r="A189" s="81"/>
      <c r="B189" s="740" t="s">
        <v>253</v>
      </c>
      <c r="C189" s="740"/>
      <c r="D189" s="740"/>
      <c r="E189" s="740"/>
      <c r="F189" s="740"/>
      <c r="G189" s="235"/>
    </row>
    <row r="190" spans="1:7" x14ac:dyDescent="0.2">
      <c r="A190" s="81"/>
      <c r="B190" s="740"/>
      <c r="C190" s="740"/>
      <c r="D190" s="740"/>
      <c r="E190" s="740"/>
      <c r="F190" s="740"/>
      <c r="G190" s="235"/>
    </row>
    <row r="191" spans="1:7" x14ac:dyDescent="0.2">
      <c r="A191" s="81"/>
      <c r="B191" s="740"/>
      <c r="C191" s="740"/>
      <c r="D191" s="740"/>
      <c r="E191" s="740"/>
      <c r="F191" s="740"/>
      <c r="G191" s="235"/>
    </row>
    <row r="192" spans="1:7" x14ac:dyDescent="0.2">
      <c r="A192" s="94"/>
      <c r="B192" s="741"/>
      <c r="C192" s="741"/>
      <c r="D192" s="741"/>
      <c r="E192" s="741"/>
      <c r="F192" s="741"/>
      <c r="G192" s="96"/>
    </row>
  </sheetData>
  <mergeCells count="25">
    <mergeCell ref="A81:G81"/>
    <mergeCell ref="A8:G9"/>
    <mergeCell ref="B42:F45"/>
    <mergeCell ref="A74:G74"/>
    <mergeCell ref="A76:G77"/>
    <mergeCell ref="A79:G79"/>
    <mergeCell ref="B38:C38"/>
    <mergeCell ref="F64:G64"/>
    <mergeCell ref="F62:G62"/>
    <mergeCell ref="F60:G60"/>
    <mergeCell ref="A11:G12"/>
    <mergeCell ref="B189:F192"/>
    <mergeCell ref="B142:F145"/>
    <mergeCell ref="A83:G84"/>
    <mergeCell ref="A86:G86"/>
    <mergeCell ref="A88:G88"/>
    <mergeCell ref="B91:F94"/>
    <mergeCell ref="B129:G130"/>
    <mergeCell ref="B138:G139"/>
    <mergeCell ref="C173:E173"/>
    <mergeCell ref="C174:E174"/>
    <mergeCell ref="C175:E175"/>
    <mergeCell ref="C176:E176"/>
    <mergeCell ref="C177:E177"/>
    <mergeCell ref="C178:E178"/>
  </mergeCells>
  <dataValidations count="2">
    <dataValidation type="list" allowBlank="1" showInputMessage="1" showErrorMessage="1" sqref="B119 B121 B117 B113 B111 B105 B109 B107 B115" xr:uid="{00000000-0002-0000-0800-000000000000}">
      <formula1>$I$103:$I$124</formula1>
    </dataValidation>
    <dataValidation type="list" allowBlank="1" showInputMessage="1" showErrorMessage="1" sqref="B155 B157 B159 B161 B163 B165 B167 B169" xr:uid="{00000000-0002-0000-0800-000001000000}">
      <formula1>$I$96:$I$111</formula1>
    </dataValidation>
  </dataValidations>
  <printOptions horizontalCentered="1" verticalCentered="1"/>
  <pageMargins left="0.19685039370078741" right="0.19685039370078741" top="0.39370078740157483" bottom="0.39370078740157483" header="0" footer="0"/>
  <pageSetup orientation="portrait" r:id="rId1"/>
  <rowBreaks count="3" manualBreakCount="3">
    <brk id="46" max="16383" man="1"/>
    <brk id="94" max="16383" man="1"/>
    <brk id="145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57"/>
  <sheetViews>
    <sheetView view="pageBreakPreview" zoomScaleNormal="100" zoomScaleSheetLayoutView="100" workbookViewId="0">
      <selection sqref="A1:G26"/>
    </sheetView>
  </sheetViews>
  <sheetFormatPr baseColWidth="10" defaultRowHeight="12.75" x14ac:dyDescent="0.2"/>
  <cols>
    <col min="1" max="1" width="18.5703125" customWidth="1"/>
    <col min="2" max="2" width="21.42578125" customWidth="1"/>
    <col min="3" max="3" width="11.28515625" customWidth="1"/>
    <col min="4" max="4" width="11.42578125" customWidth="1"/>
    <col min="5" max="7" width="12.85546875" customWidth="1"/>
  </cols>
  <sheetData>
    <row r="1" spans="1:7" ht="18" x14ac:dyDescent="0.25">
      <c r="A1" s="234"/>
      <c r="B1" s="733" t="s">
        <v>518</v>
      </c>
      <c r="C1" s="733"/>
      <c r="D1" s="733"/>
      <c r="E1" s="733"/>
      <c r="F1" s="733"/>
      <c r="G1" s="80"/>
    </row>
    <row r="2" spans="1:7" x14ac:dyDescent="0.2">
      <c r="A2" s="81"/>
      <c r="G2" s="82"/>
    </row>
    <row r="3" spans="1:7" x14ac:dyDescent="0.2">
      <c r="A3" s="81"/>
      <c r="G3" s="82"/>
    </row>
    <row r="4" spans="1:7" x14ac:dyDescent="0.2">
      <c r="A4" s="81"/>
      <c r="B4" s="734" t="str">
        <f>CONCATENATE("Reporte N° ",'Ingreso Info'!B12)</f>
        <v>Reporte N° -</v>
      </c>
      <c r="C4" s="734"/>
      <c r="D4" s="734"/>
      <c r="E4" s="259"/>
      <c r="G4" s="82"/>
    </row>
    <row r="5" spans="1:7" x14ac:dyDescent="0.2">
      <c r="A5" s="81"/>
      <c r="G5" s="82"/>
    </row>
    <row r="6" spans="1:7" x14ac:dyDescent="0.2">
      <c r="A6" s="81"/>
      <c r="G6" s="82"/>
    </row>
    <row r="7" spans="1:7" ht="13.5" thickBot="1" x14ac:dyDescent="0.25">
      <c r="A7" s="81"/>
      <c r="G7" s="82"/>
    </row>
    <row r="8" spans="1:7" ht="13.5" thickBot="1" x14ac:dyDescent="0.25">
      <c r="A8" s="260" t="s">
        <v>0</v>
      </c>
      <c r="B8" s="4" t="str">
        <f>'Ingreso Info'!B3</f>
        <v>Lindero Atravesado</v>
      </c>
      <c r="C8" s="5"/>
      <c r="D8" s="5"/>
      <c r="E8" s="5"/>
      <c r="G8" s="261" t="s">
        <v>222</v>
      </c>
    </row>
    <row r="9" spans="1:7" ht="13.5" thickBot="1" x14ac:dyDescent="0.25">
      <c r="A9" s="260" t="s">
        <v>1</v>
      </c>
      <c r="B9" s="183" t="str">
        <f>'Ingreso Info'!B4</f>
        <v>LA.s-399</v>
      </c>
      <c r="C9" s="5"/>
      <c r="D9" s="5"/>
      <c r="E9" s="232" t="s">
        <v>9</v>
      </c>
      <c r="F9" s="231">
        <f>'Ingreso Info'!B31</f>
        <v>1234</v>
      </c>
      <c r="G9" s="262">
        <f>'Ingreso Info'!B32</f>
        <v>1616</v>
      </c>
    </row>
    <row r="10" spans="1:7" ht="13.5" thickBot="1" x14ac:dyDescent="0.25">
      <c r="A10" s="260" t="s">
        <v>287</v>
      </c>
      <c r="B10" s="183" t="str">
        <f>'Ingreso Info'!B5</f>
        <v>Inyector</v>
      </c>
      <c r="C10" s="5"/>
      <c r="D10" s="5"/>
      <c r="E10" s="735" t="s">
        <v>221</v>
      </c>
      <c r="F10" s="736"/>
      <c r="G10" s="263">
        <f>'Ingreso Info'!B33</f>
        <v>170</v>
      </c>
    </row>
    <row r="11" spans="1:7" ht="13.5" thickBot="1" x14ac:dyDescent="0.25">
      <c r="A11" s="260" t="s">
        <v>36</v>
      </c>
      <c r="B11" s="182" t="str">
        <f>'Ingreso Info'!B7</f>
        <v>Selectiva</v>
      </c>
      <c r="C11" s="5"/>
      <c r="D11" s="5"/>
      <c r="E11" s="5"/>
      <c r="F11" s="179"/>
      <c r="G11" s="264"/>
    </row>
    <row r="12" spans="1:7" ht="13.5" thickBot="1" x14ac:dyDescent="0.25">
      <c r="A12" s="260" t="s">
        <v>4</v>
      </c>
      <c r="B12" s="181">
        <v>1</v>
      </c>
      <c r="C12" s="5"/>
      <c r="D12" s="5"/>
      <c r="E12" s="5"/>
      <c r="F12" s="5"/>
      <c r="G12" s="264"/>
    </row>
    <row r="13" spans="1:7" ht="13.5" thickBot="1" x14ac:dyDescent="0.25">
      <c r="A13" s="260" t="s">
        <v>5</v>
      </c>
      <c r="B13" s="182" t="str">
        <f>'Ingreso Info'!B9:C9</f>
        <v>Bombeo Químico</v>
      </c>
      <c r="C13" s="5"/>
      <c r="D13" s="5"/>
      <c r="E13" s="232" t="s">
        <v>220</v>
      </c>
      <c r="F13" s="231">
        <f>'Ingreso Info'!B14</f>
        <v>100</v>
      </c>
      <c r="G13" s="82"/>
    </row>
    <row r="14" spans="1:7" ht="13.5" thickBot="1" x14ac:dyDescent="0.25">
      <c r="A14" s="260" t="s">
        <v>6</v>
      </c>
      <c r="B14" s="180">
        <f ca="1">'Ingreso Info'!B11</f>
        <v>45376</v>
      </c>
      <c r="C14" s="5"/>
      <c r="D14" s="5"/>
      <c r="E14" s="232" t="s">
        <v>285</v>
      </c>
      <c r="F14" s="636" t="s">
        <v>286</v>
      </c>
      <c r="G14" s="737"/>
    </row>
    <row r="15" spans="1:7" ht="13.5" thickBot="1" x14ac:dyDescent="0.25">
      <c r="A15" s="260" t="s">
        <v>219</v>
      </c>
      <c r="B15" s="180" t="str">
        <f>'Ingreso Info'!B13</f>
        <v>Sin equipo</v>
      </c>
      <c r="C15" s="5"/>
      <c r="D15" s="5"/>
      <c r="E15" s="5"/>
      <c r="F15" s="179"/>
      <c r="G15" s="264"/>
    </row>
    <row r="16" spans="1:7" x14ac:dyDescent="0.2">
      <c r="A16" s="265"/>
      <c r="G16" s="82"/>
    </row>
    <row r="17" spans="1:7" x14ac:dyDescent="0.2">
      <c r="A17" s="81"/>
      <c r="G17" s="82"/>
    </row>
    <row r="18" spans="1:7" ht="13.5" thickBot="1" x14ac:dyDescent="0.25">
      <c r="A18" s="266"/>
      <c r="F18" s="178"/>
      <c r="G18" s="264"/>
    </row>
    <row r="19" spans="1:7" ht="13.5" thickBot="1" x14ac:dyDescent="0.25">
      <c r="A19" s="267"/>
      <c r="B19" s="25" t="s">
        <v>12</v>
      </c>
      <c r="C19" s="25"/>
      <c r="D19" s="177" t="s">
        <v>218</v>
      </c>
      <c r="E19" s="177" t="s">
        <v>217</v>
      </c>
      <c r="F19" s="177" t="s">
        <v>191</v>
      </c>
      <c r="G19" s="268" t="s">
        <v>194</v>
      </c>
    </row>
    <row r="20" spans="1:7" ht="15" thickBot="1" x14ac:dyDescent="0.25">
      <c r="A20" s="269" t="s">
        <v>247</v>
      </c>
      <c r="B20" s="172"/>
      <c r="C20" s="211"/>
      <c r="D20" s="201"/>
      <c r="E20" s="171"/>
      <c r="F20" s="195"/>
      <c r="G20" s="270"/>
    </row>
    <row r="21" spans="1:7" ht="14.25" x14ac:dyDescent="0.2">
      <c r="A21" s="392" t="s">
        <v>199</v>
      </c>
      <c r="B21" s="393"/>
      <c r="C21" s="393"/>
      <c r="D21" s="394">
        <v>1</v>
      </c>
      <c r="E21" s="175">
        <v>2412.54</v>
      </c>
      <c r="F21" s="395">
        <f>ROUND(D21*E21,2)</f>
        <v>2412.54</v>
      </c>
      <c r="G21" s="396"/>
    </row>
    <row r="22" spans="1:7" ht="14.25" x14ac:dyDescent="0.2">
      <c r="A22" s="397" t="s">
        <v>200</v>
      </c>
      <c r="B22" s="398"/>
      <c r="C22" s="398"/>
      <c r="D22" s="399">
        <v>0</v>
      </c>
      <c r="E22" s="169">
        <v>608.30999999999995</v>
      </c>
      <c r="F22" s="400">
        <f>ROUND(D22*E22,2)</f>
        <v>0</v>
      </c>
      <c r="G22" s="401"/>
    </row>
    <row r="23" spans="1:7" ht="14.25" x14ac:dyDescent="0.2">
      <c r="A23" s="397"/>
      <c r="B23" s="398"/>
      <c r="C23" s="398"/>
      <c r="D23" s="399"/>
      <c r="E23" s="169"/>
      <c r="F23" s="400"/>
      <c r="G23" s="401"/>
    </row>
    <row r="24" spans="1:7" ht="14.25" x14ac:dyDescent="0.2">
      <c r="A24" s="402"/>
      <c r="B24" s="398"/>
      <c r="C24" s="398"/>
      <c r="D24" s="399"/>
      <c r="E24" s="169"/>
      <c r="F24" s="400"/>
      <c r="G24" s="401"/>
    </row>
    <row r="25" spans="1:7" ht="15" thickBot="1" x14ac:dyDescent="0.25">
      <c r="A25" s="272"/>
      <c r="B25" s="174"/>
      <c r="C25" s="174"/>
      <c r="D25" s="198"/>
      <c r="E25" s="173"/>
      <c r="F25" s="194"/>
      <c r="G25" s="273"/>
    </row>
    <row r="26" spans="1:7" ht="15" thickBot="1" x14ac:dyDescent="0.25">
      <c r="A26" s="269" t="s">
        <v>215</v>
      </c>
      <c r="B26" s="172"/>
      <c r="C26" s="211"/>
      <c r="D26" s="201" t="s">
        <v>205</v>
      </c>
      <c r="E26" s="171"/>
      <c r="F26" s="195"/>
      <c r="G26" s="270"/>
    </row>
    <row r="27" spans="1:7" ht="14.25" x14ac:dyDescent="0.2">
      <c r="A27" s="274" t="s">
        <v>290</v>
      </c>
      <c r="B27" s="170"/>
      <c r="C27" s="176"/>
      <c r="D27" s="210">
        <f>'Ingreso Info'!D34+'Ingreso Info'!D33</f>
        <v>0</v>
      </c>
      <c r="E27" s="169">
        <v>0.6</v>
      </c>
      <c r="F27" s="193">
        <f>ROUND(D27*E27,2)</f>
        <v>0</v>
      </c>
      <c r="G27" s="275"/>
    </row>
    <row r="28" spans="1:7" ht="14.25" x14ac:dyDescent="0.2">
      <c r="A28" s="276"/>
      <c r="B28" s="253"/>
      <c r="C28" s="251"/>
      <c r="D28" s="254"/>
      <c r="E28" s="255"/>
      <c r="F28" s="252"/>
      <c r="G28" s="277"/>
    </row>
    <row r="29" spans="1:7" ht="14.25" x14ac:dyDescent="0.2">
      <c r="A29" s="276"/>
      <c r="B29" s="253"/>
      <c r="C29" s="251"/>
      <c r="D29" s="254"/>
      <c r="E29" s="255"/>
      <c r="F29" s="252"/>
      <c r="G29" s="277"/>
    </row>
    <row r="30" spans="1:7" ht="14.25" x14ac:dyDescent="0.2">
      <c r="A30" s="276"/>
      <c r="B30" s="256"/>
      <c r="C30" s="251"/>
      <c r="D30" s="254"/>
      <c r="E30" s="257"/>
      <c r="F30" s="252"/>
      <c r="G30" s="277"/>
    </row>
    <row r="31" spans="1:7" ht="14.25" x14ac:dyDescent="0.2">
      <c r="A31" s="278"/>
      <c r="B31" s="168"/>
      <c r="C31" s="251"/>
      <c r="D31" s="200"/>
      <c r="E31" s="204"/>
      <c r="F31" s="165"/>
      <c r="G31" s="279"/>
    </row>
    <row r="32" spans="1:7" ht="14.25" x14ac:dyDescent="0.2">
      <c r="A32" s="278"/>
      <c r="B32" s="167"/>
      <c r="C32" s="251"/>
      <c r="D32" s="200"/>
      <c r="E32" s="204"/>
      <c r="F32" s="165"/>
      <c r="G32" s="279"/>
    </row>
    <row r="33" spans="1:7" ht="14.25" x14ac:dyDescent="0.2">
      <c r="A33" s="278"/>
      <c r="B33" s="166"/>
      <c r="C33" s="251"/>
      <c r="D33" s="200"/>
      <c r="E33" s="204"/>
      <c r="F33" s="165"/>
      <c r="G33" s="279"/>
    </row>
    <row r="34" spans="1:7" ht="14.25" x14ac:dyDescent="0.2">
      <c r="A34" s="278"/>
      <c r="B34" s="166"/>
      <c r="C34" s="251"/>
      <c r="D34" s="200"/>
      <c r="E34" s="204"/>
      <c r="F34" s="165"/>
      <c r="G34" s="279"/>
    </row>
    <row r="35" spans="1:7" ht="13.5" thickBot="1" x14ac:dyDescent="0.25">
      <c r="A35" s="280"/>
      <c r="B35" s="205"/>
      <c r="C35" s="258"/>
      <c r="D35" s="206"/>
      <c r="E35" s="207"/>
      <c r="F35" s="206"/>
      <c r="G35" s="281"/>
    </row>
    <row r="36" spans="1:7" ht="13.5" thickBot="1" x14ac:dyDescent="0.25">
      <c r="A36" s="282"/>
      <c r="B36" s="209"/>
      <c r="C36" s="209"/>
      <c r="D36" s="208"/>
      <c r="E36" s="208"/>
      <c r="F36" s="208"/>
      <c r="G36" s="283"/>
    </row>
    <row r="37" spans="1:7" ht="13.5" thickBot="1" x14ac:dyDescent="0.25">
      <c r="A37" s="284"/>
      <c r="B37" s="209"/>
      <c r="C37" s="209"/>
      <c r="D37" s="68"/>
      <c r="E37" s="164" t="s">
        <v>214</v>
      </c>
      <c r="F37" s="164" t="s">
        <v>191</v>
      </c>
      <c r="G37" s="285" t="s">
        <v>194</v>
      </c>
    </row>
    <row r="38" spans="1:7" ht="13.5" thickBot="1" x14ac:dyDescent="0.25">
      <c r="A38" s="286"/>
      <c r="B38" s="209"/>
      <c r="C38" s="209"/>
      <c r="E38" s="68"/>
      <c r="F38" s="163">
        <f>SUM(F21:F35)</f>
        <v>2412.54</v>
      </c>
      <c r="G38" s="287">
        <f>SUM(G21:G35)</f>
        <v>0</v>
      </c>
    </row>
    <row r="39" spans="1:7" x14ac:dyDescent="0.2">
      <c r="A39" s="81"/>
      <c r="G39" s="82"/>
    </row>
    <row r="40" spans="1:7" x14ac:dyDescent="0.2">
      <c r="A40" s="81"/>
      <c r="G40" s="82"/>
    </row>
    <row r="41" spans="1:7" x14ac:dyDescent="0.2">
      <c r="A41" s="81"/>
      <c r="G41" s="82"/>
    </row>
    <row r="42" spans="1:7" x14ac:dyDescent="0.2">
      <c r="A42" s="81"/>
      <c r="G42" s="82"/>
    </row>
    <row r="43" spans="1:7" x14ac:dyDescent="0.2">
      <c r="A43" s="81"/>
      <c r="G43" s="82"/>
    </row>
    <row r="44" spans="1:7" x14ac:dyDescent="0.2">
      <c r="A44" s="81"/>
      <c r="G44" s="82"/>
    </row>
    <row r="45" spans="1:7" x14ac:dyDescent="0.2">
      <c r="A45" s="81"/>
      <c r="G45" s="82"/>
    </row>
    <row r="46" spans="1:7" x14ac:dyDescent="0.2">
      <c r="A46" s="81"/>
      <c r="G46" s="82"/>
    </row>
    <row r="47" spans="1:7" x14ac:dyDescent="0.2">
      <c r="A47" s="81"/>
      <c r="G47" s="82"/>
    </row>
    <row r="48" spans="1:7" x14ac:dyDescent="0.2">
      <c r="A48" s="81"/>
      <c r="G48" s="82"/>
    </row>
    <row r="49" spans="1:7" x14ac:dyDescent="0.2">
      <c r="A49" s="81"/>
      <c r="G49" s="82"/>
    </row>
    <row r="50" spans="1:7" x14ac:dyDescent="0.2">
      <c r="A50" s="81"/>
      <c r="G50" s="82"/>
    </row>
    <row r="51" spans="1:7" x14ac:dyDescent="0.2">
      <c r="A51" s="81"/>
      <c r="G51" s="82"/>
    </row>
    <row r="52" spans="1:7" x14ac:dyDescent="0.2">
      <c r="A52" s="81"/>
      <c r="G52" s="82"/>
    </row>
    <row r="53" spans="1:7" x14ac:dyDescent="0.2">
      <c r="A53" s="81"/>
      <c r="G53" s="82"/>
    </row>
    <row r="54" spans="1:7" x14ac:dyDescent="0.2">
      <c r="A54" s="81"/>
      <c r="G54" s="82"/>
    </row>
    <row r="55" spans="1:7" x14ac:dyDescent="0.2">
      <c r="A55" s="81"/>
      <c r="G55" s="82"/>
    </row>
    <row r="56" spans="1:7" x14ac:dyDescent="0.2">
      <c r="A56" s="288" t="s">
        <v>213</v>
      </c>
      <c r="F56" s="1" t="s">
        <v>212</v>
      </c>
      <c r="G56" s="82"/>
    </row>
    <row r="57" spans="1:7" x14ac:dyDescent="0.2">
      <c r="A57" s="289" t="s">
        <v>211</v>
      </c>
      <c r="B57" s="95"/>
      <c r="C57" s="95"/>
      <c r="D57" s="95"/>
      <c r="E57" s="95"/>
      <c r="F57" s="290" t="s">
        <v>210</v>
      </c>
      <c r="G57" s="96"/>
    </row>
  </sheetData>
  <mergeCells count="4">
    <mergeCell ref="B1:F1"/>
    <mergeCell ref="B4:D4"/>
    <mergeCell ref="E10:F10"/>
    <mergeCell ref="F14:G14"/>
  </mergeCells>
  <printOptions horizontalCentered="1" verticalCentered="1"/>
  <pageMargins left="0.19685039370078741" right="0.19685039370078741" top="0.39370078740157483" bottom="0.39370078740157483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117"/>
  <sheetViews>
    <sheetView view="pageBreakPreview" topLeftCell="A17" zoomScaleNormal="100" workbookViewId="0">
      <selection activeCell="H37" sqref="H37"/>
    </sheetView>
  </sheetViews>
  <sheetFormatPr baseColWidth="10" defaultRowHeight="12.75" x14ac:dyDescent="0.2"/>
  <cols>
    <col min="1" max="1" width="19.7109375" customWidth="1"/>
    <col min="2" max="2" width="12.28515625" bestFit="1" customWidth="1"/>
    <col min="4" max="4" width="13.42578125" customWidth="1"/>
    <col min="5" max="5" width="11.5703125" bestFit="1" customWidth="1"/>
    <col min="6" max="6" width="12.28515625" bestFit="1" customWidth="1"/>
    <col min="8" max="8" width="17.7109375" bestFit="1" customWidth="1"/>
    <col min="9" max="9" width="14.42578125" bestFit="1" customWidth="1"/>
    <col min="10" max="10" width="11.140625" bestFit="1" customWidth="1"/>
    <col min="13" max="13" width="15.28515625" bestFit="1" customWidth="1"/>
  </cols>
  <sheetData>
    <row r="1" spans="1:9" x14ac:dyDescent="0.2">
      <c r="F1" s="141" t="str">
        <f>'Ingreso Info'!B12</f>
        <v>-</v>
      </c>
    </row>
    <row r="6" spans="1:9" ht="18" x14ac:dyDescent="0.25">
      <c r="B6" s="2" t="s">
        <v>30</v>
      </c>
    </row>
    <row r="7" spans="1:9" ht="13.5" thickBot="1" x14ac:dyDescent="0.25"/>
    <row r="8" spans="1:9" ht="13.5" thickBot="1" x14ac:dyDescent="0.25">
      <c r="A8" s="3" t="s">
        <v>0</v>
      </c>
      <c r="B8" s="4" t="str">
        <f>'Ingreso Info'!B3</f>
        <v>Lindero Atravesado</v>
      </c>
      <c r="C8" s="5"/>
      <c r="D8" s="5"/>
      <c r="E8" s="6" t="s">
        <v>35</v>
      </c>
      <c r="F8" s="7">
        <f>'Ingreso Info'!B17</f>
        <v>7</v>
      </c>
    </row>
    <row r="9" spans="1:9" ht="13.5" thickBot="1" x14ac:dyDescent="0.25">
      <c r="A9" s="3" t="s">
        <v>1</v>
      </c>
      <c r="B9" s="8" t="str">
        <f>'Ingreso Info'!B4</f>
        <v>LA.s-399</v>
      </c>
      <c r="C9" s="5"/>
      <c r="D9" s="5"/>
      <c r="E9" s="6" t="s">
        <v>2</v>
      </c>
      <c r="F9" s="7">
        <f>'Ingreso Info'!B18</f>
        <v>3.5</v>
      </c>
    </row>
    <row r="10" spans="1:9" ht="13.5" thickBot="1" x14ac:dyDescent="0.25">
      <c r="A10" s="3" t="s">
        <v>36</v>
      </c>
      <c r="B10" s="11" t="str">
        <f>'Ingreso Info'!B7</f>
        <v>Selectiva</v>
      </c>
      <c r="C10" s="5"/>
      <c r="D10" s="5"/>
      <c r="E10" s="6" t="s">
        <v>3</v>
      </c>
      <c r="F10" s="9">
        <f>'Ingreso Info'!B19</f>
        <v>1465.24</v>
      </c>
      <c r="H10" s="105" t="s">
        <v>165</v>
      </c>
      <c r="I10" s="138" t="s">
        <v>187</v>
      </c>
    </row>
    <row r="11" spans="1:9" ht="13.5" thickBot="1" x14ac:dyDescent="0.25">
      <c r="A11" s="3" t="s">
        <v>4</v>
      </c>
      <c r="B11" s="9">
        <v>2</v>
      </c>
      <c r="C11" s="5"/>
      <c r="D11" s="5"/>
      <c r="E11" s="5"/>
      <c r="F11" s="9"/>
      <c r="H11" s="74" t="s">
        <v>170</v>
      </c>
      <c r="I11" s="139" t="s">
        <v>188</v>
      </c>
    </row>
    <row r="12" spans="1:9" ht="13.5" thickBot="1" x14ac:dyDescent="0.25">
      <c r="A12" s="3" t="s">
        <v>5</v>
      </c>
      <c r="B12" s="66" t="str">
        <f>'Ingreso Info'!B9</f>
        <v>Bombeo Químico</v>
      </c>
      <c r="C12" s="10"/>
      <c r="D12" s="5"/>
      <c r="E12" s="5"/>
      <c r="F12" s="9"/>
      <c r="H12" s="74"/>
      <c r="I12" s="139" t="s">
        <v>38</v>
      </c>
    </row>
    <row r="13" spans="1:9" ht="13.5" thickBot="1" x14ac:dyDescent="0.25">
      <c r="A13" s="3" t="s">
        <v>6</v>
      </c>
      <c r="B13" s="11">
        <v>41844</v>
      </c>
      <c r="C13" s="5"/>
      <c r="D13" s="5"/>
      <c r="E13" s="12" t="s">
        <v>171</v>
      </c>
      <c r="F13" s="190" t="str">
        <f>'Ingreso Info'!B30</f>
        <v>N/A</v>
      </c>
      <c r="H13" s="75"/>
      <c r="I13" s="139" t="s">
        <v>189</v>
      </c>
    </row>
    <row r="14" spans="1:9" ht="13.5" thickBot="1" x14ac:dyDescent="0.25">
      <c r="A14" s="13" t="s">
        <v>7</v>
      </c>
      <c r="B14" s="14"/>
      <c r="C14" s="15">
        <v>0.45833333333333331</v>
      </c>
      <c r="D14" s="5"/>
      <c r="F14" s="9"/>
      <c r="I14" s="139"/>
    </row>
    <row r="15" spans="1:9" ht="13.5" thickBot="1" x14ac:dyDescent="0.25">
      <c r="A15" s="16" t="s">
        <v>8</v>
      </c>
      <c r="B15" s="17"/>
      <c r="C15" s="15">
        <v>0.47083333333333338</v>
      </c>
      <c r="D15" s="5"/>
      <c r="E15" s="5"/>
      <c r="F15" s="9"/>
      <c r="I15" s="139"/>
    </row>
    <row r="16" spans="1:9" ht="13.5" thickBot="1" x14ac:dyDescent="0.25">
      <c r="A16" s="18" t="s">
        <v>37</v>
      </c>
      <c r="B16" s="19"/>
      <c r="C16" s="15">
        <v>0.49236111111111108</v>
      </c>
      <c r="D16" s="5"/>
      <c r="E16" s="6" t="s">
        <v>9</v>
      </c>
      <c r="F16" s="190">
        <f>'Ingreso Info'!B31</f>
        <v>1234</v>
      </c>
      <c r="I16" s="139"/>
    </row>
    <row r="17" spans="1:10" ht="13.5" thickBot="1" x14ac:dyDescent="0.25">
      <c r="A17" s="20" t="s">
        <v>10</v>
      </c>
      <c r="B17" s="21"/>
      <c r="C17" s="22">
        <v>0.51388888888888895</v>
      </c>
      <c r="D17" s="5"/>
      <c r="F17" s="190">
        <f>'Ingreso Info'!B32</f>
        <v>1616</v>
      </c>
      <c r="I17" s="139"/>
    </row>
    <row r="18" spans="1:10" ht="13.5" thickBot="1" x14ac:dyDescent="0.25">
      <c r="E18" s="23" t="s">
        <v>11</v>
      </c>
      <c r="F18" s="190">
        <f>'Ingreso Info'!B33</f>
        <v>170</v>
      </c>
      <c r="H18">
        <v>0</v>
      </c>
      <c r="I18" s="139"/>
      <c r="J18">
        <v>0</v>
      </c>
    </row>
    <row r="19" spans="1:10" ht="13.5" thickBot="1" x14ac:dyDescent="0.25">
      <c r="A19" s="24"/>
      <c r="B19" s="25" t="s">
        <v>12</v>
      </c>
      <c r="C19" s="25"/>
      <c r="D19" s="26"/>
      <c r="E19" s="27" t="s">
        <v>13</v>
      </c>
      <c r="F19" s="27" t="s">
        <v>14</v>
      </c>
      <c r="I19" s="139"/>
    </row>
    <row r="20" spans="1:10" ht="15" x14ac:dyDescent="0.2">
      <c r="A20" s="110" t="s">
        <v>161</v>
      </c>
      <c r="B20" s="28"/>
      <c r="C20" s="28"/>
      <c r="D20" s="29"/>
      <c r="E20" s="30">
        <f>C14</f>
        <v>0.45833333333333331</v>
      </c>
      <c r="F20" s="63">
        <f>C15</f>
        <v>0.47083333333333338</v>
      </c>
      <c r="I20" s="139"/>
    </row>
    <row r="21" spans="1:10" x14ac:dyDescent="0.2">
      <c r="A21" s="35" t="s">
        <v>162</v>
      </c>
      <c r="B21" s="31"/>
      <c r="C21" s="31"/>
      <c r="D21" s="32"/>
      <c r="E21" s="33"/>
      <c r="F21" s="34"/>
      <c r="I21" s="139"/>
    </row>
    <row r="22" spans="1:10" ht="13.5" thickBot="1" x14ac:dyDescent="0.25">
      <c r="A22" s="35" t="s">
        <v>251</v>
      </c>
      <c r="B22" s="31"/>
      <c r="C22" s="31"/>
      <c r="D22" s="32"/>
      <c r="E22" s="33"/>
      <c r="F22" s="36"/>
      <c r="I22" s="140"/>
    </row>
    <row r="23" spans="1:10" ht="13.5" thickBot="1" x14ac:dyDescent="0.25">
      <c r="A23" s="35" t="str">
        <f>CONCATENATE("Se inyectan ",I30," Lts de tratamiento.")</f>
        <v>Se inyectan 7000 Lts de tratamiento.</v>
      </c>
      <c r="B23" s="31"/>
      <c r="C23" s="31"/>
      <c r="D23" s="32"/>
      <c r="E23" s="33"/>
      <c r="F23" s="36"/>
    </row>
    <row r="24" spans="1:10" x14ac:dyDescent="0.2">
      <c r="A24" s="35" t="str">
        <f>CONCATENATE("Se inyectan ",I25," lts de preflujo + aditivos.")</f>
        <v>Se inyectan 0 lts de preflujo + aditivos.</v>
      </c>
      <c r="B24" s="31"/>
      <c r="C24" s="31"/>
      <c r="D24" s="32"/>
      <c r="E24" s="37">
        <f>F20</f>
        <v>0.47083333333333338</v>
      </c>
      <c r="F24" s="34">
        <v>0.47083333333333338</v>
      </c>
      <c r="H24" s="105"/>
      <c r="I24" s="45" t="s">
        <v>154</v>
      </c>
      <c r="J24" s="46" t="s">
        <v>155</v>
      </c>
    </row>
    <row r="25" spans="1:10" x14ac:dyDescent="0.2">
      <c r="A25" s="38" t="s">
        <v>15</v>
      </c>
      <c r="B25" s="447">
        <v>0</v>
      </c>
      <c r="C25" s="39" t="s">
        <v>16</v>
      </c>
      <c r="D25" s="104">
        <v>0</v>
      </c>
      <c r="E25" s="33"/>
      <c r="F25" s="36"/>
      <c r="H25" s="74" t="s">
        <v>150</v>
      </c>
      <c r="I25">
        <v>0</v>
      </c>
      <c r="J25" s="49"/>
    </row>
    <row r="26" spans="1:10" x14ac:dyDescent="0.2">
      <c r="A26" s="38" t="s">
        <v>17</v>
      </c>
      <c r="B26" s="447">
        <v>300</v>
      </c>
      <c r="C26" s="39" t="s">
        <v>18</v>
      </c>
      <c r="D26" s="104">
        <v>0</v>
      </c>
      <c r="E26" s="33"/>
      <c r="F26" s="36"/>
      <c r="H26" s="74" t="s">
        <v>151</v>
      </c>
      <c r="I26">
        <v>7000</v>
      </c>
      <c r="J26" s="49"/>
    </row>
    <row r="27" spans="1:10" x14ac:dyDescent="0.2">
      <c r="A27" s="35" t="str">
        <f>CONCATENATE("Posteriormente ",I26," lts de Tratamiento + aditivos.")</f>
        <v>Posteriormente 7000 lts de Tratamiento + aditivos.</v>
      </c>
      <c r="B27" s="31"/>
      <c r="C27" s="31"/>
      <c r="D27" s="32"/>
      <c r="E27" s="37">
        <f>F24</f>
        <v>0.47083333333333338</v>
      </c>
      <c r="F27" s="34">
        <v>0.48472222222222222</v>
      </c>
      <c r="H27" s="74" t="s">
        <v>152</v>
      </c>
      <c r="I27">
        <v>0</v>
      </c>
      <c r="J27" s="49"/>
    </row>
    <row r="28" spans="1:10" x14ac:dyDescent="0.2">
      <c r="A28" s="38" t="s">
        <v>15</v>
      </c>
      <c r="B28" s="447">
        <f>B26</f>
        <v>300</v>
      </c>
      <c r="C28" s="39" t="s">
        <v>19</v>
      </c>
      <c r="D28" s="104">
        <f>D26</f>
        <v>0</v>
      </c>
      <c r="E28" s="33"/>
      <c r="F28" s="36"/>
      <c r="H28" s="74" t="s">
        <v>153</v>
      </c>
      <c r="I28">
        <v>4000</v>
      </c>
      <c r="J28" s="49"/>
    </row>
    <row r="29" spans="1:10" x14ac:dyDescent="0.2">
      <c r="A29" s="38" t="s">
        <v>17</v>
      </c>
      <c r="B29" s="447">
        <v>401</v>
      </c>
      <c r="C29" s="39" t="s">
        <v>18</v>
      </c>
      <c r="D29" s="104">
        <v>1244</v>
      </c>
      <c r="E29" s="33"/>
      <c r="F29" s="36"/>
      <c r="H29" s="74"/>
      <c r="J29" s="49"/>
    </row>
    <row r="30" spans="1:10" ht="13.5" thickBot="1" x14ac:dyDescent="0.25">
      <c r="A30" s="35" t="str">
        <f>CONCATENATE("Posteriormente ",I27," lts de Postflujo + aditivos.")</f>
        <v>Posteriormente 0 lts de Postflujo + aditivos.</v>
      </c>
      <c r="B30" s="31"/>
      <c r="C30" s="31"/>
      <c r="D30" s="32"/>
      <c r="E30" s="37">
        <f>F27</f>
        <v>0.48472222222222222</v>
      </c>
      <c r="F30" s="34">
        <v>0.48472222222222222</v>
      </c>
      <c r="H30" s="75" t="s">
        <v>156</v>
      </c>
      <c r="I30" s="106">
        <f>SUM(I25:I27)</f>
        <v>7000</v>
      </c>
      <c r="J30" s="107"/>
    </row>
    <row r="31" spans="1:10" x14ac:dyDescent="0.2">
      <c r="A31" s="38" t="s">
        <v>15</v>
      </c>
      <c r="B31" s="447">
        <f>B29</f>
        <v>401</v>
      </c>
      <c r="C31" s="39" t="s">
        <v>19</v>
      </c>
      <c r="D31" s="104">
        <f>D29</f>
        <v>1244</v>
      </c>
      <c r="E31" s="33"/>
      <c r="F31" s="36"/>
    </row>
    <row r="32" spans="1:10" x14ac:dyDescent="0.2">
      <c r="A32" s="38" t="s">
        <v>17</v>
      </c>
      <c r="B32" s="447">
        <v>401</v>
      </c>
      <c r="C32" s="39" t="s">
        <v>18</v>
      </c>
      <c r="D32" s="104">
        <v>1244</v>
      </c>
      <c r="E32" s="33"/>
      <c r="F32" s="34"/>
    </row>
    <row r="33" spans="1:6" x14ac:dyDescent="0.2">
      <c r="A33" s="35" t="str">
        <f>CONCATENATE("Se desplazan ",I28," lts de agua tratada con 4% de KCl.")</f>
        <v>Se desplazan 4000 lts de agua tratada con 4% de KCl.</v>
      </c>
      <c r="B33" s="31"/>
      <c r="C33" s="31"/>
      <c r="D33" s="32"/>
      <c r="E33" s="37">
        <f>F30</f>
        <v>0.48472222222222222</v>
      </c>
      <c r="F33" s="34">
        <f>C16</f>
        <v>0.49236111111111108</v>
      </c>
    </row>
    <row r="34" spans="1:6" x14ac:dyDescent="0.2">
      <c r="A34" s="38" t="s">
        <v>15</v>
      </c>
      <c r="B34" s="447">
        <f>B32</f>
        <v>401</v>
      </c>
      <c r="C34" s="39" t="s">
        <v>19</v>
      </c>
      <c r="D34" s="104">
        <f>D32</f>
        <v>1244</v>
      </c>
      <c r="E34" s="33"/>
      <c r="F34" s="36"/>
    </row>
    <row r="35" spans="1:6" x14ac:dyDescent="0.2">
      <c r="A35" s="38" t="s">
        <v>17</v>
      </c>
      <c r="B35" s="447">
        <v>355</v>
      </c>
      <c r="C35" s="39" t="s">
        <v>18</v>
      </c>
      <c r="D35" s="104">
        <v>522</v>
      </c>
      <c r="E35" s="33"/>
      <c r="F35" s="34"/>
    </row>
    <row r="36" spans="1:6" x14ac:dyDescent="0.2">
      <c r="A36" s="35" t="s">
        <v>163</v>
      </c>
      <c r="B36" s="31"/>
      <c r="C36" s="31"/>
      <c r="D36" s="32"/>
      <c r="E36" s="40">
        <f>F33</f>
        <v>0.49236111111111108</v>
      </c>
      <c r="F36" s="42">
        <f>C17</f>
        <v>0.51388888888888895</v>
      </c>
    </row>
    <row r="37" spans="1:6" x14ac:dyDescent="0.2">
      <c r="A37" s="35"/>
      <c r="B37" s="31"/>
      <c r="C37" s="31"/>
      <c r="D37" s="32"/>
      <c r="E37" s="41"/>
      <c r="F37" s="42"/>
    </row>
    <row r="38" spans="1:6" x14ac:dyDescent="0.2">
      <c r="A38" s="35" t="s">
        <v>164</v>
      </c>
      <c r="B38" s="31"/>
      <c r="C38" s="31"/>
      <c r="D38" s="32"/>
      <c r="E38" s="41"/>
      <c r="F38" s="42"/>
    </row>
    <row r="39" spans="1:6" ht="13.5" thickBot="1" x14ac:dyDescent="0.25">
      <c r="A39" s="670" t="s">
        <v>252</v>
      </c>
      <c r="B39" s="671"/>
      <c r="C39" s="671"/>
      <c r="D39" s="672"/>
      <c r="E39" s="43"/>
      <c r="F39" s="44"/>
    </row>
    <row r="40" spans="1:6" hidden="1" x14ac:dyDescent="0.2">
      <c r="A40" s="673"/>
      <c r="B40" s="674"/>
      <c r="C40" s="674"/>
      <c r="D40" s="675"/>
      <c r="E40" s="143"/>
      <c r="F40" s="144"/>
    </row>
    <row r="41" spans="1:6" hidden="1" x14ac:dyDescent="0.2">
      <c r="A41" s="673"/>
      <c r="B41" s="674"/>
      <c r="C41" s="674"/>
      <c r="D41" s="675"/>
      <c r="E41" s="73"/>
      <c r="F41" s="68"/>
    </row>
    <row r="42" spans="1:6" hidden="1" x14ac:dyDescent="0.2">
      <c r="A42" s="673"/>
      <c r="B42" s="674"/>
      <c r="C42" s="674"/>
      <c r="D42" s="675"/>
      <c r="E42" s="73"/>
      <c r="F42" s="68"/>
    </row>
    <row r="43" spans="1:6" hidden="1" x14ac:dyDescent="0.2">
      <c r="A43" s="673"/>
      <c r="B43" s="674"/>
      <c r="C43" s="674"/>
      <c r="D43" s="675"/>
      <c r="E43" s="73"/>
      <c r="F43" s="68"/>
    </row>
    <row r="44" spans="1:6" ht="13.5" hidden="1" thickBot="1" x14ac:dyDescent="0.25">
      <c r="A44" s="676"/>
      <c r="B44" s="677"/>
      <c r="C44" s="677"/>
      <c r="D44" s="678"/>
      <c r="E44" s="147"/>
      <c r="F44" s="142"/>
    </row>
    <row r="45" spans="1:6" ht="13.5" thickBot="1" x14ac:dyDescent="0.25">
      <c r="A45" s="149" t="s">
        <v>195</v>
      </c>
      <c r="B45" s="45"/>
      <c r="C45" s="45"/>
      <c r="D45" s="46"/>
      <c r="E45" s="47" t="s">
        <v>20</v>
      </c>
      <c r="F45" s="48"/>
    </row>
    <row r="46" spans="1:6" ht="13.5" thickBot="1" x14ac:dyDescent="0.25">
      <c r="A46" s="65" t="s">
        <v>39</v>
      </c>
      <c r="D46" s="49"/>
      <c r="E46" s="71" t="s">
        <v>43</v>
      </c>
      <c r="F46" s="112">
        <v>2513.06</v>
      </c>
    </row>
    <row r="47" spans="1:6" ht="13.5" thickBot="1" x14ac:dyDescent="0.25">
      <c r="A47" s="65" t="s">
        <v>44</v>
      </c>
      <c r="D47" s="49"/>
      <c r="E47" s="72" t="s">
        <v>43</v>
      </c>
      <c r="F47" s="112">
        <f>D49*0.63</f>
        <v>4410</v>
      </c>
    </row>
    <row r="48" spans="1:6" ht="13.5" thickBot="1" x14ac:dyDescent="0.25">
      <c r="A48" s="65" t="s">
        <v>192</v>
      </c>
      <c r="D48" s="49"/>
      <c r="E48" s="72" t="s">
        <v>43</v>
      </c>
      <c r="F48" s="112">
        <f>633.66*0</f>
        <v>0</v>
      </c>
    </row>
    <row r="49" spans="1:6" ht="13.5" thickBot="1" x14ac:dyDescent="0.25">
      <c r="A49" s="65"/>
      <c r="C49" s="70" t="s">
        <v>42</v>
      </c>
      <c r="D49" s="68">
        <f>I30</f>
        <v>7000</v>
      </c>
      <c r="E49" s="111" t="s">
        <v>43</v>
      </c>
      <c r="F49" s="113">
        <f>SUM(F46:F48)</f>
        <v>6923.0599999999995</v>
      </c>
    </row>
    <row r="50" spans="1:6" ht="13.5" thickBot="1" x14ac:dyDescent="0.25">
      <c r="A50" s="59" t="s">
        <v>33</v>
      </c>
      <c r="C50" s="70"/>
      <c r="D50" s="68"/>
      <c r="E50" s="111"/>
      <c r="F50" s="145"/>
    </row>
    <row r="51" spans="1:6" ht="13.5" hidden="1" thickBot="1" x14ac:dyDescent="0.25">
      <c r="A51" s="59"/>
      <c r="C51" s="70"/>
      <c r="D51" s="68"/>
      <c r="E51" s="111"/>
      <c r="F51" s="145"/>
    </row>
    <row r="52" spans="1:6" ht="13.5" hidden="1" thickBot="1" x14ac:dyDescent="0.25">
      <c r="A52" s="148" t="s">
        <v>198</v>
      </c>
      <c r="C52" s="70"/>
      <c r="D52" s="68"/>
      <c r="E52" s="111"/>
      <c r="F52" s="145"/>
    </row>
    <row r="53" spans="1:6" ht="13.5" hidden="1" thickBot="1" x14ac:dyDescent="0.25">
      <c r="A53" s="65" t="s">
        <v>199</v>
      </c>
      <c r="C53" s="70"/>
      <c r="D53" s="68"/>
      <c r="E53" s="150">
        <v>13570.9</v>
      </c>
      <c r="F53" s="151"/>
    </row>
    <row r="54" spans="1:6" ht="13.5" hidden="1" thickBot="1" x14ac:dyDescent="0.25">
      <c r="A54" s="65" t="s">
        <v>200</v>
      </c>
      <c r="C54" s="70"/>
      <c r="D54" s="68"/>
      <c r="E54" s="150">
        <v>4458</v>
      </c>
      <c r="F54" s="151"/>
    </row>
    <row r="55" spans="1:6" ht="13.5" hidden="1" thickBot="1" x14ac:dyDescent="0.25">
      <c r="A55" s="65" t="s">
        <v>201</v>
      </c>
      <c r="C55" s="70"/>
      <c r="D55" s="68"/>
      <c r="E55" s="150"/>
      <c r="F55" s="151"/>
    </row>
    <row r="56" spans="1:6" ht="13.5" hidden="1" thickBot="1" x14ac:dyDescent="0.25">
      <c r="A56" s="65"/>
      <c r="C56" s="70"/>
      <c r="D56" s="161" t="s">
        <v>209</v>
      </c>
      <c r="E56" s="160">
        <f>SUM(E53:E55)</f>
        <v>18028.900000000001</v>
      </c>
      <c r="F56" s="153"/>
    </row>
    <row r="57" spans="1:6" ht="13.5" hidden="1" thickBot="1" x14ac:dyDescent="0.25">
      <c r="A57" s="65"/>
      <c r="C57" s="70"/>
      <c r="D57" s="158"/>
      <c r="E57" s="152"/>
      <c r="F57" s="153"/>
    </row>
    <row r="58" spans="1:6" ht="13.5" hidden="1" thickBot="1" x14ac:dyDescent="0.25">
      <c r="A58" s="65"/>
      <c r="B58" s="154" t="s">
        <v>205</v>
      </c>
      <c r="C58" s="154" t="s">
        <v>206</v>
      </c>
      <c r="D58" s="155" t="s">
        <v>207</v>
      </c>
      <c r="E58" s="152"/>
      <c r="F58" s="153"/>
    </row>
    <row r="59" spans="1:6" ht="13.5" hidden="1" thickBot="1" x14ac:dyDescent="0.25">
      <c r="A59" s="65" t="s">
        <v>202</v>
      </c>
      <c r="B59" s="154">
        <f>I25+I26+I27</f>
        <v>7000</v>
      </c>
      <c r="C59" s="157">
        <f>B59/1.185537</f>
        <v>5904.4972868834966</v>
      </c>
      <c r="D59" s="154">
        <v>2.0499999999999998</v>
      </c>
      <c r="E59" s="150"/>
      <c r="F59" s="153">
        <f>C59*D59</f>
        <v>12104.219438111168</v>
      </c>
    </row>
    <row r="60" spans="1:6" ht="13.5" hidden="1" thickBot="1" x14ac:dyDescent="0.25">
      <c r="A60" s="65" t="s">
        <v>203</v>
      </c>
      <c r="B60" s="154">
        <v>200</v>
      </c>
      <c r="C60" s="154">
        <v>202</v>
      </c>
      <c r="D60" s="154">
        <v>4.55</v>
      </c>
      <c r="E60" s="156"/>
      <c r="F60" s="153">
        <f>C60*D60</f>
        <v>919.09999999999991</v>
      </c>
    </row>
    <row r="61" spans="1:6" ht="13.5" hidden="1" thickBot="1" x14ac:dyDescent="0.25">
      <c r="A61" s="65" t="s">
        <v>204</v>
      </c>
      <c r="B61" s="154">
        <v>200</v>
      </c>
      <c r="C61" s="154">
        <v>183</v>
      </c>
      <c r="D61" s="154">
        <v>4.96</v>
      </c>
      <c r="E61" s="156"/>
      <c r="F61" s="153">
        <f>C61*D61</f>
        <v>907.68</v>
      </c>
    </row>
    <row r="62" spans="1:6" ht="13.5" hidden="1" thickBot="1" x14ac:dyDescent="0.25">
      <c r="A62" s="65" t="s">
        <v>208</v>
      </c>
      <c r="C62" s="70">
        <v>200</v>
      </c>
      <c r="D62" s="68"/>
      <c r="E62" s="111"/>
      <c r="F62" s="151">
        <f>C62*D62</f>
        <v>0</v>
      </c>
    </row>
    <row r="63" spans="1:6" ht="13.5" hidden="1" thickBot="1" x14ac:dyDescent="0.25">
      <c r="A63" s="65"/>
      <c r="C63" s="70"/>
      <c r="D63" s="68"/>
      <c r="E63" s="111"/>
      <c r="F63" s="159"/>
    </row>
    <row r="64" spans="1:6" ht="13.5" hidden="1" thickBot="1" x14ac:dyDescent="0.25">
      <c r="A64" s="65"/>
      <c r="C64" s="70"/>
      <c r="D64" s="161" t="s">
        <v>209</v>
      </c>
      <c r="E64" s="111"/>
      <c r="F64" s="162">
        <f>SUM(F59:F62)</f>
        <v>13930.999438111168</v>
      </c>
    </row>
    <row r="65" spans="1:22" ht="13.5" hidden="1" thickBot="1" x14ac:dyDescent="0.25">
      <c r="A65" s="65"/>
      <c r="C65" s="70"/>
      <c r="D65" s="68"/>
      <c r="E65" s="111"/>
      <c r="F65" s="145"/>
    </row>
    <row r="66" spans="1:22" ht="13.5" hidden="1" thickBot="1" x14ac:dyDescent="0.25">
      <c r="A66" s="65"/>
      <c r="C66" s="70"/>
      <c r="D66" s="68"/>
      <c r="E66" s="111"/>
      <c r="F66" s="145"/>
    </row>
    <row r="67" spans="1:22" ht="13.5" hidden="1" thickBot="1" x14ac:dyDescent="0.25">
      <c r="A67" s="65" t="s">
        <v>190</v>
      </c>
      <c r="C67" s="70"/>
      <c r="D67" s="68"/>
      <c r="E67" s="146" t="s">
        <v>191</v>
      </c>
      <c r="F67" s="145">
        <v>4217.03</v>
      </c>
    </row>
    <row r="68" spans="1:22" ht="13.5" hidden="1" thickBot="1" x14ac:dyDescent="0.25">
      <c r="A68" s="65"/>
      <c r="C68" s="70"/>
      <c r="D68" s="68"/>
      <c r="E68" s="111"/>
      <c r="F68" s="145"/>
    </row>
    <row r="69" spans="1:22" ht="13.5" hidden="1" thickBot="1" x14ac:dyDescent="0.25">
      <c r="A69" s="65" t="s">
        <v>193</v>
      </c>
      <c r="C69" s="70"/>
      <c r="D69" s="68"/>
      <c r="E69" s="146" t="s">
        <v>191</v>
      </c>
      <c r="F69" s="145">
        <v>924.702</v>
      </c>
    </row>
    <row r="70" spans="1:22" ht="13.5" hidden="1" thickBot="1" x14ac:dyDescent="0.25">
      <c r="A70" s="65" t="s">
        <v>193</v>
      </c>
      <c r="C70" s="70"/>
      <c r="D70" s="68"/>
      <c r="E70" s="146" t="s">
        <v>194</v>
      </c>
      <c r="F70" s="145">
        <v>1143.1099999999999</v>
      </c>
    </row>
    <row r="71" spans="1:22" ht="13.5" hidden="1" thickBot="1" x14ac:dyDescent="0.25">
      <c r="A71" s="65"/>
      <c r="C71" s="70"/>
      <c r="D71" s="68"/>
      <c r="E71" s="111"/>
      <c r="F71" s="145"/>
    </row>
    <row r="72" spans="1:22" ht="13.5" hidden="1" thickBot="1" x14ac:dyDescent="0.25">
      <c r="A72" s="65" t="s">
        <v>196</v>
      </c>
      <c r="D72" s="49"/>
      <c r="E72" s="71" t="s">
        <v>43</v>
      </c>
      <c r="F72" s="112">
        <v>2513.06</v>
      </c>
    </row>
    <row r="73" spans="1:22" ht="13.5" hidden="1" thickBot="1" x14ac:dyDescent="0.25">
      <c r="A73" s="65" t="s">
        <v>197</v>
      </c>
      <c r="D73" s="49"/>
      <c r="E73" s="72" t="s">
        <v>43</v>
      </c>
      <c r="F73" s="112">
        <f>D75*0.63</f>
        <v>4410</v>
      </c>
    </row>
    <row r="74" spans="1:22" ht="13.5" hidden="1" thickBot="1" x14ac:dyDescent="0.25">
      <c r="A74" s="65" t="s">
        <v>192</v>
      </c>
      <c r="D74" s="49"/>
      <c r="E74" s="72" t="s">
        <v>43</v>
      </c>
      <c r="F74" s="112">
        <f>633.66*0</f>
        <v>0</v>
      </c>
    </row>
    <row r="75" spans="1:22" ht="13.5" hidden="1" thickBot="1" x14ac:dyDescent="0.25">
      <c r="A75" s="65"/>
      <c r="C75" s="70" t="s">
        <v>42</v>
      </c>
      <c r="D75" s="68">
        <f>I30</f>
        <v>7000</v>
      </c>
      <c r="E75" s="111" t="s">
        <v>43</v>
      </c>
      <c r="F75" s="113">
        <f>SUM(F72:F74)</f>
        <v>6923.0599999999995</v>
      </c>
    </row>
    <row r="76" spans="1:22" ht="13.5" hidden="1" thickBot="1" x14ac:dyDescent="0.25">
      <c r="A76" s="59" t="s">
        <v>33</v>
      </c>
      <c r="C76" s="70"/>
      <c r="D76" s="68"/>
      <c r="E76" s="111"/>
      <c r="F76" s="145"/>
    </row>
    <row r="77" spans="1:22" ht="13.5" thickBot="1" x14ac:dyDescent="0.25">
      <c r="A77" s="60"/>
      <c r="B77" s="106"/>
      <c r="C77" s="106"/>
      <c r="D77" s="107"/>
      <c r="E77" s="67"/>
      <c r="F77" s="68"/>
    </row>
    <row r="78" spans="1:22" ht="13.5" thickBot="1" x14ac:dyDescent="0.25">
      <c r="A78" s="53" t="s">
        <v>21</v>
      </c>
      <c r="B78" s="56"/>
      <c r="C78" s="55" t="s">
        <v>22</v>
      </c>
      <c r="D78" s="56"/>
      <c r="E78" s="57" t="s">
        <v>23</v>
      </c>
      <c r="F78" s="69"/>
    </row>
    <row r="79" spans="1:22" ht="13.5" thickBot="1" x14ac:dyDescent="0.25">
      <c r="A79" s="679" t="s">
        <v>67</v>
      </c>
      <c r="B79" s="680"/>
      <c r="C79" s="666" t="str">
        <f>VLOOKUP(A79,$H$84:$J$103,2,0)</f>
        <v>Ingeniero</v>
      </c>
      <c r="D79" s="667"/>
      <c r="E79" s="629">
        <f>VLOOKUP(A79,$H$84:$J$103,3,0)</f>
        <v>29373360</v>
      </c>
      <c r="F79" s="631"/>
      <c r="H79" s="633" t="s">
        <v>53</v>
      </c>
      <c r="I79" s="635"/>
      <c r="J79" s="634"/>
      <c r="L79" s="98"/>
      <c r="M79" s="97" t="s">
        <v>72</v>
      </c>
      <c r="N79" s="79"/>
      <c r="O79" s="79"/>
      <c r="P79" s="79"/>
      <c r="Q79" s="668" t="s">
        <v>73</v>
      </c>
      <c r="R79" s="79"/>
      <c r="S79" s="79"/>
      <c r="T79" s="79"/>
      <c r="U79" s="79"/>
      <c r="V79" s="80"/>
    </row>
    <row r="80" spans="1:22" ht="13.5" thickBot="1" x14ac:dyDescent="0.25">
      <c r="A80" s="679" t="s">
        <v>62</v>
      </c>
      <c r="B80" s="680"/>
      <c r="C80" s="666" t="str">
        <f>VLOOKUP(A80,$H$84:$J$103,2,0)</f>
        <v>Ayudante</v>
      </c>
      <c r="D80" s="667"/>
      <c r="E80" s="629">
        <f>VLOOKUP(A80,$H$84:$J$103,3,0)</f>
        <v>28288928</v>
      </c>
      <c r="F80" s="631"/>
      <c r="H80" s="73"/>
      <c r="I80" s="70"/>
      <c r="J80" s="68"/>
      <c r="L80" s="99" t="s">
        <v>74</v>
      </c>
      <c r="M80" s="81"/>
      <c r="N80" s="70" t="s">
        <v>75</v>
      </c>
      <c r="O80" s="70"/>
      <c r="P80" s="70" t="s">
        <v>32</v>
      </c>
      <c r="Q80" s="669"/>
      <c r="V80" s="82"/>
    </row>
    <row r="81" spans="1:22" ht="13.5" thickBot="1" x14ac:dyDescent="0.25">
      <c r="A81" s="679" t="s">
        <v>66</v>
      </c>
      <c r="B81" s="680"/>
      <c r="C81" s="666" t="str">
        <f>VLOOKUP(A81,$H$84:$J$103,2,0)</f>
        <v>Jefe de Servicio</v>
      </c>
      <c r="D81" s="667"/>
      <c r="E81" s="629">
        <f>VLOOKUP(A81,$H$84:$J$103,3,0)</f>
        <v>14712981</v>
      </c>
      <c r="F81" s="631"/>
      <c r="H81" s="74"/>
      <c r="J81" s="49"/>
      <c r="L81" s="99"/>
      <c r="M81" s="83" t="s">
        <v>76</v>
      </c>
      <c r="P81" s="70"/>
      <c r="Q81" s="70"/>
      <c r="V81" s="82"/>
    </row>
    <row r="82" spans="1:22" ht="13.5" thickBot="1" x14ac:dyDescent="0.25">
      <c r="A82" s="679" t="s">
        <v>52</v>
      </c>
      <c r="B82" s="680"/>
      <c r="C82" s="666" t="str">
        <f>VLOOKUP(A82,$H$84:$J$103,2,0)</f>
        <v>Ayudante</v>
      </c>
      <c r="D82" s="667"/>
      <c r="E82" s="629">
        <f>VLOOKUP(A82,$H$84:$J$103,3,0)</f>
        <v>24206325</v>
      </c>
      <c r="F82" s="631"/>
      <c r="H82" s="74" t="s">
        <v>54</v>
      </c>
      <c r="J82" s="49" t="s">
        <v>55</v>
      </c>
      <c r="L82" s="99" t="s">
        <v>78</v>
      </c>
      <c r="M82" s="81" t="s">
        <v>77</v>
      </c>
      <c r="N82" s="70" t="s">
        <v>79</v>
      </c>
      <c r="O82" s="70"/>
      <c r="P82" s="70" t="s">
        <v>80</v>
      </c>
      <c r="Q82" s="70" t="s">
        <v>81</v>
      </c>
      <c r="V82" s="82"/>
    </row>
    <row r="83" spans="1:22" ht="13.5" thickBot="1" x14ac:dyDescent="0.25">
      <c r="A83" s="679" t="s">
        <v>57</v>
      </c>
      <c r="B83" s="680"/>
      <c r="C83" s="666" t="str">
        <f>VLOOKUP(A83,$H$84:$J$103,2,0)</f>
        <v>Chofer Operador</v>
      </c>
      <c r="D83" s="667"/>
      <c r="E83" s="629">
        <f>VLOOKUP(A83,$H$84:$J$103,3,0)</f>
        <v>27116164</v>
      </c>
      <c r="F83" s="631"/>
      <c r="H83" s="74"/>
      <c r="J83" s="49"/>
      <c r="L83" s="99" t="s">
        <v>83</v>
      </c>
      <c r="M83" s="81" t="s">
        <v>82</v>
      </c>
      <c r="N83" s="70" t="s">
        <v>79</v>
      </c>
      <c r="O83" s="70"/>
      <c r="P83" s="70" t="s">
        <v>84</v>
      </c>
      <c r="Q83" s="70" t="s">
        <v>81</v>
      </c>
      <c r="V83" s="82"/>
    </row>
    <row r="84" spans="1:22" ht="13.5" thickBot="1" x14ac:dyDescent="0.25">
      <c r="A84" s="53" t="s">
        <v>25</v>
      </c>
      <c r="B84" s="54"/>
      <c r="C84" s="55" t="s">
        <v>26</v>
      </c>
      <c r="D84" s="56"/>
      <c r="E84" s="57" t="s">
        <v>27</v>
      </c>
      <c r="F84" s="64" t="s">
        <v>32</v>
      </c>
      <c r="H84" s="74" t="s">
        <v>56</v>
      </c>
      <c r="I84" t="s">
        <v>68</v>
      </c>
      <c r="J84" s="49">
        <v>21373559</v>
      </c>
      <c r="L84" s="99" t="s">
        <v>85</v>
      </c>
      <c r="M84" s="81" t="s">
        <v>82</v>
      </c>
      <c r="N84" s="70" t="s">
        <v>79</v>
      </c>
      <c r="O84" s="70"/>
      <c r="P84" s="70" t="s">
        <v>86</v>
      </c>
      <c r="Q84" s="70" t="s">
        <v>81</v>
      </c>
      <c r="V84" s="82"/>
    </row>
    <row r="85" spans="1:22" ht="13.5" thickBot="1" x14ac:dyDescent="0.25">
      <c r="A85" s="666" t="str">
        <f>VLOOKUP(E85,$L$82:$Q$117,2,0)</f>
        <v>Bombeador</v>
      </c>
      <c r="B85" s="667"/>
      <c r="C85" s="666" t="str">
        <f>VLOOKUP(E85,$L$82:$Q$117,4,0)</f>
        <v>BND - 02</v>
      </c>
      <c r="D85" s="667"/>
      <c r="E85" s="58" t="s">
        <v>40</v>
      </c>
      <c r="F85" s="103" t="str">
        <f>VLOOKUP(E85,$L$82:$Q$117,5,0)</f>
        <v>IBR-375</v>
      </c>
      <c r="H85" s="74" t="s">
        <v>51</v>
      </c>
      <c r="I85" t="s">
        <v>68</v>
      </c>
      <c r="J85" s="49">
        <v>28844534</v>
      </c>
      <c r="L85" s="99" t="s">
        <v>88</v>
      </c>
      <c r="M85" s="81" t="s">
        <v>87</v>
      </c>
      <c r="N85" s="70" t="s">
        <v>79</v>
      </c>
      <c r="O85" s="70"/>
      <c r="P85" s="70" t="s">
        <v>89</v>
      </c>
      <c r="Q85" s="70" t="s">
        <v>81</v>
      </c>
      <c r="V85" s="82"/>
    </row>
    <row r="86" spans="1:22" ht="13.5" thickBot="1" x14ac:dyDescent="0.25">
      <c r="A86" s="666" t="str">
        <f>VLOOKUP(E86,$L$82:$Q$117,2,0)</f>
        <v>Bombeador</v>
      </c>
      <c r="B86" s="667"/>
      <c r="C86" s="666" t="str">
        <f>VLOOKUP(E86,$L$82:$Q$117,4,0)</f>
        <v>BND - 03</v>
      </c>
      <c r="D86" s="667"/>
      <c r="E86" s="58" t="s">
        <v>91</v>
      </c>
      <c r="F86" s="103" t="str">
        <f>VLOOKUP(E86,$L$82:$Q$117,5,0)</f>
        <v>LRL-201</v>
      </c>
      <c r="H86" s="74" t="s">
        <v>57</v>
      </c>
      <c r="I86" t="s">
        <v>68</v>
      </c>
      <c r="J86" s="49">
        <v>27116164</v>
      </c>
      <c r="L86" s="100"/>
      <c r="M86" s="81"/>
      <c r="P86" s="70"/>
      <c r="Q86" s="70"/>
      <c r="V86" s="82"/>
    </row>
    <row r="87" spans="1:22" ht="13.5" thickBot="1" x14ac:dyDescent="0.25">
      <c r="A87" s="666" t="str">
        <f>VLOOKUP(E87,$L$82:$Q$117,2,0)</f>
        <v>VAN Iveco</v>
      </c>
      <c r="B87" s="667"/>
      <c r="C87" s="666" t="str">
        <f>VLOOKUP(E87,$L$82:$Q$117,4,0)</f>
        <v>Vehículo de Medición</v>
      </c>
      <c r="D87" s="667"/>
      <c r="E87" s="58" t="s">
        <v>130</v>
      </c>
      <c r="F87" s="103" t="str">
        <f>VLOOKUP(E87,$L$82:$Q$117,5,0)</f>
        <v>MOF-350</v>
      </c>
      <c r="H87" s="74" t="s">
        <v>58</v>
      </c>
      <c r="I87" t="s">
        <v>68</v>
      </c>
      <c r="J87" s="49">
        <v>29914939</v>
      </c>
      <c r="L87" s="100"/>
      <c r="M87" s="81"/>
      <c r="P87" s="70"/>
      <c r="Q87" s="70"/>
      <c r="V87" s="82"/>
    </row>
    <row r="88" spans="1:22" ht="13.5" thickBot="1" x14ac:dyDescent="0.25">
      <c r="A88" s="666" t="str">
        <f>VLOOKUP(E88,$L$82:$Q$117,2,0)</f>
        <v>Ranger D/C</v>
      </c>
      <c r="B88" s="667"/>
      <c r="C88" s="666" t="str">
        <f>VLOOKUP(E88,$L$82:$Q$117,4,0)</f>
        <v>Vehículo de Apoyo</v>
      </c>
      <c r="D88" s="667"/>
      <c r="E88" s="50" t="s">
        <v>166</v>
      </c>
      <c r="F88" s="103" t="str">
        <f>VLOOKUP(E88,$L$82:$Q$117,5,0)</f>
        <v>IVY-761</v>
      </c>
      <c r="H88" s="74" t="s">
        <v>59</v>
      </c>
      <c r="I88" t="s">
        <v>69</v>
      </c>
      <c r="J88" s="49">
        <v>25934237</v>
      </c>
      <c r="L88" s="101"/>
      <c r="M88" s="83" t="s">
        <v>90</v>
      </c>
      <c r="P88" s="70"/>
      <c r="Q88" s="70"/>
      <c r="V88" s="82"/>
    </row>
    <row r="89" spans="1:22" x14ac:dyDescent="0.2">
      <c r="A89" s="108" t="s">
        <v>158</v>
      </c>
      <c r="D89" s="108" t="s">
        <v>160</v>
      </c>
      <c r="H89" s="74" t="s">
        <v>60</v>
      </c>
      <c r="I89" t="s">
        <v>68</v>
      </c>
      <c r="J89" s="49">
        <v>20113231</v>
      </c>
      <c r="L89" s="100"/>
      <c r="M89" s="81"/>
      <c r="P89" s="70"/>
      <c r="Q89" s="70"/>
      <c r="V89" s="82"/>
    </row>
    <row r="90" spans="1:22" ht="15" x14ac:dyDescent="0.25">
      <c r="A90" s="109" t="s">
        <v>157</v>
      </c>
      <c r="D90" s="109" t="s">
        <v>159</v>
      </c>
      <c r="H90" s="74" t="s">
        <v>61</v>
      </c>
      <c r="I90" t="s">
        <v>31</v>
      </c>
      <c r="J90" s="49">
        <v>22038155</v>
      </c>
      <c r="L90" s="99" t="s">
        <v>91</v>
      </c>
      <c r="M90" s="81" t="s">
        <v>34</v>
      </c>
      <c r="N90" s="70" t="s">
        <v>92</v>
      </c>
      <c r="O90" s="70" t="s">
        <v>145</v>
      </c>
      <c r="P90" s="70" t="s">
        <v>93</v>
      </c>
      <c r="Q90" s="84" t="s">
        <v>94</v>
      </c>
      <c r="R90" s="85" t="s">
        <v>95</v>
      </c>
      <c r="S90" s="84" t="s">
        <v>96</v>
      </c>
      <c r="T90" s="84" t="s">
        <v>97</v>
      </c>
      <c r="U90" s="84" t="s">
        <v>98</v>
      </c>
      <c r="V90" s="82"/>
    </row>
    <row r="91" spans="1:22" x14ac:dyDescent="0.2">
      <c r="H91" s="74" t="s">
        <v>62</v>
      </c>
      <c r="I91" t="s">
        <v>31</v>
      </c>
      <c r="J91" s="49">
        <v>28288928</v>
      </c>
      <c r="L91" s="100"/>
      <c r="M91" s="81"/>
      <c r="P91" s="70"/>
      <c r="Q91" s="70"/>
      <c r="V91" s="82"/>
    </row>
    <row r="92" spans="1:22" x14ac:dyDescent="0.2">
      <c r="H92" s="74" t="s">
        <v>52</v>
      </c>
      <c r="I92" t="s">
        <v>31</v>
      </c>
      <c r="J92" s="49">
        <v>24206325</v>
      </c>
      <c r="L92" s="100"/>
      <c r="M92" s="86" t="s">
        <v>99</v>
      </c>
      <c r="P92" s="70"/>
      <c r="Q92" s="70"/>
      <c r="V92" s="82"/>
    </row>
    <row r="93" spans="1:22" x14ac:dyDescent="0.2">
      <c r="H93" s="74" t="s">
        <v>63</v>
      </c>
      <c r="I93" t="s">
        <v>31</v>
      </c>
      <c r="J93" s="49">
        <v>12187461</v>
      </c>
      <c r="L93" s="100"/>
      <c r="M93" s="81"/>
      <c r="P93" s="70"/>
      <c r="Q93" s="70"/>
      <c r="V93" s="82"/>
    </row>
    <row r="94" spans="1:22" ht="15" x14ac:dyDescent="0.25">
      <c r="H94" s="74" t="s">
        <v>64</v>
      </c>
      <c r="I94" t="s">
        <v>50</v>
      </c>
      <c r="J94" s="49">
        <v>23589573</v>
      </c>
      <c r="L94" s="99" t="s">
        <v>100</v>
      </c>
      <c r="M94" s="81" t="s">
        <v>139</v>
      </c>
      <c r="N94" s="70" t="s">
        <v>79</v>
      </c>
      <c r="O94" s="81" t="s">
        <v>142</v>
      </c>
      <c r="P94" s="70" t="s">
        <v>101</v>
      </c>
      <c r="Q94" s="84" t="s">
        <v>102</v>
      </c>
      <c r="R94" s="87" t="s">
        <v>103</v>
      </c>
      <c r="V94" s="82"/>
    </row>
    <row r="95" spans="1:22" ht="15" x14ac:dyDescent="0.25">
      <c r="H95" s="74" t="s">
        <v>65</v>
      </c>
      <c r="I95" t="s">
        <v>50</v>
      </c>
      <c r="J95" s="49">
        <v>27980544</v>
      </c>
      <c r="L95" s="99" t="s">
        <v>104</v>
      </c>
      <c r="M95" s="81" t="s">
        <v>139</v>
      </c>
      <c r="N95" s="70" t="s">
        <v>79</v>
      </c>
      <c r="O95" s="81" t="s">
        <v>143</v>
      </c>
      <c r="P95" s="70" t="s">
        <v>105</v>
      </c>
      <c r="Q95" s="84" t="s">
        <v>106</v>
      </c>
      <c r="R95" s="87" t="s">
        <v>107</v>
      </c>
      <c r="V95" s="82"/>
    </row>
    <row r="96" spans="1:22" ht="15" x14ac:dyDescent="0.25">
      <c r="H96" s="74" t="s">
        <v>24</v>
      </c>
      <c r="I96" t="s">
        <v>50</v>
      </c>
      <c r="J96" s="49">
        <v>92493084</v>
      </c>
      <c r="L96" s="99" t="s">
        <v>108</v>
      </c>
      <c r="M96" s="81" t="s">
        <v>139</v>
      </c>
      <c r="N96" s="70" t="s">
        <v>109</v>
      </c>
      <c r="O96" s="81" t="s">
        <v>144</v>
      </c>
      <c r="P96" s="70" t="s">
        <v>110</v>
      </c>
      <c r="Q96" s="84" t="s">
        <v>106</v>
      </c>
      <c r="R96" s="88" t="s">
        <v>111</v>
      </c>
      <c r="S96" s="87" t="s">
        <v>112</v>
      </c>
      <c r="V96" s="82"/>
    </row>
    <row r="97" spans="8:22" ht="15" x14ac:dyDescent="0.25">
      <c r="H97" s="74" t="s">
        <v>66</v>
      </c>
      <c r="I97" t="s">
        <v>70</v>
      </c>
      <c r="J97" s="49">
        <v>14712981</v>
      </c>
      <c r="L97" s="100"/>
      <c r="M97" s="81"/>
      <c r="P97" s="70"/>
      <c r="Q97" s="84"/>
      <c r="V97" s="82"/>
    </row>
    <row r="98" spans="8:22" ht="15" x14ac:dyDescent="0.25">
      <c r="H98" s="74" t="s">
        <v>67</v>
      </c>
      <c r="I98" t="s">
        <v>169</v>
      </c>
      <c r="J98" s="49">
        <v>29373360</v>
      </c>
      <c r="L98" s="100"/>
      <c r="M98" s="86" t="s">
        <v>113</v>
      </c>
      <c r="P98" s="70"/>
      <c r="Q98" s="84"/>
      <c r="V98" s="82"/>
    </row>
    <row r="99" spans="8:22" ht="15" x14ac:dyDescent="0.25">
      <c r="H99" s="74" t="s">
        <v>441</v>
      </c>
      <c r="I99" t="s">
        <v>31</v>
      </c>
      <c r="J99" s="49">
        <v>25091826</v>
      </c>
      <c r="L99" s="100"/>
      <c r="M99" s="81"/>
      <c r="P99" s="70"/>
      <c r="Q99" s="84"/>
      <c r="V99" s="82"/>
    </row>
    <row r="100" spans="8:22" ht="15" x14ac:dyDescent="0.25">
      <c r="H100" s="74" t="s">
        <v>460</v>
      </c>
      <c r="I100" t="s">
        <v>31</v>
      </c>
      <c r="J100" s="77">
        <v>25632016</v>
      </c>
      <c r="L100" s="99" t="s">
        <v>114</v>
      </c>
      <c r="M100" s="81" t="s">
        <v>34</v>
      </c>
      <c r="N100" s="70" t="s">
        <v>79</v>
      </c>
      <c r="O100" s="70" t="s">
        <v>146</v>
      </c>
      <c r="P100" s="70" t="s">
        <v>115</v>
      </c>
      <c r="Q100" s="84" t="s">
        <v>106</v>
      </c>
      <c r="R100" s="85" t="s">
        <v>116</v>
      </c>
      <c r="S100" s="84" t="s">
        <v>117</v>
      </c>
      <c r="T100" s="84" t="s">
        <v>118</v>
      </c>
      <c r="U100" s="84" t="s">
        <v>119</v>
      </c>
      <c r="V100" s="89" t="s">
        <v>120</v>
      </c>
    </row>
    <row r="101" spans="8:22" ht="15" x14ac:dyDescent="0.25">
      <c r="H101" s="74" t="s">
        <v>473</v>
      </c>
      <c r="I101" t="s">
        <v>474</v>
      </c>
      <c r="J101" s="77">
        <v>30018846</v>
      </c>
      <c r="L101" s="99" t="s">
        <v>40</v>
      </c>
      <c r="M101" s="81" t="s">
        <v>34</v>
      </c>
      <c r="N101" s="70" t="s">
        <v>79</v>
      </c>
      <c r="O101" s="70" t="s">
        <v>147</v>
      </c>
      <c r="P101" s="70" t="s">
        <v>41</v>
      </c>
      <c r="Q101" s="84" t="s">
        <v>121</v>
      </c>
      <c r="R101" s="85" t="s">
        <v>122</v>
      </c>
      <c r="S101" s="84" t="s">
        <v>123</v>
      </c>
      <c r="T101" s="84" t="s">
        <v>118</v>
      </c>
      <c r="U101" s="84" t="s">
        <v>124</v>
      </c>
      <c r="V101" s="90"/>
    </row>
    <row r="102" spans="8:22" ht="15" x14ac:dyDescent="0.25">
      <c r="H102" s="74" t="s">
        <v>475</v>
      </c>
      <c r="I102" t="s">
        <v>31</v>
      </c>
      <c r="J102" s="77">
        <v>35196436</v>
      </c>
      <c r="L102" s="99" t="s">
        <v>125</v>
      </c>
      <c r="M102" s="81" t="s">
        <v>34</v>
      </c>
      <c r="N102" s="70" t="s">
        <v>79</v>
      </c>
      <c r="O102" s="70" t="s">
        <v>148</v>
      </c>
      <c r="P102" s="70" t="s">
        <v>126</v>
      </c>
      <c r="Q102" s="91" t="s">
        <v>127</v>
      </c>
      <c r="R102" s="665" t="s">
        <v>128</v>
      </c>
      <c r="S102" s="665"/>
      <c r="T102" s="92"/>
      <c r="U102" s="92"/>
      <c r="V102" s="90"/>
    </row>
    <row r="103" spans="8:22" ht="13.5" thickBot="1" x14ac:dyDescent="0.25">
      <c r="H103" s="75"/>
      <c r="I103" s="76" t="s">
        <v>71</v>
      </c>
      <c r="J103" s="78" t="s">
        <v>71</v>
      </c>
      <c r="L103" s="99" t="s">
        <v>479</v>
      </c>
      <c r="M103" s="81" t="s">
        <v>34</v>
      </c>
      <c r="N103" s="70" t="s">
        <v>79</v>
      </c>
      <c r="O103" s="70" t="s">
        <v>480</v>
      </c>
      <c r="P103" s="70" t="s">
        <v>481</v>
      </c>
      <c r="V103" s="82"/>
    </row>
    <row r="104" spans="8:22" x14ac:dyDescent="0.2">
      <c r="L104" s="100"/>
      <c r="M104" s="83"/>
      <c r="V104" s="82"/>
    </row>
    <row r="105" spans="8:22" x14ac:dyDescent="0.2">
      <c r="L105" s="100"/>
      <c r="M105" s="81" t="s">
        <v>129</v>
      </c>
      <c r="V105" s="82"/>
    </row>
    <row r="106" spans="8:22" x14ac:dyDescent="0.2">
      <c r="L106" s="99" t="s">
        <v>465</v>
      </c>
      <c r="M106" s="81" t="s">
        <v>149</v>
      </c>
      <c r="N106" s="70" t="s">
        <v>79</v>
      </c>
      <c r="O106" s="70" t="s">
        <v>140</v>
      </c>
      <c r="P106" s="93" t="s">
        <v>466</v>
      </c>
      <c r="Q106" s="93" t="s">
        <v>81</v>
      </c>
      <c r="V106" s="82"/>
    </row>
    <row r="107" spans="8:22" x14ac:dyDescent="0.2">
      <c r="L107" s="99" t="s">
        <v>45</v>
      </c>
      <c r="M107" s="81" t="s">
        <v>149</v>
      </c>
      <c r="N107" s="70" t="s">
        <v>79</v>
      </c>
      <c r="O107" s="70" t="s">
        <v>140</v>
      </c>
      <c r="P107" s="93" t="s">
        <v>46</v>
      </c>
      <c r="Q107" s="93" t="s">
        <v>81</v>
      </c>
      <c r="V107" s="82"/>
    </row>
    <row r="108" spans="8:22" x14ac:dyDescent="0.2">
      <c r="L108" s="99" t="s">
        <v>130</v>
      </c>
      <c r="M108" s="81" t="s">
        <v>149</v>
      </c>
      <c r="N108" s="70" t="s">
        <v>79</v>
      </c>
      <c r="O108" s="70" t="s">
        <v>140</v>
      </c>
      <c r="P108" s="93" t="s">
        <v>131</v>
      </c>
      <c r="Q108" s="93" t="s">
        <v>81</v>
      </c>
      <c r="V108" s="82"/>
    </row>
    <row r="109" spans="8:22" x14ac:dyDescent="0.2">
      <c r="L109" s="100"/>
      <c r="M109" s="81"/>
      <c r="V109" s="82"/>
    </row>
    <row r="110" spans="8:22" x14ac:dyDescent="0.2">
      <c r="L110" s="100"/>
      <c r="M110" s="83" t="s">
        <v>132</v>
      </c>
      <c r="V110" s="82"/>
    </row>
    <row r="111" spans="8:22" x14ac:dyDescent="0.2">
      <c r="L111" s="100"/>
      <c r="M111" s="81"/>
      <c r="V111" s="82"/>
    </row>
    <row r="112" spans="8:22" x14ac:dyDescent="0.2">
      <c r="L112" s="99" t="s">
        <v>133</v>
      </c>
      <c r="M112" s="81" t="s">
        <v>49</v>
      </c>
      <c r="N112" s="70" t="s">
        <v>79</v>
      </c>
      <c r="O112" s="70" t="s">
        <v>141</v>
      </c>
      <c r="P112" s="70" t="s">
        <v>134</v>
      </c>
      <c r="Q112" s="70" t="s">
        <v>464</v>
      </c>
      <c r="V112" s="82"/>
    </row>
    <row r="113" spans="12:22" x14ac:dyDescent="0.2">
      <c r="L113" s="99" t="s">
        <v>461</v>
      </c>
      <c r="M113" s="81" t="s">
        <v>49</v>
      </c>
      <c r="N113" s="70" t="s">
        <v>79</v>
      </c>
      <c r="O113" s="70" t="s">
        <v>141</v>
      </c>
      <c r="P113" s="70" t="s">
        <v>462</v>
      </c>
      <c r="Q113" s="70" t="s">
        <v>135</v>
      </c>
      <c r="V113" s="82"/>
    </row>
    <row r="114" spans="12:22" x14ac:dyDescent="0.2">
      <c r="L114" s="99" t="s">
        <v>48</v>
      </c>
      <c r="M114" s="81" t="s">
        <v>49</v>
      </c>
      <c r="N114" s="70" t="s">
        <v>79</v>
      </c>
      <c r="O114" s="70" t="s">
        <v>141</v>
      </c>
      <c r="P114" s="70" t="s">
        <v>47</v>
      </c>
      <c r="Q114" s="70" t="s">
        <v>136</v>
      </c>
      <c r="V114" s="82"/>
    </row>
    <row r="115" spans="12:22" x14ac:dyDescent="0.2">
      <c r="L115" s="99" t="s">
        <v>137</v>
      </c>
      <c r="M115" s="81" t="s">
        <v>49</v>
      </c>
      <c r="N115" s="70" t="s">
        <v>79</v>
      </c>
      <c r="O115" s="70" t="s">
        <v>141</v>
      </c>
      <c r="P115" s="70" t="s">
        <v>138</v>
      </c>
      <c r="Q115" s="70" t="s">
        <v>463</v>
      </c>
      <c r="V115" s="82"/>
    </row>
    <row r="116" spans="12:22" x14ac:dyDescent="0.2">
      <c r="L116" s="99" t="s">
        <v>166</v>
      </c>
      <c r="M116" s="81" t="s">
        <v>49</v>
      </c>
      <c r="N116" s="70" t="s">
        <v>79</v>
      </c>
      <c r="O116" s="70" t="s">
        <v>141</v>
      </c>
      <c r="P116" s="70" t="s">
        <v>167</v>
      </c>
      <c r="Q116" s="70" t="s">
        <v>168</v>
      </c>
      <c r="V116" s="82"/>
    </row>
    <row r="117" spans="12:22" x14ac:dyDescent="0.2">
      <c r="L117" s="102"/>
      <c r="M117" s="94"/>
      <c r="N117" s="95"/>
      <c r="O117" s="95"/>
      <c r="P117" s="95"/>
      <c r="Q117" s="95"/>
      <c r="R117" s="95"/>
      <c r="S117" s="95"/>
      <c r="T117" s="95"/>
      <c r="U117" s="95"/>
      <c r="V117" s="96"/>
    </row>
  </sheetData>
  <mergeCells count="27">
    <mergeCell ref="A39:D44"/>
    <mergeCell ref="A83:B83"/>
    <mergeCell ref="A88:B88"/>
    <mergeCell ref="A79:B79"/>
    <mergeCell ref="A80:B80"/>
    <mergeCell ref="C81:D81"/>
    <mergeCell ref="A81:B81"/>
    <mergeCell ref="C88:D88"/>
    <mergeCell ref="A85:B85"/>
    <mergeCell ref="A87:B87"/>
    <mergeCell ref="A86:B86"/>
    <mergeCell ref="A82:B82"/>
    <mergeCell ref="R102:S102"/>
    <mergeCell ref="C85:D85"/>
    <mergeCell ref="C86:D86"/>
    <mergeCell ref="C79:D79"/>
    <mergeCell ref="C80:D80"/>
    <mergeCell ref="C83:D83"/>
    <mergeCell ref="E80:F80"/>
    <mergeCell ref="E81:F81"/>
    <mergeCell ref="Q79:Q80"/>
    <mergeCell ref="C87:D87"/>
    <mergeCell ref="H79:J79"/>
    <mergeCell ref="E79:F79"/>
    <mergeCell ref="C82:D82"/>
    <mergeCell ref="E82:F82"/>
    <mergeCell ref="E83:F83"/>
  </mergeCells>
  <phoneticPr fontId="0" type="noConversion"/>
  <dataValidations count="2">
    <dataValidation type="list" allowBlank="1" showInputMessage="1" showErrorMessage="1" sqref="A79:B83" xr:uid="{00000000-0002-0000-0100-000000000000}">
      <formula1>$H$84:$H$103</formula1>
    </dataValidation>
    <dataValidation type="list" allowBlank="1" showInputMessage="1" showErrorMessage="1" sqref="E85:E88" xr:uid="{00000000-0002-0000-0100-000001000000}">
      <formula1>$L$82:$L$116</formula1>
    </dataValidation>
  </dataValidations>
  <printOptions horizontalCentered="1" verticalCentered="1"/>
  <pageMargins left="0.39370078740157483" right="0.39370078740157483" top="0.19685039370078741" bottom="0.59055118110236227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view="pageBreakPreview" topLeftCell="A7" zoomScale="85" zoomScaleNormal="70" zoomScaleSheetLayoutView="85" workbookViewId="0">
      <selection activeCell="H24" sqref="H24"/>
    </sheetView>
  </sheetViews>
  <sheetFormatPr baseColWidth="10" defaultRowHeight="12.75" x14ac:dyDescent="0.2"/>
  <sheetData/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9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44"/>
  <sheetViews>
    <sheetView showGridLines="0" view="pageBreakPreview" zoomScale="60" zoomScaleNormal="100" workbookViewId="0">
      <selection activeCell="H24" sqref="H24"/>
    </sheetView>
  </sheetViews>
  <sheetFormatPr baseColWidth="10" defaultRowHeight="15" x14ac:dyDescent="0.25"/>
  <cols>
    <col min="1" max="1" width="4.5703125" style="334" customWidth="1"/>
    <col min="2" max="2" width="33.7109375" style="334" customWidth="1"/>
    <col min="3" max="3" width="4" style="334" bestFit="1" customWidth="1"/>
    <col min="4" max="4" width="8.5703125" style="334" bestFit="1" customWidth="1"/>
    <col min="5" max="5" width="33.7109375" style="334" customWidth="1"/>
    <col min="6" max="6" width="4" style="334" bestFit="1" customWidth="1"/>
    <col min="7" max="7" width="4.85546875" style="334" customWidth="1"/>
    <col min="8" max="256" width="11.42578125" style="334"/>
    <col min="257" max="257" width="4.5703125" style="334" customWidth="1"/>
    <col min="258" max="258" width="33.7109375" style="334" customWidth="1"/>
    <col min="259" max="259" width="4" style="334" bestFit="1" customWidth="1"/>
    <col min="260" max="260" width="8.5703125" style="334" bestFit="1" customWidth="1"/>
    <col min="261" max="261" width="33.7109375" style="334" customWidth="1"/>
    <col min="262" max="262" width="4" style="334" bestFit="1" customWidth="1"/>
    <col min="263" max="263" width="4.85546875" style="334" customWidth="1"/>
    <col min="264" max="512" width="11.42578125" style="334"/>
    <col min="513" max="513" width="4.5703125" style="334" customWidth="1"/>
    <col min="514" max="514" width="33.7109375" style="334" customWidth="1"/>
    <col min="515" max="515" width="4" style="334" bestFit="1" customWidth="1"/>
    <col min="516" max="516" width="8.5703125" style="334" bestFit="1" customWidth="1"/>
    <col min="517" max="517" width="33.7109375" style="334" customWidth="1"/>
    <col min="518" max="518" width="4" style="334" bestFit="1" customWidth="1"/>
    <col min="519" max="519" width="4.85546875" style="334" customWidth="1"/>
    <col min="520" max="768" width="11.42578125" style="334"/>
    <col min="769" max="769" width="4.5703125" style="334" customWidth="1"/>
    <col min="770" max="770" width="33.7109375" style="334" customWidth="1"/>
    <col min="771" max="771" width="4" style="334" bestFit="1" customWidth="1"/>
    <col min="772" max="772" width="8.5703125" style="334" bestFit="1" customWidth="1"/>
    <col min="773" max="773" width="33.7109375" style="334" customWidth="1"/>
    <col min="774" max="774" width="4" style="334" bestFit="1" customWidth="1"/>
    <col min="775" max="775" width="4.85546875" style="334" customWidth="1"/>
    <col min="776" max="1024" width="11.42578125" style="334"/>
    <col min="1025" max="1025" width="4.5703125" style="334" customWidth="1"/>
    <col min="1026" max="1026" width="33.7109375" style="334" customWidth="1"/>
    <col min="1027" max="1027" width="4" style="334" bestFit="1" customWidth="1"/>
    <col min="1028" max="1028" width="8.5703125" style="334" bestFit="1" customWidth="1"/>
    <col min="1029" max="1029" width="33.7109375" style="334" customWidth="1"/>
    <col min="1030" max="1030" width="4" style="334" bestFit="1" customWidth="1"/>
    <col min="1031" max="1031" width="4.85546875" style="334" customWidth="1"/>
    <col min="1032" max="1280" width="11.42578125" style="334"/>
    <col min="1281" max="1281" width="4.5703125" style="334" customWidth="1"/>
    <col min="1282" max="1282" width="33.7109375" style="334" customWidth="1"/>
    <col min="1283" max="1283" width="4" style="334" bestFit="1" customWidth="1"/>
    <col min="1284" max="1284" width="8.5703125" style="334" bestFit="1" customWidth="1"/>
    <col min="1285" max="1285" width="33.7109375" style="334" customWidth="1"/>
    <col min="1286" max="1286" width="4" style="334" bestFit="1" customWidth="1"/>
    <col min="1287" max="1287" width="4.85546875" style="334" customWidth="1"/>
    <col min="1288" max="1536" width="11.42578125" style="334"/>
    <col min="1537" max="1537" width="4.5703125" style="334" customWidth="1"/>
    <col min="1538" max="1538" width="33.7109375" style="334" customWidth="1"/>
    <col min="1539" max="1539" width="4" style="334" bestFit="1" customWidth="1"/>
    <col min="1540" max="1540" width="8.5703125" style="334" bestFit="1" customWidth="1"/>
    <col min="1541" max="1541" width="33.7109375" style="334" customWidth="1"/>
    <col min="1542" max="1542" width="4" style="334" bestFit="1" customWidth="1"/>
    <col min="1543" max="1543" width="4.85546875" style="334" customWidth="1"/>
    <col min="1544" max="1792" width="11.42578125" style="334"/>
    <col min="1793" max="1793" width="4.5703125" style="334" customWidth="1"/>
    <col min="1794" max="1794" width="33.7109375" style="334" customWidth="1"/>
    <col min="1795" max="1795" width="4" style="334" bestFit="1" customWidth="1"/>
    <col min="1796" max="1796" width="8.5703125" style="334" bestFit="1" customWidth="1"/>
    <col min="1797" max="1797" width="33.7109375" style="334" customWidth="1"/>
    <col min="1798" max="1798" width="4" style="334" bestFit="1" customWidth="1"/>
    <col min="1799" max="1799" width="4.85546875" style="334" customWidth="1"/>
    <col min="1800" max="2048" width="11.42578125" style="334"/>
    <col min="2049" max="2049" width="4.5703125" style="334" customWidth="1"/>
    <col min="2050" max="2050" width="33.7109375" style="334" customWidth="1"/>
    <col min="2051" max="2051" width="4" style="334" bestFit="1" customWidth="1"/>
    <col min="2052" max="2052" width="8.5703125" style="334" bestFit="1" customWidth="1"/>
    <col min="2053" max="2053" width="33.7109375" style="334" customWidth="1"/>
    <col min="2054" max="2054" width="4" style="334" bestFit="1" customWidth="1"/>
    <col min="2055" max="2055" width="4.85546875" style="334" customWidth="1"/>
    <col min="2056" max="2304" width="11.42578125" style="334"/>
    <col min="2305" max="2305" width="4.5703125" style="334" customWidth="1"/>
    <col min="2306" max="2306" width="33.7109375" style="334" customWidth="1"/>
    <col min="2307" max="2307" width="4" style="334" bestFit="1" customWidth="1"/>
    <col min="2308" max="2308" width="8.5703125" style="334" bestFit="1" customWidth="1"/>
    <col min="2309" max="2309" width="33.7109375" style="334" customWidth="1"/>
    <col min="2310" max="2310" width="4" style="334" bestFit="1" customWidth="1"/>
    <col min="2311" max="2311" width="4.85546875" style="334" customWidth="1"/>
    <col min="2312" max="2560" width="11.42578125" style="334"/>
    <col min="2561" max="2561" width="4.5703125" style="334" customWidth="1"/>
    <col min="2562" max="2562" width="33.7109375" style="334" customWidth="1"/>
    <col min="2563" max="2563" width="4" style="334" bestFit="1" customWidth="1"/>
    <col min="2564" max="2564" width="8.5703125" style="334" bestFit="1" customWidth="1"/>
    <col min="2565" max="2565" width="33.7109375" style="334" customWidth="1"/>
    <col min="2566" max="2566" width="4" style="334" bestFit="1" customWidth="1"/>
    <col min="2567" max="2567" width="4.85546875" style="334" customWidth="1"/>
    <col min="2568" max="2816" width="11.42578125" style="334"/>
    <col min="2817" max="2817" width="4.5703125" style="334" customWidth="1"/>
    <col min="2818" max="2818" width="33.7109375" style="334" customWidth="1"/>
    <col min="2819" max="2819" width="4" style="334" bestFit="1" customWidth="1"/>
    <col min="2820" max="2820" width="8.5703125" style="334" bestFit="1" customWidth="1"/>
    <col min="2821" max="2821" width="33.7109375" style="334" customWidth="1"/>
    <col min="2822" max="2822" width="4" style="334" bestFit="1" customWidth="1"/>
    <col min="2823" max="2823" width="4.85546875" style="334" customWidth="1"/>
    <col min="2824" max="3072" width="11.42578125" style="334"/>
    <col min="3073" max="3073" width="4.5703125" style="334" customWidth="1"/>
    <col min="3074" max="3074" width="33.7109375" style="334" customWidth="1"/>
    <col min="3075" max="3075" width="4" style="334" bestFit="1" customWidth="1"/>
    <col min="3076" max="3076" width="8.5703125" style="334" bestFit="1" customWidth="1"/>
    <col min="3077" max="3077" width="33.7109375" style="334" customWidth="1"/>
    <col min="3078" max="3078" width="4" style="334" bestFit="1" customWidth="1"/>
    <col min="3079" max="3079" width="4.85546875" style="334" customWidth="1"/>
    <col min="3080" max="3328" width="11.42578125" style="334"/>
    <col min="3329" max="3329" width="4.5703125" style="334" customWidth="1"/>
    <col min="3330" max="3330" width="33.7109375" style="334" customWidth="1"/>
    <col min="3331" max="3331" width="4" style="334" bestFit="1" customWidth="1"/>
    <col min="3332" max="3332" width="8.5703125" style="334" bestFit="1" customWidth="1"/>
    <col min="3333" max="3333" width="33.7109375" style="334" customWidth="1"/>
    <col min="3334" max="3334" width="4" style="334" bestFit="1" customWidth="1"/>
    <col min="3335" max="3335" width="4.85546875" style="334" customWidth="1"/>
    <col min="3336" max="3584" width="11.42578125" style="334"/>
    <col min="3585" max="3585" width="4.5703125" style="334" customWidth="1"/>
    <col min="3586" max="3586" width="33.7109375" style="334" customWidth="1"/>
    <col min="3587" max="3587" width="4" style="334" bestFit="1" customWidth="1"/>
    <col min="3588" max="3588" width="8.5703125" style="334" bestFit="1" customWidth="1"/>
    <col min="3589" max="3589" width="33.7109375" style="334" customWidth="1"/>
    <col min="3590" max="3590" width="4" style="334" bestFit="1" customWidth="1"/>
    <col min="3591" max="3591" width="4.85546875" style="334" customWidth="1"/>
    <col min="3592" max="3840" width="11.42578125" style="334"/>
    <col min="3841" max="3841" width="4.5703125" style="334" customWidth="1"/>
    <col min="3842" max="3842" width="33.7109375" style="334" customWidth="1"/>
    <col min="3843" max="3843" width="4" style="334" bestFit="1" customWidth="1"/>
    <col min="3844" max="3844" width="8.5703125" style="334" bestFit="1" customWidth="1"/>
    <col min="3845" max="3845" width="33.7109375" style="334" customWidth="1"/>
    <col min="3846" max="3846" width="4" style="334" bestFit="1" customWidth="1"/>
    <col min="3847" max="3847" width="4.85546875" style="334" customWidth="1"/>
    <col min="3848" max="4096" width="11.42578125" style="334"/>
    <col min="4097" max="4097" width="4.5703125" style="334" customWidth="1"/>
    <col min="4098" max="4098" width="33.7109375" style="334" customWidth="1"/>
    <col min="4099" max="4099" width="4" style="334" bestFit="1" customWidth="1"/>
    <col min="4100" max="4100" width="8.5703125" style="334" bestFit="1" customWidth="1"/>
    <col min="4101" max="4101" width="33.7109375" style="334" customWidth="1"/>
    <col min="4102" max="4102" width="4" style="334" bestFit="1" customWidth="1"/>
    <col min="4103" max="4103" width="4.85546875" style="334" customWidth="1"/>
    <col min="4104" max="4352" width="11.42578125" style="334"/>
    <col min="4353" max="4353" width="4.5703125" style="334" customWidth="1"/>
    <col min="4354" max="4354" width="33.7109375" style="334" customWidth="1"/>
    <col min="4355" max="4355" width="4" style="334" bestFit="1" customWidth="1"/>
    <col min="4356" max="4356" width="8.5703125" style="334" bestFit="1" customWidth="1"/>
    <col min="4357" max="4357" width="33.7109375" style="334" customWidth="1"/>
    <col min="4358" max="4358" width="4" style="334" bestFit="1" customWidth="1"/>
    <col min="4359" max="4359" width="4.85546875" style="334" customWidth="1"/>
    <col min="4360" max="4608" width="11.42578125" style="334"/>
    <col min="4609" max="4609" width="4.5703125" style="334" customWidth="1"/>
    <col min="4610" max="4610" width="33.7109375" style="334" customWidth="1"/>
    <col min="4611" max="4611" width="4" style="334" bestFit="1" customWidth="1"/>
    <col min="4612" max="4612" width="8.5703125" style="334" bestFit="1" customWidth="1"/>
    <col min="4613" max="4613" width="33.7109375" style="334" customWidth="1"/>
    <col min="4614" max="4614" width="4" style="334" bestFit="1" customWidth="1"/>
    <col min="4615" max="4615" width="4.85546875" style="334" customWidth="1"/>
    <col min="4616" max="4864" width="11.42578125" style="334"/>
    <col min="4865" max="4865" width="4.5703125" style="334" customWidth="1"/>
    <col min="4866" max="4866" width="33.7109375" style="334" customWidth="1"/>
    <col min="4867" max="4867" width="4" style="334" bestFit="1" customWidth="1"/>
    <col min="4868" max="4868" width="8.5703125" style="334" bestFit="1" customWidth="1"/>
    <col min="4869" max="4869" width="33.7109375" style="334" customWidth="1"/>
    <col min="4870" max="4870" width="4" style="334" bestFit="1" customWidth="1"/>
    <col min="4871" max="4871" width="4.85546875" style="334" customWidth="1"/>
    <col min="4872" max="5120" width="11.42578125" style="334"/>
    <col min="5121" max="5121" width="4.5703125" style="334" customWidth="1"/>
    <col min="5122" max="5122" width="33.7109375" style="334" customWidth="1"/>
    <col min="5123" max="5123" width="4" style="334" bestFit="1" customWidth="1"/>
    <col min="5124" max="5124" width="8.5703125" style="334" bestFit="1" customWidth="1"/>
    <col min="5125" max="5125" width="33.7109375" style="334" customWidth="1"/>
    <col min="5126" max="5126" width="4" style="334" bestFit="1" customWidth="1"/>
    <col min="5127" max="5127" width="4.85546875" style="334" customWidth="1"/>
    <col min="5128" max="5376" width="11.42578125" style="334"/>
    <col min="5377" max="5377" width="4.5703125" style="334" customWidth="1"/>
    <col min="5378" max="5378" width="33.7109375" style="334" customWidth="1"/>
    <col min="5379" max="5379" width="4" style="334" bestFit="1" customWidth="1"/>
    <col min="5380" max="5380" width="8.5703125" style="334" bestFit="1" customWidth="1"/>
    <col min="5381" max="5381" width="33.7109375" style="334" customWidth="1"/>
    <col min="5382" max="5382" width="4" style="334" bestFit="1" customWidth="1"/>
    <col min="5383" max="5383" width="4.85546875" style="334" customWidth="1"/>
    <col min="5384" max="5632" width="11.42578125" style="334"/>
    <col min="5633" max="5633" width="4.5703125" style="334" customWidth="1"/>
    <col min="5634" max="5634" width="33.7109375" style="334" customWidth="1"/>
    <col min="5635" max="5635" width="4" style="334" bestFit="1" customWidth="1"/>
    <col min="5636" max="5636" width="8.5703125" style="334" bestFit="1" customWidth="1"/>
    <col min="5637" max="5637" width="33.7109375" style="334" customWidth="1"/>
    <col min="5638" max="5638" width="4" style="334" bestFit="1" customWidth="1"/>
    <col min="5639" max="5639" width="4.85546875" style="334" customWidth="1"/>
    <col min="5640" max="5888" width="11.42578125" style="334"/>
    <col min="5889" max="5889" width="4.5703125" style="334" customWidth="1"/>
    <col min="5890" max="5890" width="33.7109375" style="334" customWidth="1"/>
    <col min="5891" max="5891" width="4" style="334" bestFit="1" customWidth="1"/>
    <col min="5892" max="5892" width="8.5703125" style="334" bestFit="1" customWidth="1"/>
    <col min="5893" max="5893" width="33.7109375" style="334" customWidth="1"/>
    <col min="5894" max="5894" width="4" style="334" bestFit="1" customWidth="1"/>
    <col min="5895" max="5895" width="4.85546875" style="334" customWidth="1"/>
    <col min="5896" max="6144" width="11.42578125" style="334"/>
    <col min="6145" max="6145" width="4.5703125" style="334" customWidth="1"/>
    <col min="6146" max="6146" width="33.7109375" style="334" customWidth="1"/>
    <col min="6147" max="6147" width="4" style="334" bestFit="1" customWidth="1"/>
    <col min="6148" max="6148" width="8.5703125" style="334" bestFit="1" customWidth="1"/>
    <col min="6149" max="6149" width="33.7109375" style="334" customWidth="1"/>
    <col min="6150" max="6150" width="4" style="334" bestFit="1" customWidth="1"/>
    <col min="6151" max="6151" width="4.85546875" style="334" customWidth="1"/>
    <col min="6152" max="6400" width="11.42578125" style="334"/>
    <col min="6401" max="6401" width="4.5703125" style="334" customWidth="1"/>
    <col min="6402" max="6402" width="33.7109375" style="334" customWidth="1"/>
    <col min="6403" max="6403" width="4" style="334" bestFit="1" customWidth="1"/>
    <col min="6404" max="6404" width="8.5703125" style="334" bestFit="1" customWidth="1"/>
    <col min="6405" max="6405" width="33.7109375" style="334" customWidth="1"/>
    <col min="6406" max="6406" width="4" style="334" bestFit="1" customWidth="1"/>
    <col min="6407" max="6407" width="4.85546875" style="334" customWidth="1"/>
    <col min="6408" max="6656" width="11.42578125" style="334"/>
    <col min="6657" max="6657" width="4.5703125" style="334" customWidth="1"/>
    <col min="6658" max="6658" width="33.7109375" style="334" customWidth="1"/>
    <col min="6659" max="6659" width="4" style="334" bestFit="1" customWidth="1"/>
    <col min="6660" max="6660" width="8.5703125" style="334" bestFit="1" customWidth="1"/>
    <col min="6661" max="6661" width="33.7109375" style="334" customWidth="1"/>
    <col min="6662" max="6662" width="4" style="334" bestFit="1" customWidth="1"/>
    <col min="6663" max="6663" width="4.85546875" style="334" customWidth="1"/>
    <col min="6664" max="6912" width="11.42578125" style="334"/>
    <col min="6913" max="6913" width="4.5703125" style="334" customWidth="1"/>
    <col min="6914" max="6914" width="33.7109375" style="334" customWidth="1"/>
    <col min="6915" max="6915" width="4" style="334" bestFit="1" customWidth="1"/>
    <col min="6916" max="6916" width="8.5703125" style="334" bestFit="1" customWidth="1"/>
    <col min="6917" max="6917" width="33.7109375" style="334" customWidth="1"/>
    <col min="6918" max="6918" width="4" style="334" bestFit="1" customWidth="1"/>
    <col min="6919" max="6919" width="4.85546875" style="334" customWidth="1"/>
    <col min="6920" max="7168" width="11.42578125" style="334"/>
    <col min="7169" max="7169" width="4.5703125" style="334" customWidth="1"/>
    <col min="7170" max="7170" width="33.7109375" style="334" customWidth="1"/>
    <col min="7171" max="7171" width="4" style="334" bestFit="1" customWidth="1"/>
    <col min="7172" max="7172" width="8.5703125" style="334" bestFit="1" customWidth="1"/>
    <col min="7173" max="7173" width="33.7109375" style="334" customWidth="1"/>
    <col min="7174" max="7174" width="4" style="334" bestFit="1" customWidth="1"/>
    <col min="7175" max="7175" width="4.85546875" style="334" customWidth="1"/>
    <col min="7176" max="7424" width="11.42578125" style="334"/>
    <col min="7425" max="7425" width="4.5703125" style="334" customWidth="1"/>
    <col min="7426" max="7426" width="33.7109375" style="334" customWidth="1"/>
    <col min="7427" max="7427" width="4" style="334" bestFit="1" customWidth="1"/>
    <col min="7428" max="7428" width="8.5703125" style="334" bestFit="1" customWidth="1"/>
    <col min="7429" max="7429" width="33.7109375" style="334" customWidth="1"/>
    <col min="7430" max="7430" width="4" style="334" bestFit="1" customWidth="1"/>
    <col min="7431" max="7431" width="4.85546875" style="334" customWidth="1"/>
    <col min="7432" max="7680" width="11.42578125" style="334"/>
    <col min="7681" max="7681" width="4.5703125" style="334" customWidth="1"/>
    <col min="7682" max="7682" width="33.7109375" style="334" customWidth="1"/>
    <col min="7683" max="7683" width="4" style="334" bestFit="1" customWidth="1"/>
    <col min="7684" max="7684" width="8.5703125" style="334" bestFit="1" customWidth="1"/>
    <col min="7685" max="7685" width="33.7109375" style="334" customWidth="1"/>
    <col min="7686" max="7686" width="4" style="334" bestFit="1" customWidth="1"/>
    <col min="7687" max="7687" width="4.85546875" style="334" customWidth="1"/>
    <col min="7688" max="7936" width="11.42578125" style="334"/>
    <col min="7937" max="7937" width="4.5703125" style="334" customWidth="1"/>
    <col min="7938" max="7938" width="33.7109375" style="334" customWidth="1"/>
    <col min="7939" max="7939" width="4" style="334" bestFit="1" customWidth="1"/>
    <col min="7940" max="7940" width="8.5703125" style="334" bestFit="1" customWidth="1"/>
    <col min="7941" max="7941" width="33.7109375" style="334" customWidth="1"/>
    <col min="7942" max="7942" width="4" style="334" bestFit="1" customWidth="1"/>
    <col min="7943" max="7943" width="4.85546875" style="334" customWidth="1"/>
    <col min="7944" max="8192" width="11.42578125" style="334"/>
    <col min="8193" max="8193" width="4.5703125" style="334" customWidth="1"/>
    <col min="8194" max="8194" width="33.7109375" style="334" customWidth="1"/>
    <col min="8195" max="8195" width="4" style="334" bestFit="1" customWidth="1"/>
    <col min="8196" max="8196" width="8.5703125" style="334" bestFit="1" customWidth="1"/>
    <col min="8197" max="8197" width="33.7109375" style="334" customWidth="1"/>
    <col min="8198" max="8198" width="4" style="334" bestFit="1" customWidth="1"/>
    <col min="8199" max="8199" width="4.85546875" style="334" customWidth="1"/>
    <col min="8200" max="8448" width="11.42578125" style="334"/>
    <col min="8449" max="8449" width="4.5703125" style="334" customWidth="1"/>
    <col min="8450" max="8450" width="33.7109375" style="334" customWidth="1"/>
    <col min="8451" max="8451" width="4" style="334" bestFit="1" customWidth="1"/>
    <col min="8452" max="8452" width="8.5703125" style="334" bestFit="1" customWidth="1"/>
    <col min="8453" max="8453" width="33.7109375" style="334" customWidth="1"/>
    <col min="8454" max="8454" width="4" style="334" bestFit="1" customWidth="1"/>
    <col min="8455" max="8455" width="4.85546875" style="334" customWidth="1"/>
    <col min="8456" max="8704" width="11.42578125" style="334"/>
    <col min="8705" max="8705" width="4.5703125" style="334" customWidth="1"/>
    <col min="8706" max="8706" width="33.7109375" style="334" customWidth="1"/>
    <col min="8707" max="8707" width="4" style="334" bestFit="1" customWidth="1"/>
    <col min="8708" max="8708" width="8.5703125" style="334" bestFit="1" customWidth="1"/>
    <col min="8709" max="8709" width="33.7109375" style="334" customWidth="1"/>
    <col min="8710" max="8710" width="4" style="334" bestFit="1" customWidth="1"/>
    <col min="8711" max="8711" width="4.85546875" style="334" customWidth="1"/>
    <col min="8712" max="8960" width="11.42578125" style="334"/>
    <col min="8961" max="8961" width="4.5703125" style="334" customWidth="1"/>
    <col min="8962" max="8962" width="33.7109375" style="334" customWidth="1"/>
    <col min="8963" max="8963" width="4" style="334" bestFit="1" customWidth="1"/>
    <col min="8964" max="8964" width="8.5703125" style="334" bestFit="1" customWidth="1"/>
    <col min="8965" max="8965" width="33.7109375" style="334" customWidth="1"/>
    <col min="8966" max="8966" width="4" style="334" bestFit="1" customWidth="1"/>
    <col min="8967" max="8967" width="4.85546875" style="334" customWidth="1"/>
    <col min="8968" max="9216" width="11.42578125" style="334"/>
    <col min="9217" max="9217" width="4.5703125" style="334" customWidth="1"/>
    <col min="9218" max="9218" width="33.7109375" style="334" customWidth="1"/>
    <col min="9219" max="9219" width="4" style="334" bestFit="1" customWidth="1"/>
    <col min="9220" max="9220" width="8.5703125" style="334" bestFit="1" customWidth="1"/>
    <col min="9221" max="9221" width="33.7109375" style="334" customWidth="1"/>
    <col min="9222" max="9222" width="4" style="334" bestFit="1" customWidth="1"/>
    <col min="9223" max="9223" width="4.85546875" style="334" customWidth="1"/>
    <col min="9224" max="9472" width="11.42578125" style="334"/>
    <col min="9473" max="9473" width="4.5703125" style="334" customWidth="1"/>
    <col min="9474" max="9474" width="33.7109375" style="334" customWidth="1"/>
    <col min="9475" max="9475" width="4" style="334" bestFit="1" customWidth="1"/>
    <col min="9476" max="9476" width="8.5703125" style="334" bestFit="1" customWidth="1"/>
    <col min="9477" max="9477" width="33.7109375" style="334" customWidth="1"/>
    <col min="9478" max="9478" width="4" style="334" bestFit="1" customWidth="1"/>
    <col min="9479" max="9479" width="4.85546875" style="334" customWidth="1"/>
    <col min="9480" max="9728" width="11.42578125" style="334"/>
    <col min="9729" max="9729" width="4.5703125" style="334" customWidth="1"/>
    <col min="9730" max="9730" width="33.7109375" style="334" customWidth="1"/>
    <col min="9731" max="9731" width="4" style="334" bestFit="1" customWidth="1"/>
    <col min="9732" max="9732" width="8.5703125" style="334" bestFit="1" customWidth="1"/>
    <col min="9733" max="9733" width="33.7109375" style="334" customWidth="1"/>
    <col min="9734" max="9734" width="4" style="334" bestFit="1" customWidth="1"/>
    <col min="9735" max="9735" width="4.85546875" style="334" customWidth="1"/>
    <col min="9736" max="9984" width="11.42578125" style="334"/>
    <col min="9985" max="9985" width="4.5703125" style="334" customWidth="1"/>
    <col min="9986" max="9986" width="33.7109375" style="334" customWidth="1"/>
    <col min="9987" max="9987" width="4" style="334" bestFit="1" customWidth="1"/>
    <col min="9988" max="9988" width="8.5703125" style="334" bestFit="1" customWidth="1"/>
    <col min="9989" max="9989" width="33.7109375" style="334" customWidth="1"/>
    <col min="9990" max="9990" width="4" style="334" bestFit="1" customWidth="1"/>
    <col min="9991" max="9991" width="4.85546875" style="334" customWidth="1"/>
    <col min="9992" max="10240" width="11.42578125" style="334"/>
    <col min="10241" max="10241" width="4.5703125" style="334" customWidth="1"/>
    <col min="10242" max="10242" width="33.7109375" style="334" customWidth="1"/>
    <col min="10243" max="10243" width="4" style="334" bestFit="1" customWidth="1"/>
    <col min="10244" max="10244" width="8.5703125" style="334" bestFit="1" customWidth="1"/>
    <col min="10245" max="10245" width="33.7109375" style="334" customWidth="1"/>
    <col min="10246" max="10246" width="4" style="334" bestFit="1" customWidth="1"/>
    <col min="10247" max="10247" width="4.85546875" style="334" customWidth="1"/>
    <col min="10248" max="10496" width="11.42578125" style="334"/>
    <col min="10497" max="10497" width="4.5703125" style="334" customWidth="1"/>
    <col min="10498" max="10498" width="33.7109375" style="334" customWidth="1"/>
    <col min="10499" max="10499" width="4" style="334" bestFit="1" customWidth="1"/>
    <col min="10500" max="10500" width="8.5703125" style="334" bestFit="1" customWidth="1"/>
    <col min="10501" max="10501" width="33.7109375" style="334" customWidth="1"/>
    <col min="10502" max="10502" width="4" style="334" bestFit="1" customWidth="1"/>
    <col min="10503" max="10503" width="4.85546875" style="334" customWidth="1"/>
    <col min="10504" max="10752" width="11.42578125" style="334"/>
    <col min="10753" max="10753" width="4.5703125" style="334" customWidth="1"/>
    <col min="10754" max="10754" width="33.7109375" style="334" customWidth="1"/>
    <col min="10755" max="10755" width="4" style="334" bestFit="1" customWidth="1"/>
    <col min="10756" max="10756" width="8.5703125" style="334" bestFit="1" customWidth="1"/>
    <col min="10757" max="10757" width="33.7109375" style="334" customWidth="1"/>
    <col min="10758" max="10758" width="4" style="334" bestFit="1" customWidth="1"/>
    <col min="10759" max="10759" width="4.85546875" style="334" customWidth="1"/>
    <col min="10760" max="11008" width="11.42578125" style="334"/>
    <col min="11009" max="11009" width="4.5703125" style="334" customWidth="1"/>
    <col min="11010" max="11010" width="33.7109375" style="334" customWidth="1"/>
    <col min="11011" max="11011" width="4" style="334" bestFit="1" customWidth="1"/>
    <col min="11012" max="11012" width="8.5703125" style="334" bestFit="1" customWidth="1"/>
    <col min="11013" max="11013" width="33.7109375" style="334" customWidth="1"/>
    <col min="11014" max="11014" width="4" style="334" bestFit="1" customWidth="1"/>
    <col min="11015" max="11015" width="4.85546875" style="334" customWidth="1"/>
    <col min="11016" max="11264" width="11.42578125" style="334"/>
    <col min="11265" max="11265" width="4.5703125" style="334" customWidth="1"/>
    <col min="11266" max="11266" width="33.7109375" style="334" customWidth="1"/>
    <col min="11267" max="11267" width="4" style="334" bestFit="1" customWidth="1"/>
    <col min="11268" max="11268" width="8.5703125" style="334" bestFit="1" customWidth="1"/>
    <col min="11269" max="11269" width="33.7109375" style="334" customWidth="1"/>
    <col min="11270" max="11270" width="4" style="334" bestFit="1" customWidth="1"/>
    <col min="11271" max="11271" width="4.85546875" style="334" customWidth="1"/>
    <col min="11272" max="11520" width="11.42578125" style="334"/>
    <col min="11521" max="11521" width="4.5703125" style="334" customWidth="1"/>
    <col min="11522" max="11522" width="33.7109375" style="334" customWidth="1"/>
    <col min="11523" max="11523" width="4" style="334" bestFit="1" customWidth="1"/>
    <col min="11524" max="11524" width="8.5703125" style="334" bestFit="1" customWidth="1"/>
    <col min="11525" max="11525" width="33.7109375" style="334" customWidth="1"/>
    <col min="11526" max="11526" width="4" style="334" bestFit="1" customWidth="1"/>
    <col min="11527" max="11527" width="4.85546875" style="334" customWidth="1"/>
    <col min="11528" max="11776" width="11.42578125" style="334"/>
    <col min="11777" max="11777" width="4.5703125" style="334" customWidth="1"/>
    <col min="11778" max="11778" width="33.7109375" style="334" customWidth="1"/>
    <col min="11779" max="11779" width="4" style="334" bestFit="1" customWidth="1"/>
    <col min="11780" max="11780" width="8.5703125" style="334" bestFit="1" customWidth="1"/>
    <col min="11781" max="11781" width="33.7109375" style="334" customWidth="1"/>
    <col min="11782" max="11782" width="4" style="334" bestFit="1" customWidth="1"/>
    <col min="11783" max="11783" width="4.85546875" style="334" customWidth="1"/>
    <col min="11784" max="12032" width="11.42578125" style="334"/>
    <col min="12033" max="12033" width="4.5703125" style="334" customWidth="1"/>
    <col min="12034" max="12034" width="33.7109375" style="334" customWidth="1"/>
    <col min="12035" max="12035" width="4" style="334" bestFit="1" customWidth="1"/>
    <col min="12036" max="12036" width="8.5703125" style="334" bestFit="1" customWidth="1"/>
    <col min="12037" max="12037" width="33.7109375" style="334" customWidth="1"/>
    <col min="12038" max="12038" width="4" style="334" bestFit="1" customWidth="1"/>
    <col min="12039" max="12039" width="4.85546875" style="334" customWidth="1"/>
    <col min="12040" max="12288" width="11.42578125" style="334"/>
    <col min="12289" max="12289" width="4.5703125" style="334" customWidth="1"/>
    <col min="12290" max="12290" width="33.7109375" style="334" customWidth="1"/>
    <col min="12291" max="12291" width="4" style="334" bestFit="1" customWidth="1"/>
    <col min="12292" max="12292" width="8.5703125" style="334" bestFit="1" customWidth="1"/>
    <col min="12293" max="12293" width="33.7109375" style="334" customWidth="1"/>
    <col min="12294" max="12294" width="4" style="334" bestFit="1" customWidth="1"/>
    <col min="12295" max="12295" width="4.85546875" style="334" customWidth="1"/>
    <col min="12296" max="12544" width="11.42578125" style="334"/>
    <col min="12545" max="12545" width="4.5703125" style="334" customWidth="1"/>
    <col min="12546" max="12546" width="33.7109375" style="334" customWidth="1"/>
    <col min="12547" max="12547" width="4" style="334" bestFit="1" customWidth="1"/>
    <col min="12548" max="12548" width="8.5703125" style="334" bestFit="1" customWidth="1"/>
    <col min="12549" max="12549" width="33.7109375" style="334" customWidth="1"/>
    <col min="12550" max="12550" width="4" style="334" bestFit="1" customWidth="1"/>
    <col min="12551" max="12551" width="4.85546875" style="334" customWidth="1"/>
    <col min="12552" max="12800" width="11.42578125" style="334"/>
    <col min="12801" max="12801" width="4.5703125" style="334" customWidth="1"/>
    <col min="12802" max="12802" width="33.7109375" style="334" customWidth="1"/>
    <col min="12803" max="12803" width="4" style="334" bestFit="1" customWidth="1"/>
    <col min="12804" max="12804" width="8.5703125" style="334" bestFit="1" customWidth="1"/>
    <col min="12805" max="12805" width="33.7109375" style="334" customWidth="1"/>
    <col min="12806" max="12806" width="4" style="334" bestFit="1" customWidth="1"/>
    <col min="12807" max="12807" width="4.85546875" style="334" customWidth="1"/>
    <col min="12808" max="13056" width="11.42578125" style="334"/>
    <col min="13057" max="13057" width="4.5703125" style="334" customWidth="1"/>
    <col min="13058" max="13058" width="33.7109375" style="334" customWidth="1"/>
    <col min="13059" max="13059" width="4" style="334" bestFit="1" customWidth="1"/>
    <col min="13060" max="13060" width="8.5703125" style="334" bestFit="1" customWidth="1"/>
    <col min="13061" max="13061" width="33.7109375" style="334" customWidth="1"/>
    <col min="13062" max="13062" width="4" style="334" bestFit="1" customWidth="1"/>
    <col min="13063" max="13063" width="4.85546875" style="334" customWidth="1"/>
    <col min="13064" max="13312" width="11.42578125" style="334"/>
    <col min="13313" max="13313" width="4.5703125" style="334" customWidth="1"/>
    <col min="13314" max="13314" width="33.7109375" style="334" customWidth="1"/>
    <col min="13315" max="13315" width="4" style="334" bestFit="1" customWidth="1"/>
    <col min="13316" max="13316" width="8.5703125" style="334" bestFit="1" customWidth="1"/>
    <col min="13317" max="13317" width="33.7109375" style="334" customWidth="1"/>
    <col min="13318" max="13318" width="4" style="334" bestFit="1" customWidth="1"/>
    <col min="13319" max="13319" width="4.85546875" style="334" customWidth="1"/>
    <col min="13320" max="13568" width="11.42578125" style="334"/>
    <col min="13569" max="13569" width="4.5703125" style="334" customWidth="1"/>
    <col min="13570" max="13570" width="33.7109375" style="334" customWidth="1"/>
    <col min="13571" max="13571" width="4" style="334" bestFit="1" customWidth="1"/>
    <col min="13572" max="13572" width="8.5703125" style="334" bestFit="1" customWidth="1"/>
    <col min="13573" max="13573" width="33.7109375" style="334" customWidth="1"/>
    <col min="13574" max="13574" width="4" style="334" bestFit="1" customWidth="1"/>
    <col min="13575" max="13575" width="4.85546875" style="334" customWidth="1"/>
    <col min="13576" max="13824" width="11.42578125" style="334"/>
    <col min="13825" max="13825" width="4.5703125" style="334" customWidth="1"/>
    <col min="13826" max="13826" width="33.7109375" style="334" customWidth="1"/>
    <col min="13827" max="13827" width="4" style="334" bestFit="1" customWidth="1"/>
    <col min="13828" max="13828" width="8.5703125" style="334" bestFit="1" customWidth="1"/>
    <col min="13829" max="13829" width="33.7109375" style="334" customWidth="1"/>
    <col min="13830" max="13830" width="4" style="334" bestFit="1" customWidth="1"/>
    <col min="13831" max="13831" width="4.85546875" style="334" customWidth="1"/>
    <col min="13832" max="14080" width="11.42578125" style="334"/>
    <col min="14081" max="14081" width="4.5703125" style="334" customWidth="1"/>
    <col min="14082" max="14082" width="33.7109375" style="334" customWidth="1"/>
    <col min="14083" max="14083" width="4" style="334" bestFit="1" customWidth="1"/>
    <col min="14084" max="14084" width="8.5703125" style="334" bestFit="1" customWidth="1"/>
    <col min="14085" max="14085" width="33.7109375" style="334" customWidth="1"/>
    <col min="14086" max="14086" width="4" style="334" bestFit="1" customWidth="1"/>
    <col min="14087" max="14087" width="4.85546875" style="334" customWidth="1"/>
    <col min="14088" max="14336" width="11.42578125" style="334"/>
    <col min="14337" max="14337" width="4.5703125" style="334" customWidth="1"/>
    <col min="14338" max="14338" width="33.7109375" style="334" customWidth="1"/>
    <col min="14339" max="14339" width="4" style="334" bestFit="1" customWidth="1"/>
    <col min="14340" max="14340" width="8.5703125" style="334" bestFit="1" customWidth="1"/>
    <col min="14341" max="14341" width="33.7109375" style="334" customWidth="1"/>
    <col min="14342" max="14342" width="4" style="334" bestFit="1" customWidth="1"/>
    <col min="14343" max="14343" width="4.85546875" style="334" customWidth="1"/>
    <col min="14344" max="14592" width="11.42578125" style="334"/>
    <col min="14593" max="14593" width="4.5703125" style="334" customWidth="1"/>
    <col min="14594" max="14594" width="33.7109375" style="334" customWidth="1"/>
    <col min="14595" max="14595" width="4" style="334" bestFit="1" customWidth="1"/>
    <col min="14596" max="14596" width="8.5703125" style="334" bestFit="1" customWidth="1"/>
    <col min="14597" max="14597" width="33.7109375" style="334" customWidth="1"/>
    <col min="14598" max="14598" width="4" style="334" bestFit="1" customWidth="1"/>
    <col min="14599" max="14599" width="4.85546875" style="334" customWidth="1"/>
    <col min="14600" max="14848" width="11.42578125" style="334"/>
    <col min="14849" max="14849" width="4.5703125" style="334" customWidth="1"/>
    <col min="14850" max="14850" width="33.7109375" style="334" customWidth="1"/>
    <col min="14851" max="14851" width="4" style="334" bestFit="1" customWidth="1"/>
    <col min="14852" max="14852" width="8.5703125" style="334" bestFit="1" customWidth="1"/>
    <col min="14853" max="14853" width="33.7109375" style="334" customWidth="1"/>
    <col min="14854" max="14854" width="4" style="334" bestFit="1" customWidth="1"/>
    <col min="14855" max="14855" width="4.85546875" style="334" customWidth="1"/>
    <col min="14856" max="15104" width="11.42578125" style="334"/>
    <col min="15105" max="15105" width="4.5703125" style="334" customWidth="1"/>
    <col min="15106" max="15106" width="33.7109375" style="334" customWidth="1"/>
    <col min="15107" max="15107" width="4" style="334" bestFit="1" customWidth="1"/>
    <col min="15108" max="15108" width="8.5703125" style="334" bestFit="1" customWidth="1"/>
    <col min="15109" max="15109" width="33.7109375" style="334" customWidth="1"/>
    <col min="15110" max="15110" width="4" style="334" bestFit="1" customWidth="1"/>
    <col min="15111" max="15111" width="4.85546875" style="334" customWidth="1"/>
    <col min="15112" max="15360" width="11.42578125" style="334"/>
    <col min="15361" max="15361" width="4.5703125" style="334" customWidth="1"/>
    <col min="15362" max="15362" width="33.7109375" style="334" customWidth="1"/>
    <col min="15363" max="15363" width="4" style="334" bestFit="1" customWidth="1"/>
    <col min="15364" max="15364" width="8.5703125" style="334" bestFit="1" customWidth="1"/>
    <col min="15365" max="15365" width="33.7109375" style="334" customWidth="1"/>
    <col min="15366" max="15366" width="4" style="334" bestFit="1" customWidth="1"/>
    <col min="15367" max="15367" width="4.85546875" style="334" customWidth="1"/>
    <col min="15368" max="15616" width="11.42578125" style="334"/>
    <col min="15617" max="15617" width="4.5703125" style="334" customWidth="1"/>
    <col min="15618" max="15618" width="33.7109375" style="334" customWidth="1"/>
    <col min="15619" max="15619" width="4" style="334" bestFit="1" customWidth="1"/>
    <col min="15620" max="15620" width="8.5703125" style="334" bestFit="1" customWidth="1"/>
    <col min="15621" max="15621" width="33.7109375" style="334" customWidth="1"/>
    <col min="15622" max="15622" width="4" style="334" bestFit="1" customWidth="1"/>
    <col min="15623" max="15623" width="4.85546875" style="334" customWidth="1"/>
    <col min="15624" max="15872" width="11.42578125" style="334"/>
    <col min="15873" max="15873" width="4.5703125" style="334" customWidth="1"/>
    <col min="15874" max="15874" width="33.7109375" style="334" customWidth="1"/>
    <col min="15875" max="15875" width="4" style="334" bestFit="1" customWidth="1"/>
    <col min="15876" max="15876" width="8.5703125" style="334" bestFit="1" customWidth="1"/>
    <col min="15877" max="15877" width="33.7109375" style="334" customWidth="1"/>
    <col min="15878" max="15878" width="4" style="334" bestFit="1" customWidth="1"/>
    <col min="15879" max="15879" width="4.85546875" style="334" customWidth="1"/>
    <col min="15880" max="16128" width="11.42578125" style="334"/>
    <col min="16129" max="16129" width="4.5703125" style="334" customWidth="1"/>
    <col min="16130" max="16130" width="33.7109375" style="334" customWidth="1"/>
    <col min="16131" max="16131" width="4" style="334" bestFit="1" customWidth="1"/>
    <col min="16132" max="16132" width="8.5703125" style="334" bestFit="1" customWidth="1"/>
    <col min="16133" max="16133" width="33.7109375" style="334" customWidth="1"/>
    <col min="16134" max="16134" width="4" style="334" bestFit="1" customWidth="1"/>
    <col min="16135" max="16135" width="4.85546875" style="334" customWidth="1"/>
    <col min="16136" max="16384" width="11.42578125" style="334"/>
  </cols>
  <sheetData>
    <row r="1" spans="1:7" s="333" customFormat="1" ht="28.5" customHeight="1" x14ac:dyDescent="0.2">
      <c r="A1" s="331" t="s">
        <v>328</v>
      </c>
      <c r="B1" s="331"/>
      <c r="C1" s="331"/>
      <c r="D1" s="332"/>
      <c r="E1" s="331" t="s">
        <v>329</v>
      </c>
      <c r="F1" s="331"/>
    </row>
    <row r="2" spans="1:7" s="333" customFormat="1" ht="28.5" customHeight="1" x14ac:dyDescent="0.2">
      <c r="A2" s="331" t="s">
        <v>330</v>
      </c>
      <c r="B2" s="331"/>
      <c r="C2" s="331"/>
      <c r="D2" s="332"/>
      <c r="E2" s="331" t="s">
        <v>331</v>
      </c>
      <c r="F2" s="331"/>
    </row>
    <row r="3" spans="1:7" s="333" customFormat="1" ht="28.5" customHeight="1" x14ac:dyDescent="0.2">
      <c r="A3" s="331" t="s">
        <v>332</v>
      </c>
      <c r="B3" s="331"/>
      <c r="C3" s="331"/>
      <c r="D3" s="332"/>
      <c r="E3" s="331" t="s">
        <v>333</v>
      </c>
      <c r="F3" s="331"/>
    </row>
    <row r="4" spans="1:7" ht="8.25" customHeight="1" x14ac:dyDescent="0.25"/>
    <row r="5" spans="1:7" ht="18.75" customHeight="1" x14ac:dyDescent="0.35">
      <c r="A5" s="682" t="s">
        <v>334</v>
      </c>
      <c r="B5" s="682"/>
      <c r="C5" s="682"/>
      <c r="D5" s="682"/>
      <c r="E5" s="682"/>
      <c r="F5" s="335"/>
      <c r="G5" s="335"/>
    </row>
    <row r="6" spans="1:7" ht="5.25" customHeight="1" x14ac:dyDescent="0.25"/>
    <row r="7" spans="1:7" ht="23.25" x14ac:dyDescent="0.35">
      <c r="A7" s="681" t="s">
        <v>335</v>
      </c>
      <c r="B7" s="681"/>
      <c r="C7" s="681"/>
      <c r="D7" s="681"/>
      <c r="E7" s="681"/>
      <c r="F7" s="336"/>
      <c r="G7" s="336"/>
    </row>
    <row r="8" spans="1:7" ht="20.25" customHeight="1" x14ac:dyDescent="0.25">
      <c r="B8" s="337" t="s">
        <v>336</v>
      </c>
      <c r="C8" s="337"/>
      <c r="E8" s="337" t="s">
        <v>337</v>
      </c>
      <c r="F8" s="337"/>
    </row>
    <row r="9" spans="1:7" ht="21.95" customHeight="1" x14ac:dyDescent="0.25">
      <c r="A9" s="338" t="s">
        <v>29</v>
      </c>
      <c r="B9" s="339"/>
      <c r="D9" s="338" t="s">
        <v>29</v>
      </c>
      <c r="E9" s="339"/>
    </row>
    <row r="10" spans="1:7" ht="21.95" customHeight="1" x14ac:dyDescent="0.25">
      <c r="A10" s="337"/>
      <c r="B10" s="339"/>
      <c r="C10" s="337"/>
      <c r="E10" s="339"/>
    </row>
    <row r="11" spans="1:7" ht="21.95" customHeight="1" x14ac:dyDescent="0.25">
      <c r="A11" s="337"/>
      <c r="B11" s="339"/>
      <c r="E11" s="339"/>
    </row>
    <row r="12" spans="1:7" ht="21.95" customHeight="1" x14ac:dyDescent="0.25">
      <c r="A12" s="337"/>
      <c r="B12" s="339"/>
      <c r="E12" s="339"/>
    </row>
    <row r="13" spans="1:7" ht="6.75" customHeight="1" x14ac:dyDescent="0.25"/>
    <row r="14" spans="1:7" ht="23.25" x14ac:dyDescent="0.35">
      <c r="A14" s="681" t="s">
        <v>338</v>
      </c>
      <c r="B14" s="681"/>
      <c r="C14" s="681"/>
      <c r="D14" s="681"/>
      <c r="E14" s="681"/>
      <c r="F14" s="336"/>
      <c r="G14" s="336"/>
    </row>
    <row r="15" spans="1:7" ht="20.25" customHeight="1" x14ac:dyDescent="0.25">
      <c r="B15" s="337" t="s">
        <v>336</v>
      </c>
      <c r="C15" s="337"/>
      <c r="E15" s="337" t="s">
        <v>337</v>
      </c>
      <c r="F15" s="337"/>
    </row>
    <row r="16" spans="1:7" ht="21.95" customHeight="1" x14ac:dyDescent="0.25">
      <c r="A16" s="338" t="s">
        <v>29</v>
      </c>
      <c r="B16" s="339"/>
      <c r="D16" s="338" t="s">
        <v>29</v>
      </c>
      <c r="E16" s="339"/>
    </row>
    <row r="17" spans="1:7" ht="21.95" customHeight="1" x14ac:dyDescent="0.25">
      <c r="A17" s="337"/>
      <c r="B17" s="339"/>
      <c r="C17" s="337"/>
      <c r="E17" s="339"/>
    </row>
    <row r="18" spans="1:7" ht="21.95" customHeight="1" x14ac:dyDescent="0.25">
      <c r="A18" s="337"/>
      <c r="B18" s="339"/>
      <c r="E18" s="339"/>
    </row>
    <row r="19" spans="1:7" ht="21.95" customHeight="1" x14ac:dyDescent="0.25">
      <c r="A19" s="337"/>
      <c r="B19" s="339"/>
      <c r="E19" s="339"/>
    </row>
    <row r="20" spans="1:7" ht="6.75" customHeight="1" x14ac:dyDescent="0.25"/>
    <row r="21" spans="1:7" ht="23.25" x14ac:dyDescent="0.35">
      <c r="A21" s="681" t="s">
        <v>339</v>
      </c>
      <c r="B21" s="681"/>
      <c r="C21" s="681"/>
      <c r="D21" s="681"/>
      <c r="E21" s="681"/>
      <c r="F21" s="336"/>
      <c r="G21" s="336"/>
    </row>
    <row r="22" spans="1:7" ht="20.25" customHeight="1" x14ac:dyDescent="0.25">
      <c r="B22" s="337" t="s">
        <v>336</v>
      </c>
      <c r="C22" s="337"/>
      <c r="E22" s="337" t="s">
        <v>337</v>
      </c>
      <c r="F22" s="337"/>
    </row>
    <row r="23" spans="1:7" ht="21.95" customHeight="1" x14ac:dyDescent="0.25">
      <c r="A23" s="338" t="s">
        <v>29</v>
      </c>
      <c r="B23" s="339"/>
      <c r="D23" s="338" t="s">
        <v>29</v>
      </c>
      <c r="E23" s="339"/>
    </row>
    <row r="24" spans="1:7" ht="21.95" customHeight="1" x14ac:dyDescent="0.25">
      <c r="A24" s="337"/>
      <c r="B24" s="339"/>
      <c r="C24" s="337"/>
      <c r="E24" s="339"/>
    </row>
    <row r="25" spans="1:7" ht="21.95" customHeight="1" x14ac:dyDescent="0.25">
      <c r="A25" s="337"/>
      <c r="B25" s="339"/>
      <c r="E25" s="339"/>
    </row>
    <row r="26" spans="1:7" ht="21.95" customHeight="1" x14ac:dyDescent="0.25">
      <c r="A26" s="337"/>
      <c r="B26" s="339"/>
      <c r="E26" s="339"/>
    </row>
    <row r="27" spans="1:7" ht="6.75" customHeight="1" x14ac:dyDescent="0.25"/>
    <row r="28" spans="1:7" ht="23.25" x14ac:dyDescent="0.35">
      <c r="A28" s="681" t="s">
        <v>340</v>
      </c>
      <c r="B28" s="681"/>
      <c r="C28" s="681"/>
      <c r="D28" s="681"/>
      <c r="E28" s="681"/>
      <c r="F28" s="336"/>
      <c r="G28" s="336"/>
    </row>
    <row r="29" spans="1:7" ht="20.25" customHeight="1" x14ac:dyDescent="0.25">
      <c r="B29" s="337" t="s">
        <v>336</v>
      </c>
      <c r="C29" s="337"/>
      <c r="E29" s="337" t="s">
        <v>337</v>
      </c>
      <c r="F29" s="337"/>
    </row>
    <row r="30" spans="1:7" ht="21.95" customHeight="1" x14ac:dyDescent="0.25">
      <c r="A30" s="338" t="s">
        <v>29</v>
      </c>
      <c r="B30" s="339"/>
      <c r="D30" s="338" t="s">
        <v>29</v>
      </c>
      <c r="E30" s="339"/>
    </row>
    <row r="31" spans="1:7" ht="21.95" customHeight="1" x14ac:dyDescent="0.25">
      <c r="A31" s="337"/>
      <c r="B31" s="339"/>
      <c r="C31" s="337"/>
      <c r="E31" s="339"/>
    </row>
    <row r="32" spans="1:7" ht="21.95" customHeight="1" x14ac:dyDescent="0.25">
      <c r="A32" s="337"/>
      <c r="B32" s="339"/>
      <c r="E32" s="339"/>
    </row>
    <row r="33" spans="1:7" ht="21.95" customHeight="1" x14ac:dyDescent="0.25">
      <c r="A33" s="337"/>
      <c r="B33" s="339"/>
      <c r="E33" s="339"/>
    </row>
    <row r="34" spans="1:7" ht="6.75" customHeight="1" x14ac:dyDescent="0.25"/>
    <row r="35" spans="1:7" ht="23.25" x14ac:dyDescent="0.35">
      <c r="A35" s="681" t="s">
        <v>341</v>
      </c>
      <c r="B35" s="681"/>
      <c r="C35" s="681"/>
      <c r="D35" s="681"/>
      <c r="E35" s="681"/>
      <c r="F35" s="336"/>
      <c r="G35" s="336"/>
    </row>
    <row r="36" spans="1:7" ht="20.25" customHeight="1" x14ac:dyDescent="0.25">
      <c r="B36" s="337" t="s">
        <v>336</v>
      </c>
      <c r="C36" s="337"/>
      <c r="E36" s="337" t="s">
        <v>337</v>
      </c>
      <c r="F36" s="337"/>
    </row>
    <row r="37" spans="1:7" ht="21.95" customHeight="1" x14ac:dyDescent="0.25">
      <c r="A37" s="338" t="s">
        <v>29</v>
      </c>
      <c r="B37" s="339"/>
      <c r="D37" s="338" t="s">
        <v>29</v>
      </c>
      <c r="E37" s="339"/>
    </row>
    <row r="38" spans="1:7" ht="21.95" customHeight="1" x14ac:dyDescent="0.25">
      <c r="A38" s="337"/>
      <c r="B38" s="339"/>
      <c r="C38" s="337"/>
      <c r="E38" s="339"/>
    </row>
    <row r="39" spans="1:7" ht="21.95" customHeight="1" x14ac:dyDescent="0.25">
      <c r="A39" s="337"/>
      <c r="B39" s="339"/>
      <c r="E39" s="339"/>
    </row>
    <row r="40" spans="1:7" ht="21.95" customHeight="1" x14ac:dyDescent="0.25">
      <c r="A40" s="337"/>
      <c r="B40" s="339"/>
      <c r="E40" s="339"/>
    </row>
    <row r="41" spans="1:7" ht="7.5" customHeight="1" x14ac:dyDescent="0.25"/>
    <row r="42" spans="1:7" ht="15.75" customHeight="1" x14ac:dyDescent="0.25">
      <c r="B42" s="340" t="s">
        <v>342</v>
      </c>
      <c r="C42" s="341"/>
      <c r="D42" s="341"/>
      <c r="E42" s="341"/>
    </row>
    <row r="43" spans="1:7" ht="22.5" customHeight="1" x14ac:dyDescent="0.25">
      <c r="B43" s="341"/>
      <c r="C43" s="341"/>
      <c r="D43" s="341"/>
      <c r="E43" s="341"/>
    </row>
    <row r="44" spans="1:7" ht="22.5" customHeight="1" x14ac:dyDescent="0.25">
      <c r="B44" s="341"/>
      <c r="C44" s="341"/>
      <c r="D44" s="341"/>
      <c r="E44" s="341"/>
    </row>
  </sheetData>
  <mergeCells count="6">
    <mergeCell ref="A35:E35"/>
    <mergeCell ref="A5:E5"/>
    <mergeCell ref="A7:E7"/>
    <mergeCell ref="A14:E14"/>
    <mergeCell ref="A21:E21"/>
    <mergeCell ref="A28:E28"/>
  </mergeCells>
  <pageMargins left="0.78740157480314965" right="0" top="0" bottom="0" header="0" footer="0"/>
  <pageSetup paperSize="9" scale="9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IV232"/>
  <sheetViews>
    <sheetView tabSelected="1" view="pageBreakPreview" topLeftCell="A103" zoomScale="85" zoomScaleNormal="50" zoomScaleSheetLayoutView="85" workbookViewId="0">
      <selection activeCell="M38" sqref="M38"/>
    </sheetView>
  </sheetViews>
  <sheetFormatPr baseColWidth="10" defaultRowHeight="18" customHeight="1" x14ac:dyDescent="0.2"/>
  <cols>
    <col min="1" max="1" width="18.28515625" customWidth="1"/>
    <col min="2" max="2" width="21.28515625" customWidth="1"/>
    <col min="3" max="3" width="16.42578125" customWidth="1"/>
    <col min="5" max="5" width="7.140625" customWidth="1"/>
    <col min="7" max="7" width="16.42578125" customWidth="1"/>
    <col min="9" max="9" width="48.140625" customWidth="1"/>
  </cols>
  <sheetData>
    <row r="5" spans="1:9" ht="18" customHeight="1" x14ac:dyDescent="0.4">
      <c r="A5" s="701" t="str">
        <f>CONCATENATE("Programa de ",'Ingreso Info'!B10)</f>
        <v>Programa de Estimulación matricial</v>
      </c>
      <c r="B5" s="701"/>
      <c r="C5" s="701"/>
      <c r="D5" s="701"/>
      <c r="E5" s="701"/>
      <c r="F5" s="701"/>
      <c r="G5" s="701"/>
      <c r="H5" s="219"/>
      <c r="I5" s="219"/>
    </row>
    <row r="6" spans="1:9" ht="18" customHeight="1" x14ac:dyDescent="0.4">
      <c r="A6" s="701"/>
      <c r="B6" s="701"/>
      <c r="C6" s="701"/>
      <c r="D6" s="701"/>
      <c r="E6" s="701"/>
      <c r="F6" s="701"/>
      <c r="G6" s="701"/>
      <c r="H6" s="219"/>
      <c r="I6" s="219"/>
    </row>
    <row r="8" spans="1:9" ht="18" customHeight="1" x14ac:dyDescent="0.2">
      <c r="A8" s="701" t="str">
        <f>IF('Ingreso Info'!B9="Sales Orgánicas","NOVOC® DS3500",'Ingreso Info'!B9)</f>
        <v>Bombeo Químico</v>
      </c>
      <c r="B8" s="701"/>
      <c r="C8" s="701"/>
      <c r="D8" s="701"/>
      <c r="E8" s="701"/>
      <c r="F8" s="701"/>
      <c r="G8" s="701"/>
    </row>
    <row r="9" spans="1:9" ht="18" customHeight="1" x14ac:dyDescent="0.2">
      <c r="A9" s="701"/>
      <c r="B9" s="701"/>
      <c r="C9" s="701"/>
      <c r="D9" s="701"/>
      <c r="E9" s="701"/>
      <c r="F9" s="701"/>
      <c r="G9" s="701"/>
    </row>
    <row r="11" spans="1:9" ht="18" customHeight="1" x14ac:dyDescent="0.3">
      <c r="B11" s="215" t="str">
        <f>CONCATENATE("Pozo: ",'Ingreso Info'!B4)</f>
        <v>Pozo: LA.s-399</v>
      </c>
    </row>
    <row r="13" spans="1:9" ht="18" customHeight="1" x14ac:dyDescent="0.3">
      <c r="B13" s="215" t="str">
        <f>CONCATENATE("Yacimiento: ", 'Ingreso Info'!B3)</f>
        <v>Yacimiento: Lindero Atravesado</v>
      </c>
    </row>
    <row r="15" spans="1:9" ht="18" customHeight="1" x14ac:dyDescent="0.3">
      <c r="B15" s="215" t="str">
        <f>CONCATENATE("Punzados: ",'Ingreso Info'!B31," - ",'Ingreso Info'!B32," mts")</f>
        <v>Punzados: 1234 - 1616 mts</v>
      </c>
    </row>
    <row r="17" spans="2:3" ht="18" customHeight="1" x14ac:dyDescent="0.3">
      <c r="B17" s="215" t="str">
        <f>CONCATENATE("Instalación: ",'Ingreso Info'!B7)</f>
        <v>Instalación: Selectiva</v>
      </c>
    </row>
    <row r="19" spans="2:3" ht="18" customHeight="1" x14ac:dyDescent="0.3">
      <c r="B19" s="215" t="str">
        <f>CONCATENATE('Ingreso Info'!A8," ",,'Ingreso Info'!B8)</f>
        <v>Mandriles: 1 -2 -3 -4 -5</v>
      </c>
    </row>
    <row r="21" spans="2:3" ht="18" customHeight="1" x14ac:dyDescent="0.3">
      <c r="B21" s="215" t="str">
        <f>CONCATENATE("Solicitado por: ",'Ingreso Info'!B15)</f>
        <v>Solicitado por: -</v>
      </c>
      <c r="C21" s="454"/>
    </row>
    <row r="34" spans="1:256" ht="18" customHeight="1" x14ac:dyDescent="0.2">
      <c r="G34" s="70"/>
    </row>
    <row r="35" spans="1:256" ht="18" customHeight="1" x14ac:dyDescent="0.25">
      <c r="B35" s="216" t="s">
        <v>259</v>
      </c>
      <c r="G35" s="70"/>
    </row>
    <row r="36" spans="1:256" ht="18" customHeight="1" x14ac:dyDescent="0.25">
      <c r="B36" s="702">
        <f ca="1">'Ingreso Info'!B11</f>
        <v>45376</v>
      </c>
      <c r="C36" s="702"/>
    </row>
    <row r="37" spans="1:256" ht="18" customHeight="1" x14ac:dyDescent="0.25">
      <c r="B37" s="216"/>
      <c r="G37" s="70"/>
    </row>
    <row r="38" spans="1:256" ht="18" customHeight="1" x14ac:dyDescent="0.2">
      <c r="G38" s="70"/>
    </row>
    <row r="39" spans="1:256" ht="18" customHeight="1" x14ac:dyDescent="0.3">
      <c r="B39" s="220" t="s">
        <v>516</v>
      </c>
    </row>
    <row r="40" spans="1:256" ht="18" customHeight="1" x14ac:dyDescent="0.2">
      <c r="G40" s="70"/>
    </row>
    <row r="41" spans="1:256" ht="18" customHeight="1" x14ac:dyDescent="0.3">
      <c r="A41" s="233" t="s">
        <v>254</v>
      </c>
      <c r="B41" s="221" t="str">
        <f>'Ingreso Info'!B4</f>
        <v>LA.s-399</v>
      </c>
      <c r="D41" s="216"/>
      <c r="E41" s="233" t="s">
        <v>255</v>
      </c>
      <c r="F41" s="216" t="str">
        <f>'Ingreso Info'!B3</f>
        <v>Lindero Atravesado</v>
      </c>
      <c r="G41" s="70"/>
    </row>
    <row r="42" spans="1:256" ht="18" customHeight="1" x14ac:dyDescent="0.3">
      <c r="A42" s="233"/>
      <c r="B42" s="221"/>
      <c r="D42" s="216"/>
      <c r="E42" s="233"/>
      <c r="F42" s="216"/>
      <c r="G42" s="70"/>
    </row>
    <row r="43" spans="1:256" ht="18" customHeight="1" x14ac:dyDescent="0.3">
      <c r="A43" s="233" t="s">
        <v>185</v>
      </c>
      <c r="B43" s="221" t="str">
        <f>'Ingreso Info'!B13</f>
        <v>Sin equipo</v>
      </c>
      <c r="D43" s="216"/>
      <c r="E43" s="233" t="s">
        <v>257</v>
      </c>
      <c r="F43" s="216" t="str">
        <f>'Ingreso Info'!B6</f>
        <v>Centenario</v>
      </c>
      <c r="G43" s="70"/>
    </row>
    <row r="44" spans="1:256" ht="18" customHeight="1" x14ac:dyDescent="0.3">
      <c r="A44" s="233"/>
      <c r="B44" s="221"/>
      <c r="D44" s="216"/>
      <c r="E44" s="233"/>
      <c r="F44" s="216"/>
    </row>
    <row r="45" spans="1:256" ht="18" customHeight="1" x14ac:dyDescent="0.3">
      <c r="A45" s="233" t="s">
        <v>263</v>
      </c>
      <c r="B45" s="216" t="str">
        <f>'Ingreso Info'!B5</f>
        <v>Inyector</v>
      </c>
      <c r="D45" s="216"/>
      <c r="E45" s="613" t="s">
        <v>266</v>
      </c>
      <c r="F45" s="612" t="str">
        <f>IF('Ingreso Info'!B5="Productor","A definir","1390 psi (98 kg/cm2)")</f>
        <v>1390 psi (98 kg/cm2)</v>
      </c>
    </row>
    <row r="46" spans="1:256" ht="18" customHeight="1" x14ac:dyDescent="0.3">
      <c r="A46" s="233"/>
      <c r="B46" s="221"/>
      <c r="D46" s="216"/>
      <c r="E46" s="233"/>
      <c r="F46" s="216"/>
      <c r="G46" s="70"/>
      <c r="J46" s="216"/>
      <c r="M46" s="216"/>
      <c r="P46" s="216"/>
      <c r="S46" s="216"/>
      <c r="V46" s="216"/>
      <c r="Y46" s="216"/>
      <c r="AB46" s="216"/>
      <c r="AE46" s="216"/>
      <c r="AH46" s="216"/>
      <c r="AK46" s="216"/>
      <c r="AN46" s="216"/>
      <c r="AQ46" s="216"/>
      <c r="AT46" s="216"/>
      <c r="AW46" s="216"/>
      <c r="AZ46" s="216"/>
      <c r="BC46" s="216"/>
      <c r="BF46" s="216"/>
      <c r="BI46" s="216"/>
      <c r="BL46" s="216"/>
      <c r="BO46" s="216"/>
      <c r="BR46" s="216"/>
      <c r="BU46" s="216"/>
      <c r="BX46" s="216"/>
      <c r="CA46" s="216"/>
      <c r="CD46" s="216"/>
      <c r="CG46" s="216"/>
      <c r="CJ46" s="216"/>
      <c r="CM46" s="216"/>
      <c r="CP46" s="216"/>
      <c r="CS46" s="216"/>
      <c r="CV46" s="216"/>
      <c r="CY46" s="216"/>
      <c r="DB46" s="216"/>
      <c r="DE46" s="216"/>
      <c r="DH46" s="216"/>
      <c r="DK46" s="216"/>
      <c r="DN46" s="216"/>
      <c r="DQ46" s="216"/>
      <c r="DT46" s="216"/>
      <c r="DW46" s="216"/>
      <c r="DZ46" s="216"/>
      <c r="EC46" s="216"/>
      <c r="EF46" s="216"/>
      <c r="EI46" s="216"/>
      <c r="EL46" s="216"/>
      <c r="EO46" s="216"/>
      <c r="ER46" s="216"/>
      <c r="EU46" s="216"/>
      <c r="EX46" s="216"/>
      <c r="FA46" s="216"/>
      <c r="FD46" s="216"/>
      <c r="FG46" s="216"/>
      <c r="FJ46" s="216"/>
      <c r="FM46" s="216"/>
      <c r="FP46" s="216"/>
      <c r="FS46" s="216"/>
      <c r="FV46" s="216"/>
      <c r="FY46" s="216"/>
      <c r="GB46" s="216"/>
      <c r="GE46" s="216"/>
      <c r="GH46" s="216"/>
      <c r="GK46" s="216"/>
      <c r="GN46" s="216"/>
      <c r="GQ46" s="216"/>
      <c r="GT46" s="216"/>
      <c r="GW46" s="216"/>
      <c r="GZ46" s="216"/>
      <c r="HC46" s="216"/>
      <c r="HF46" s="216"/>
      <c r="HI46" s="216"/>
      <c r="HL46" s="216"/>
      <c r="HO46" s="216"/>
      <c r="HR46" s="216"/>
      <c r="HU46" s="216"/>
      <c r="HX46" s="216"/>
      <c r="IA46" s="216"/>
      <c r="ID46" s="216"/>
      <c r="IG46" s="216"/>
      <c r="IJ46" s="216"/>
      <c r="IM46" s="216"/>
      <c r="IP46" s="216"/>
      <c r="IS46" s="216"/>
      <c r="IV46" s="216"/>
    </row>
    <row r="47" spans="1:256" ht="18" customHeight="1" x14ac:dyDescent="0.3">
      <c r="A47" s="233" t="s">
        <v>260</v>
      </c>
      <c r="B47" s="222" t="str">
        <f>CONCATENATE('Ingreso Info'!B17,"´ ",'Ingreso Info'!C17," #/ft")</f>
        <v>7´ 26 #/ft</v>
      </c>
      <c r="E47" s="248" t="s">
        <v>261</v>
      </c>
      <c r="F47" s="222" t="str">
        <f>CONCATENATE('Ingreso Info'!B18,"´ ",'Ingreso Info'!C18," #/ft")</f>
        <v>3,5´ 9,2 #/ft</v>
      </c>
      <c r="J47" s="218"/>
      <c r="M47" s="218"/>
      <c r="P47" s="218"/>
      <c r="S47" s="218"/>
      <c r="V47" s="218"/>
      <c r="Y47" s="218"/>
      <c r="AB47" s="218"/>
      <c r="AE47" s="218"/>
      <c r="AH47" s="218"/>
      <c r="AK47" s="218"/>
      <c r="AN47" s="218"/>
      <c r="AQ47" s="218"/>
      <c r="AT47" s="218"/>
      <c r="AW47" s="218"/>
      <c r="AZ47" s="218"/>
      <c r="BC47" s="218"/>
      <c r="BF47" s="218"/>
      <c r="BI47" s="218"/>
      <c r="BL47" s="218"/>
      <c r="BO47" s="218"/>
      <c r="BR47" s="218"/>
      <c r="BU47" s="218"/>
      <c r="BX47" s="218"/>
      <c r="CA47" s="218"/>
      <c r="CD47" s="218"/>
      <c r="CG47" s="218"/>
      <c r="CJ47" s="218"/>
      <c r="CM47" s="218"/>
      <c r="CP47" s="218"/>
      <c r="CS47" s="218"/>
      <c r="CV47" s="218"/>
      <c r="CY47" s="218"/>
      <c r="DB47" s="218"/>
      <c r="DE47" s="218"/>
      <c r="DH47" s="218"/>
      <c r="DK47" s="218"/>
      <c r="DN47" s="218"/>
      <c r="DQ47" s="218"/>
      <c r="DT47" s="218"/>
      <c r="DW47" s="218"/>
      <c r="DZ47" s="218"/>
      <c r="EC47" s="218"/>
      <c r="EF47" s="218"/>
      <c r="EI47" s="218"/>
      <c r="EL47" s="218"/>
      <c r="EO47" s="218"/>
      <c r="ER47" s="218"/>
      <c r="EU47" s="218"/>
      <c r="EX47" s="218"/>
      <c r="FA47" s="218"/>
      <c r="FD47" s="218"/>
      <c r="FG47" s="218"/>
      <c r="FJ47" s="218"/>
      <c r="FM47" s="218"/>
      <c r="FP47" s="218"/>
      <c r="FS47" s="218"/>
      <c r="FV47" s="218"/>
      <c r="FY47" s="218"/>
      <c r="GB47" s="218"/>
      <c r="GE47" s="218"/>
      <c r="GH47" s="218"/>
      <c r="GK47" s="218"/>
      <c r="GN47" s="218"/>
      <c r="GQ47" s="218"/>
      <c r="GT47" s="218"/>
      <c r="GW47" s="218"/>
      <c r="GZ47" s="218"/>
      <c r="HC47" s="218"/>
      <c r="HF47" s="218"/>
      <c r="HI47" s="218"/>
      <c r="HL47" s="218"/>
      <c r="HO47" s="218"/>
      <c r="HR47" s="218"/>
      <c r="HU47" s="218"/>
      <c r="HX47" s="218"/>
      <c r="IA47" s="218"/>
      <c r="ID47" s="218"/>
      <c r="IG47" s="218"/>
      <c r="IJ47" s="218"/>
      <c r="IM47" s="218"/>
      <c r="IP47" s="218"/>
      <c r="IS47" s="218"/>
      <c r="IV47" s="218"/>
    </row>
    <row r="48" spans="1:256" ht="18" customHeight="1" x14ac:dyDescent="0.3">
      <c r="A48" s="233"/>
      <c r="B48" s="221"/>
      <c r="D48" s="216"/>
      <c r="E48" s="233"/>
      <c r="F48" s="216"/>
    </row>
    <row r="49" spans="1:9" ht="18" customHeight="1" x14ac:dyDescent="0.3">
      <c r="A49" s="233" t="str">
        <f>'Ingreso Info'!A19</f>
        <v>Packer 1:</v>
      </c>
      <c r="B49" s="223">
        <f>'Ingreso Info'!B19</f>
        <v>1465.24</v>
      </c>
      <c r="D49" s="216"/>
      <c r="E49" s="233" t="s">
        <v>354</v>
      </c>
      <c r="F49" s="703">
        <f>'Ingreso Info'!B25</f>
        <v>1588.74</v>
      </c>
      <c r="G49" s="703"/>
    </row>
    <row r="50" spans="1:9" ht="18" customHeight="1" x14ac:dyDescent="0.3">
      <c r="A50" s="233"/>
      <c r="B50" s="223"/>
      <c r="D50" s="216"/>
      <c r="E50" s="403"/>
      <c r="F50" s="223"/>
      <c r="G50" s="223"/>
    </row>
    <row r="51" spans="1:9" ht="18" customHeight="1" x14ac:dyDescent="0.3">
      <c r="A51" s="403" t="str">
        <f>'Ingreso Info'!A20</f>
        <v>Packer 2:</v>
      </c>
      <c r="B51" s="223">
        <f>'Ingreso Info'!B20</f>
        <v>1440.28</v>
      </c>
      <c r="D51" s="216"/>
      <c r="E51" s="233" t="s">
        <v>355</v>
      </c>
      <c r="F51" s="703">
        <f>'Ingreso Info'!B26</f>
        <v>1479.05</v>
      </c>
      <c r="G51" s="703"/>
    </row>
    <row r="52" spans="1:9" ht="18" customHeight="1" x14ac:dyDescent="0.3">
      <c r="A52" s="233"/>
      <c r="B52" s="223"/>
      <c r="D52" s="216"/>
      <c r="E52" s="403"/>
      <c r="F52" s="223"/>
      <c r="G52" s="223"/>
    </row>
    <row r="53" spans="1:9" ht="18" customHeight="1" x14ac:dyDescent="0.3">
      <c r="A53" s="233" t="str">
        <f>'Ingreso Info'!A21</f>
        <v>Packer 3:</v>
      </c>
      <c r="B53" s="223" t="str">
        <f>'Ingreso Info'!B21</f>
        <v>N/A</v>
      </c>
      <c r="D53" s="612"/>
      <c r="E53" s="233" t="s">
        <v>657</v>
      </c>
      <c r="F53" s="703">
        <f>'Ingreso Info'!B27</f>
        <v>1453.97</v>
      </c>
      <c r="G53" s="703"/>
    </row>
    <row r="54" spans="1:9" ht="18" customHeight="1" x14ac:dyDescent="0.3">
      <c r="A54" s="233"/>
      <c r="B54" s="223"/>
      <c r="D54" s="612"/>
      <c r="E54" s="403"/>
      <c r="F54" s="223"/>
      <c r="G54" s="223"/>
    </row>
    <row r="55" spans="1:9" ht="18" customHeight="1" x14ac:dyDescent="0.3">
      <c r="A55" s="403" t="str">
        <f>'Ingreso Info'!A22</f>
        <v>Packer 4:</v>
      </c>
      <c r="B55" s="223" t="str">
        <f>'Ingreso Info'!B22</f>
        <v>N/A</v>
      </c>
      <c r="D55" s="612"/>
      <c r="E55" s="233" t="s">
        <v>658</v>
      </c>
      <c r="F55" s="703">
        <f>'Ingreso Info'!B28</f>
        <v>1360.98</v>
      </c>
      <c r="G55" s="703"/>
    </row>
    <row r="56" spans="1:9" ht="18" customHeight="1" x14ac:dyDescent="0.3">
      <c r="A56" s="233"/>
      <c r="B56" s="223"/>
      <c r="D56" s="612"/>
      <c r="E56" s="403"/>
      <c r="F56" s="223"/>
      <c r="G56" s="615"/>
    </row>
    <row r="57" spans="1:9" ht="18" customHeight="1" x14ac:dyDescent="0.3">
      <c r="A57" s="233" t="str">
        <f>'Ingreso Info'!A23</f>
        <v>Packer 5:</v>
      </c>
      <c r="B57" s="223" t="str">
        <f>'Ingreso Info'!B23</f>
        <v>N/A</v>
      </c>
      <c r="D57" s="612"/>
      <c r="E57" s="233" t="s">
        <v>659</v>
      </c>
      <c r="F57" s="703">
        <f>'Ingreso Info'!B29</f>
        <v>1203.17</v>
      </c>
      <c r="G57" s="703"/>
    </row>
    <row r="58" spans="1:9" ht="18" customHeight="1" x14ac:dyDescent="0.3">
      <c r="A58" s="233"/>
      <c r="B58" s="221"/>
      <c r="D58" s="216"/>
      <c r="E58" s="233"/>
      <c r="F58" s="216"/>
    </row>
    <row r="59" spans="1:9" ht="18" hidden="1" customHeight="1" x14ac:dyDescent="0.3">
      <c r="A59" s="403" t="str">
        <f>'Ingreso Info'!A24</f>
        <v>Packer 6:</v>
      </c>
      <c r="B59" s="223" t="str">
        <f>'Ingreso Info'!B24</f>
        <v>N/A</v>
      </c>
      <c r="D59" s="216"/>
      <c r="E59" s="233" t="s">
        <v>660</v>
      </c>
      <c r="F59" s="703" t="str">
        <f>'Ingreso Info'!B30</f>
        <v>N/A</v>
      </c>
      <c r="G59" s="703"/>
    </row>
    <row r="60" spans="1:9" ht="18" hidden="1" customHeight="1" x14ac:dyDescent="0.3">
      <c r="A60" s="233"/>
      <c r="B60" s="221"/>
      <c r="D60" s="216"/>
      <c r="E60" s="233"/>
      <c r="F60" s="216"/>
    </row>
    <row r="61" spans="1:9" ht="18" customHeight="1" x14ac:dyDescent="0.3">
      <c r="A61" s="233" t="s">
        <v>256</v>
      </c>
      <c r="B61" s="221" t="str">
        <f>CONCATENATE('Ingreso Info'!B31," / ",'Ingreso Info'!B32," mts")</f>
        <v>1234 / 1616 mts</v>
      </c>
      <c r="D61" s="216"/>
      <c r="E61" s="233" t="s">
        <v>265</v>
      </c>
      <c r="F61" s="703">
        <f>'Ingreso Info'!B33</f>
        <v>170</v>
      </c>
      <c r="G61" s="703"/>
    </row>
    <row r="62" spans="1:9" ht="18" customHeight="1" x14ac:dyDescent="0.3">
      <c r="A62" s="233"/>
      <c r="B62" s="221"/>
      <c r="D62" s="216"/>
      <c r="E62" s="233"/>
      <c r="F62" s="216"/>
    </row>
    <row r="63" spans="1:9" ht="18" customHeight="1" x14ac:dyDescent="0.3">
      <c r="A63" s="233"/>
      <c r="B63" s="216"/>
      <c r="D63" s="216"/>
      <c r="E63" s="403" t="str">
        <f>'Ingreso Info'!A35</f>
        <v>Fondo:</v>
      </c>
      <c r="F63" s="703">
        <f>'Ingreso Info'!B35</f>
        <v>2008</v>
      </c>
      <c r="G63" s="703"/>
    </row>
    <row r="64" spans="1:9" ht="18" customHeight="1" x14ac:dyDescent="0.4">
      <c r="A64" s="219"/>
      <c r="B64" s="219"/>
      <c r="C64" s="219"/>
      <c r="D64" s="219"/>
      <c r="E64" s="219"/>
      <c r="F64" s="219"/>
      <c r="G64" s="219"/>
      <c r="H64" s="219"/>
      <c r="I64" s="219"/>
    </row>
    <row r="65" spans="1:9" ht="18" customHeight="1" x14ac:dyDescent="0.3">
      <c r="B65" s="220" t="s">
        <v>270</v>
      </c>
    </row>
    <row r="67" spans="1:9" ht="18" customHeight="1" x14ac:dyDescent="0.2">
      <c r="A67" s="695" t="str">
        <f>CONCATENATE("        La operación a realizar en el Pozo ",'Ingreso Info'!B4," contemplará la siguiente secuencia de pasos generales:")</f>
        <v xml:space="preserve">        La operación a realizar en el Pozo LA.s-399 contemplará la siguiente secuencia de pasos generales:</v>
      </c>
      <c r="B67" s="695"/>
      <c r="C67" s="695"/>
      <c r="D67" s="695"/>
      <c r="E67" s="695"/>
      <c r="F67" s="695"/>
      <c r="G67" s="695"/>
    </row>
    <row r="68" spans="1:9" ht="18" customHeight="1" x14ac:dyDescent="0.2">
      <c r="A68" s="695"/>
      <c r="B68" s="695"/>
      <c r="C68" s="695"/>
      <c r="D68" s="695"/>
      <c r="E68" s="695"/>
      <c r="F68" s="695"/>
      <c r="G68" s="695"/>
    </row>
    <row r="69" spans="1:9" ht="18" customHeight="1" x14ac:dyDescent="0.2">
      <c r="A69" s="483"/>
      <c r="B69" s="483"/>
      <c r="C69" s="483"/>
      <c r="D69" s="483"/>
      <c r="E69" s="483"/>
      <c r="F69" s="483"/>
      <c r="G69" s="483"/>
      <c r="H69" s="226"/>
      <c r="I69" s="226"/>
    </row>
    <row r="70" spans="1:9" ht="18" customHeight="1" x14ac:dyDescent="0.2">
      <c r="A70" s="484" t="s">
        <v>279</v>
      </c>
      <c r="B70" s="695" t="str">
        <f>IF('Ingreso Info'!B13="Sin equipo","Llegar a locación, solicitar autorización al supervisor de producción, recibir instalaciones consignadas.","Llegar a locación, solicitar autorización al Company Man y Encargado de Turno, recibir instalaciones consignadas.")</f>
        <v>Llegar a locación, solicitar autorización al supervisor de producción, recibir instalaciones consignadas.</v>
      </c>
      <c r="C70" s="695"/>
      <c r="D70" s="695"/>
      <c r="E70" s="695"/>
      <c r="F70" s="695"/>
      <c r="G70" s="695"/>
      <c r="H70" s="229"/>
      <c r="I70" s="229"/>
    </row>
    <row r="71" spans="1:9" ht="18" customHeight="1" x14ac:dyDescent="0.2">
      <c r="A71" s="229"/>
      <c r="B71" s="695"/>
      <c r="C71" s="695"/>
      <c r="D71" s="695"/>
      <c r="E71" s="695"/>
      <c r="F71" s="695"/>
      <c r="G71" s="695"/>
      <c r="H71" s="229"/>
      <c r="I71" s="229"/>
    </row>
    <row r="73" spans="1:9" ht="18" customHeight="1" x14ac:dyDescent="0.2">
      <c r="A73" s="481" t="s">
        <v>280</v>
      </c>
      <c r="B73" s="226" t="s">
        <v>519</v>
      </c>
      <c r="C73" s="226"/>
      <c r="D73" s="226"/>
      <c r="E73" s="226"/>
      <c r="F73" s="226"/>
      <c r="G73" s="226"/>
      <c r="H73" s="226"/>
      <c r="I73" s="226"/>
    </row>
    <row r="75" spans="1:9" ht="18" customHeight="1" x14ac:dyDescent="0.2">
      <c r="A75" s="481" t="s">
        <v>281</v>
      </c>
      <c r="B75" s="226" t="s">
        <v>520</v>
      </c>
      <c r="C75" s="226"/>
      <c r="D75" s="226"/>
      <c r="E75" s="226"/>
      <c r="F75" s="226"/>
      <c r="G75" s="226"/>
      <c r="H75" s="226"/>
      <c r="I75" s="226"/>
    </row>
    <row r="77" spans="1:9" ht="18" customHeight="1" x14ac:dyDescent="0.2">
      <c r="A77" s="484" t="s">
        <v>282</v>
      </c>
      <c r="B77" s="695" t="str">
        <f>IF('Ingreso Info'!B13="Sin equipo","Realizar reunión de seguridad y operativa, chequear profundidades y volúmenes, en presencia del supervisor de producción.","Realizar reunión de seguridad y operativa, chequear profundidades y volúmenes, en presencia del Company Man.")</f>
        <v>Realizar reunión de seguridad y operativa, chequear profundidades y volúmenes, en presencia del supervisor de producción.</v>
      </c>
      <c r="C77" s="695"/>
      <c r="D77" s="695"/>
      <c r="E77" s="695"/>
      <c r="F77" s="695"/>
      <c r="G77" s="695"/>
      <c r="H77" s="229"/>
      <c r="I77" s="229"/>
    </row>
    <row r="78" spans="1:9" ht="18" customHeight="1" x14ac:dyDescent="0.2">
      <c r="A78" s="229"/>
      <c r="B78" s="695"/>
      <c r="C78" s="695"/>
      <c r="D78" s="695"/>
      <c r="E78" s="695"/>
      <c r="F78" s="695"/>
      <c r="G78" s="695"/>
      <c r="H78" s="229"/>
      <c r="I78" s="229"/>
    </row>
    <row r="79" spans="1:9" ht="18" customHeight="1" x14ac:dyDescent="0.25">
      <c r="B79" s="216"/>
    </row>
    <row r="80" spans="1:9" ht="18" customHeight="1" x14ac:dyDescent="0.2">
      <c r="A80" s="481" t="s">
        <v>283</v>
      </c>
      <c r="B80" s="696" t="s">
        <v>521</v>
      </c>
      <c r="C80" s="696"/>
      <c r="D80" s="696"/>
      <c r="E80" s="696"/>
      <c r="F80" s="696"/>
      <c r="G80" s="696"/>
      <c r="H80" s="226"/>
      <c r="I80" s="226"/>
    </row>
    <row r="82" spans="1:9" ht="18" hidden="1" customHeight="1" x14ac:dyDescent="0.2">
      <c r="A82" s="481" t="s">
        <v>410</v>
      </c>
      <c r="B82" s="696" t="s">
        <v>522</v>
      </c>
      <c r="C82" s="696"/>
      <c r="D82" s="696"/>
      <c r="E82" s="696"/>
      <c r="F82" s="696"/>
      <c r="G82" s="696"/>
      <c r="H82" s="226"/>
      <c r="I82" s="226"/>
    </row>
    <row r="83" spans="1:9" ht="18" customHeight="1" x14ac:dyDescent="0.3">
      <c r="B83" s="220" t="s">
        <v>573</v>
      </c>
      <c r="I83" s="74"/>
    </row>
    <row r="84" spans="1:9" ht="18" customHeight="1" x14ac:dyDescent="0.2">
      <c r="A84" s="484"/>
      <c r="B84" s="229"/>
      <c r="C84" s="229"/>
      <c r="I84" s="74"/>
    </row>
    <row r="85" spans="1:9" ht="18" customHeight="1" x14ac:dyDescent="0.2">
      <c r="A85" s="484" t="s">
        <v>279</v>
      </c>
      <c r="B85" s="695" t="str">
        <f>CONCATENATE("Preflujo: ",'Ingreso Info'!D25," lts de ",'Ingreso Info'!E25,IF('Ingreso Info'!E79="Si",CONCATENATE(" + ",'Ingreso Info'!B79,"% de ",'Ingreso Info'!A79),""),IF('Ingreso Info'!E80="Si",CONCATENATE(" + ",'Ingreso Info'!B80,"% de ",'Ingreso Info'!A80),""),IF('Ingreso Info'!E81="Si",CONCATENATE(" + ",'Ingreso Info'!B81,"% de ",'Ingreso Info'!A81),""),IF('Ingreso Info'!E82="Si",CONCATENATE(" + ",'Ingreso Info'!B82,"% de ",'Ingreso Info'!A82),""),IF('Ingreso Info'!E83="Si",CONCATENATE(" + ",'Ingreso Info'!B83,"% de ",'Ingreso Info'!A83),""),IF('Ingreso Info'!E84="Si",CONCATENATE(" + ",'Ingreso Info'!B84,"% de ",'Ingreso Info'!A84),""),IF('Ingreso Info'!E85="Si",CONCATENATE(" + ",'Ingreso Info'!B85,"% de ",'Ingreso Info'!A85),""),IF('Ingreso Info'!E86="Si",CONCATENATE(" + ",'Ingreso Info'!B86,"% de ",'Ingreso Info'!A86),""),IF('Ingreso Info'!E87="Si",CONCATENATE(" + ",'Ingreso Info'!B87,"% de ",'Ingreso Info'!A87),""),IF('Ingreso Info'!E88="Si",CONCATENATE(" + ",'Ingreso Info'!B88,"% de ",'Ingreso Info'!A88),""))</f>
        <v>Preflujo: 9000 lts de Dispersante + 3% de DPB350 + 1% de IAB8000 + 5% de SB53</v>
      </c>
      <c r="C85" s="695"/>
      <c r="D85" s="695"/>
      <c r="E85" s="695"/>
      <c r="F85" s="695"/>
      <c r="G85" s="695"/>
      <c r="I85" s="74"/>
    </row>
    <row r="86" spans="1:9" ht="18" customHeight="1" x14ac:dyDescent="0.2">
      <c r="B86" s="695"/>
      <c r="C86" s="695"/>
      <c r="D86" s="695"/>
      <c r="E86" s="695"/>
      <c r="F86" s="695"/>
      <c r="G86" s="695"/>
      <c r="I86" s="74"/>
    </row>
    <row r="87" spans="1:9" ht="18" customHeight="1" x14ac:dyDescent="0.2">
      <c r="B87" s="384"/>
      <c r="C87" s="384"/>
      <c r="D87" s="384"/>
      <c r="E87" s="384"/>
      <c r="F87" s="384"/>
      <c r="G87" s="384"/>
      <c r="I87" s="74"/>
    </row>
    <row r="88" spans="1:9" ht="18" customHeight="1" x14ac:dyDescent="0.2">
      <c r="A88" s="484" t="s">
        <v>280</v>
      </c>
      <c r="B88" s="695" t="str">
        <f>CONCATENATE("Preflujo: ",'Ingreso Info'!D26," lts de ",'Ingreso Info'!E26,IF('Ingreso Info'!J79="Si",CONCATENATE(" + ",'Ingreso Info'!G79,"% de ",'Ingreso Info'!F79),""),IF('Ingreso Info'!J80="Si",CONCATENATE(" + ",'Ingreso Info'!G80,"% de ",'Ingreso Info'!F80),""),IF('Ingreso Info'!J81="Si",CONCATENATE(" + ",'Ingreso Info'!G81,"% de ",'Ingreso Info'!F81),""),IF('Ingreso Info'!J82="Si",CONCATENATE(" + ",'Ingreso Info'!G82,"% de ",'Ingreso Info'!F82),""),IF('Ingreso Info'!J83="Si",CONCATENATE(" + ",'Ingreso Info'!G83,"% de ",'Ingreso Info'!F83),""),IF('Ingreso Info'!J84="Si",CONCATENATE(" + ",'Ingreso Info'!G84,"% de ",'Ingreso Info'!F84),""),IF('Ingreso Info'!J85="Si",CONCATENATE(" + ",'Ingreso Info'!G85,"% de ",'Ingreso Info'!F85),""),IF('Ingreso Info'!J86="Si",CONCATENATE(" + ",'Ingreso Info'!G86,"% de ",'Ingreso Info'!F86),""),IF('Ingreso Info'!J87="Si",CONCATENATE(" + ",'Ingreso Info'!G87,"% de ",'Ingreso Info'!F87),""),IF('Ingreso Info'!J88="Si",CONCATENATE(" + ",'Ingreso Info'!G88,"% de ",'Ingreso Info'!F88),""))</f>
        <v>Preflujo: 25000 lts de DS562 + 0,5% de PHB649 + 0,6% de CY2005 + 1% de IAB8000 + 0,5% de DPB350</v>
      </c>
      <c r="C88" s="695"/>
      <c r="D88" s="695"/>
      <c r="E88" s="695"/>
      <c r="F88" s="695"/>
      <c r="G88" s="695"/>
      <c r="I88" s="74"/>
    </row>
    <row r="89" spans="1:9" ht="18" customHeight="1" x14ac:dyDescent="0.2">
      <c r="B89" s="695"/>
      <c r="C89" s="695"/>
      <c r="D89" s="695"/>
      <c r="E89" s="695"/>
      <c r="F89" s="695"/>
      <c r="G89" s="695"/>
      <c r="I89" s="74"/>
    </row>
    <row r="90" spans="1:9" ht="18" customHeight="1" thickBot="1" x14ac:dyDescent="0.25">
      <c r="A90" s="481"/>
      <c r="B90" s="226"/>
      <c r="C90" s="226"/>
      <c r="D90" s="226"/>
      <c r="E90" s="226"/>
      <c r="F90" s="226"/>
      <c r="G90" s="226"/>
      <c r="H90" s="226"/>
      <c r="I90" s="461"/>
    </row>
    <row r="91" spans="1:9" ht="18" customHeight="1" x14ac:dyDescent="0.2">
      <c r="A91" s="484" t="s">
        <v>281</v>
      </c>
      <c r="B91" s="692" t="str">
        <f>CONCATENATE("Tratamiento Principal: ",'Ingreso Info'!D27," lts de ",'Ingreso Info'!E27,IF('Ingreso Info'!J96="Si",CONCATENATE(" + ",'Ingreso Info'!G96,"% de ",'Ingreso Info'!F96),""),IF('Ingreso Info'!J97="Si",CONCATENATE(" + ",'Ingreso Info'!G97,"% de ",'Ingreso Info'!F97),""),IF('Ingreso Info'!J98="Si",CONCATENATE(" + ",'Ingreso Info'!G98,"% de ",'Ingreso Info'!F98),""),IF('Ingreso Info'!J99="Si",CONCATENATE(" + ",'Ingreso Info'!G99,"% de ",'Ingreso Info'!F99),""),IF('Ingreso Info'!J100="Si",CONCATENATE(" + ",'Ingreso Info'!G100,"% de ",'Ingreso Info'!F100),""),IF('Ingreso Info'!J101="Si",CONCATENATE(" + ",'Ingreso Info'!G101,"% de ",'Ingreso Info'!F101),""),IF('Ingreso Info'!J102="Si",CONCATENATE(" + ",'Ingreso Info'!G102,"% de ",'Ingreso Info'!F102),""),IF('Ingreso Info'!J103="Si",CONCATENATE(" + ",'Ingreso Info'!G103,"% de ",'Ingreso Info'!F103),""),IF('Ingreso Info'!J104="Si",CONCATENATE(" + ",'Ingreso Info'!G104,"% de ",'Ingreso Info'!F104),""),IF('Ingreso Info'!J105="Si",CONCATENATE(" + ",'Ingreso Info'!G105,"% de ",'Ingreso Info'!F105),""))</f>
        <v>Tratamiento Principal: 40000 lts de DS561 + HF (3%) + 0,5% de PHB649 + 0,6% de CY2005 + 1% de IAB8000 + 0,5% de DPB350</v>
      </c>
      <c r="C91" s="692"/>
      <c r="D91" s="692"/>
      <c r="E91" s="692"/>
      <c r="F91" s="692"/>
      <c r="G91" s="692"/>
      <c r="H91" s="229"/>
      <c r="I91" s="229"/>
    </row>
    <row r="92" spans="1:9" ht="18" customHeight="1" x14ac:dyDescent="0.2">
      <c r="A92" s="484"/>
      <c r="B92" s="692"/>
      <c r="C92" s="692"/>
      <c r="D92" s="692"/>
      <c r="E92" s="692"/>
      <c r="F92" s="692"/>
      <c r="G92" s="692"/>
      <c r="H92" s="229"/>
      <c r="I92" s="229"/>
    </row>
    <row r="93" spans="1:9" ht="18" customHeight="1" x14ac:dyDescent="0.2">
      <c r="B93" s="226"/>
      <c r="C93" s="226"/>
      <c r="D93" s="226"/>
      <c r="E93" s="226"/>
      <c r="F93" s="226"/>
      <c r="G93" s="226"/>
      <c r="H93" s="229"/>
      <c r="I93" s="229"/>
    </row>
    <row r="94" spans="1:9" ht="18" customHeight="1" x14ac:dyDescent="0.2">
      <c r="A94" s="484" t="s">
        <v>282</v>
      </c>
      <c r="B94" s="695" t="str">
        <f>CONCATENATE("Postflujo: ",'Ingreso Info'!D28," lts de ",'Ingreso Info'!E28,IF('Ingreso Info'!E96="Si",CONCATENATE(" + ",'Ingreso Info'!B96,"% de ",'Ingreso Info'!A96),""),IF('Ingreso Info'!E97="Si",CONCATENATE(" + ",'Ingreso Info'!B97,"% de ",'Ingreso Info'!A97),""),IF('Ingreso Info'!E98="Si",CONCATENATE(" + ",'Ingreso Info'!B98,"% de ",'Ingreso Info'!A98),""),IF('Ingreso Info'!E99="Si",CONCATENATE(" + ",'Ingreso Info'!B99,"% de ",'Ingreso Info'!A99),""),IF('Ingreso Info'!E100="Si",CONCATENATE(" + ",'Ingreso Info'!B100,"% de ",'Ingreso Info'!A100),""),IF('Ingreso Info'!E101="Si",CONCATENATE(" + ",'Ingreso Info'!B101,"% de ",'Ingreso Info'!A101),""),IF('Ingreso Info'!E102="Si",CONCATENATE(" + ",'Ingreso Info'!B102,"% de ",'Ingreso Info'!A102),""),IF('Ingreso Info'!E103="Si",CONCATENATE(" + ",'Ingreso Info'!B103,"% de ",'Ingreso Info'!A103),""),IF('Ingreso Info'!E104="Si",CONCATENATE(" + ",'Ingreso Info'!B104,"% de ",'Ingreso Info'!A104),""),IF('Ingreso Info'!E105="Si",CONCATENATE(" + ",'Ingreso Info'!B105,"% de ",'Ingreso Info'!A105),""))</f>
        <v>Postflujo: 15000 lts de DS562 + 0,5% de PHB649 + 0,6% de CY2005 + 1% de IAB8000 + 0,5% de DPB350</v>
      </c>
      <c r="C94" s="695"/>
      <c r="D94" s="695"/>
      <c r="E94" s="695"/>
      <c r="F94" s="695"/>
      <c r="G94" s="695"/>
    </row>
    <row r="95" spans="1:9" ht="18" customHeight="1" x14ac:dyDescent="0.2">
      <c r="A95" s="484"/>
      <c r="B95" s="695"/>
      <c r="C95" s="695"/>
      <c r="D95" s="695"/>
      <c r="E95" s="695"/>
      <c r="F95" s="695"/>
      <c r="G95" s="695"/>
      <c r="H95" s="226"/>
      <c r="I95" s="226"/>
    </row>
    <row r="96" spans="1:9" ht="18" customHeight="1" x14ac:dyDescent="0.2">
      <c r="A96" s="484"/>
      <c r="B96" s="384"/>
      <c r="C96" s="384"/>
      <c r="D96" s="384"/>
      <c r="E96" s="384"/>
      <c r="F96" s="384"/>
      <c r="G96" s="384"/>
      <c r="H96" s="226"/>
      <c r="I96" s="226"/>
    </row>
    <row r="97" spans="1:9" ht="18" customHeight="1" x14ac:dyDescent="0.3">
      <c r="B97" s="220" t="s">
        <v>278</v>
      </c>
    </row>
    <row r="98" spans="1:9" ht="18" customHeight="1" x14ac:dyDescent="0.25">
      <c r="B98" s="216"/>
      <c r="C98" s="221"/>
      <c r="D98" s="216"/>
      <c r="E98" s="216"/>
      <c r="F98" s="216"/>
      <c r="G98" s="216"/>
      <c r="H98" s="216"/>
    </row>
    <row r="99" spans="1:9" ht="18" customHeight="1" x14ac:dyDescent="0.25">
      <c r="A99" s="485" t="s">
        <v>279</v>
      </c>
      <c r="B99" s="695" t="s">
        <v>564</v>
      </c>
      <c r="C99" s="695"/>
      <c r="D99" s="695"/>
      <c r="E99" s="695"/>
      <c r="F99" s="695"/>
      <c r="G99" s="695"/>
      <c r="H99" s="216"/>
      <c r="I99" s="74" t="str">
        <f>CONCATENATE("Bombear ",ROUNDUP('Ingreso Info'!D25/('Ingreso Info'!H31+1),0)," lts de ",'Ingreso Info'!E25," + aditivos. ")</f>
        <v xml:space="preserve">Bombear 9000 lts de Dispersante + aditivos. </v>
      </c>
    </row>
    <row r="100" spans="1:9" ht="18" customHeight="1" x14ac:dyDescent="0.25">
      <c r="B100" s="695"/>
      <c r="C100" s="695"/>
      <c r="D100" s="695"/>
      <c r="E100" s="695"/>
      <c r="F100" s="695"/>
      <c r="G100" s="695"/>
      <c r="H100" s="216"/>
      <c r="I100" t="str">
        <f>CONCATENATE("Continuar con ",ROUNDUP('Ingreso Info'!D26/('Ingreso Info'!H31+1),0)," lts de ",'Ingreso Info'!E26," + aditivos.")</f>
        <v>Continuar con 25000 lts de DS562 + aditivos.</v>
      </c>
    </row>
    <row r="101" spans="1:9" ht="18" customHeight="1" x14ac:dyDescent="0.25">
      <c r="A101" s="486"/>
      <c r="B101" s="216"/>
      <c r="C101" s="222"/>
      <c r="D101" s="218"/>
      <c r="E101" s="216"/>
      <c r="F101" s="216"/>
      <c r="G101" s="218"/>
      <c r="H101" s="216"/>
      <c r="I101" s="74" t="str">
        <f>CONCATENATE("Proseguir con ",ROUNDUP('Ingreso Info'!D27/('Ingreso Info'!H31+1),0)," lts de ",'Ingreso Info'!E27," + aditivos.")</f>
        <v>Proseguir con 40000 lts de DS561 + HF (3%) + aditivos.</v>
      </c>
    </row>
    <row r="102" spans="1:9" ht="18" customHeight="1" x14ac:dyDescent="0.25">
      <c r="A102" s="485" t="s">
        <v>280</v>
      </c>
      <c r="B102" s="216" t="s">
        <v>719</v>
      </c>
      <c r="C102" s="221"/>
      <c r="D102" s="216"/>
      <c r="E102" s="216"/>
      <c r="F102" s="216"/>
      <c r="G102" s="216"/>
      <c r="H102" s="216"/>
      <c r="I102" s="74" t="str">
        <f>CONCATENATE("Continuar con ",ROUNDUP('Ingreso Info'!D28/('Ingreso Info'!H31+1),0)," lts de ",'Ingreso Info'!E28," + aditivos.")</f>
        <v>Continuar con 15000 lts de DS562 + aditivos.</v>
      </c>
    </row>
    <row r="103" spans="1:9" ht="18" customHeight="1" x14ac:dyDescent="0.25">
      <c r="A103" s="485"/>
      <c r="B103" s="216"/>
      <c r="C103" s="222"/>
      <c r="D103" s="216"/>
      <c r="E103" s="216"/>
      <c r="F103" s="216"/>
      <c r="G103" s="216"/>
      <c r="H103" s="216"/>
      <c r="I103" s="74"/>
    </row>
    <row r="104" spans="1:9" ht="18" customHeight="1" x14ac:dyDescent="0.25">
      <c r="A104" s="485" t="s">
        <v>281</v>
      </c>
      <c r="B104" s="216" t="s">
        <v>713</v>
      </c>
      <c r="C104" s="221"/>
      <c r="D104" s="216"/>
      <c r="E104" s="216"/>
      <c r="F104" s="216"/>
      <c r="G104" s="216"/>
      <c r="H104" s="216"/>
      <c r="I104" s="74"/>
    </row>
    <row r="105" spans="1:9" ht="18" customHeight="1" x14ac:dyDescent="0.25">
      <c r="A105" s="485"/>
      <c r="B105" s="216"/>
      <c r="C105" s="223"/>
      <c r="D105" s="216"/>
      <c r="E105" s="216"/>
      <c r="F105" s="216"/>
      <c r="G105" s="216"/>
      <c r="H105" s="216"/>
      <c r="I105" s="74" t="s">
        <v>586</v>
      </c>
    </row>
    <row r="106" spans="1:9" ht="18" customHeight="1" x14ac:dyDescent="0.25">
      <c r="A106" s="485" t="s">
        <v>282</v>
      </c>
      <c r="B106" s="216" t="s">
        <v>720</v>
      </c>
      <c r="C106" s="221"/>
      <c r="D106" s="216"/>
      <c r="E106" s="216"/>
      <c r="F106" s="216"/>
      <c r="G106" s="216"/>
      <c r="H106" s="216"/>
      <c r="I106" s="74" t="str">
        <f>CONCATENATE(ROUND('Ingreso Info'!AC35,0)," lts de divergente")</f>
        <v>0 lts de divergente</v>
      </c>
    </row>
    <row r="107" spans="1:9" ht="18" customHeight="1" x14ac:dyDescent="0.25">
      <c r="A107" s="485"/>
      <c r="B107" s="216"/>
      <c r="C107" s="221"/>
      <c r="D107" s="216"/>
      <c r="E107" s="216"/>
      <c r="F107" s="216"/>
      <c r="G107" s="216"/>
      <c r="H107" s="216"/>
      <c r="I107" s="74" t="str">
        <f>CONCATENATE("Continuar con ",'Ingreso Info'!D27," lts. de ",'Ingreso Info'!E27," + aditivos.")</f>
        <v>Continuar con 40000 lts. de DS561 + HF (3%) + aditivos.</v>
      </c>
    </row>
    <row r="108" spans="1:9" ht="18" customHeight="1" x14ac:dyDescent="0.25">
      <c r="A108" s="485" t="s">
        <v>283</v>
      </c>
      <c r="B108" s="216" t="s">
        <v>721</v>
      </c>
      <c r="C108" s="221"/>
      <c r="D108" s="216"/>
      <c r="E108" s="216"/>
      <c r="F108" s="216"/>
      <c r="G108" s="216"/>
      <c r="H108" s="216"/>
      <c r="I108" s="74" t="s">
        <v>583</v>
      </c>
    </row>
    <row r="109" spans="1:9" ht="18" customHeight="1" x14ac:dyDescent="0.25">
      <c r="A109" s="485"/>
      <c r="B109" s="216"/>
      <c r="C109" s="221"/>
      <c r="D109" s="216"/>
      <c r="E109" s="216"/>
      <c r="F109" s="216"/>
      <c r="G109" s="216"/>
      <c r="H109" s="216"/>
      <c r="I109" s="74"/>
    </row>
    <row r="110" spans="1:9" ht="18" customHeight="1" x14ac:dyDescent="0.25">
      <c r="A110" s="614" t="s">
        <v>291</v>
      </c>
      <c r="B110" s="700" t="s">
        <v>711</v>
      </c>
      <c r="C110" s="700"/>
      <c r="D110" s="700"/>
      <c r="E110" s="700"/>
      <c r="F110" s="700"/>
      <c r="G110" s="700"/>
      <c r="H110" s="216"/>
      <c r="I110" s="74"/>
    </row>
    <row r="111" spans="1:9" ht="18" customHeight="1" x14ac:dyDescent="0.25">
      <c r="A111" s="614"/>
      <c r="B111" s="700"/>
      <c r="C111" s="700"/>
      <c r="D111" s="700"/>
      <c r="E111" s="700"/>
      <c r="F111" s="700"/>
      <c r="G111" s="700"/>
      <c r="H111" s="216"/>
      <c r="I111" s="74"/>
    </row>
    <row r="112" spans="1:9" ht="18" customHeight="1" x14ac:dyDescent="0.25">
      <c r="A112" s="614"/>
      <c r="B112" s="700"/>
      <c r="C112" s="700"/>
      <c r="D112" s="700"/>
      <c r="E112" s="700"/>
      <c r="F112" s="700"/>
      <c r="G112" s="700"/>
      <c r="H112" s="216"/>
      <c r="I112" s="74"/>
    </row>
    <row r="113" spans="1:9" ht="18" customHeight="1" x14ac:dyDescent="0.25">
      <c r="A113" s="485"/>
      <c r="C113" s="221"/>
      <c r="D113" s="216"/>
      <c r="E113" s="216"/>
      <c r="F113" s="216"/>
      <c r="G113" s="216"/>
      <c r="H113" s="216"/>
      <c r="I113" s="74" t="str">
        <f>CONCATENATE("Desplazar con ",ROUND('Ingreso Info'!D32,0)," lts. de agua. ")</f>
        <v xml:space="preserve">Desplazar con 7807 lts. de agua. </v>
      </c>
    </row>
    <row r="114" spans="1:9" ht="18" customHeight="1" x14ac:dyDescent="0.25">
      <c r="A114" s="485" t="s">
        <v>410</v>
      </c>
      <c r="B114" s="216" t="s">
        <v>722</v>
      </c>
      <c r="C114" s="221"/>
      <c r="D114" s="216"/>
      <c r="E114" s="216"/>
      <c r="F114" s="216"/>
      <c r="G114" s="216"/>
      <c r="H114" s="216"/>
      <c r="I114" t="str">
        <f>CONCATENATE("Desplazar con ",ROUND('Ingreso Info'!D32,0)," lts. de agua y sobredesplazar con igual volumen ")</f>
        <v xml:space="preserve">Desplazar con 7807 lts. de agua y sobredesplazar con igual volumen </v>
      </c>
    </row>
    <row r="115" spans="1:9" ht="18" customHeight="1" x14ac:dyDescent="0.25">
      <c r="A115" s="485"/>
      <c r="B115" s="216"/>
      <c r="C115" s="223"/>
      <c r="D115" s="216"/>
      <c r="E115" s="216"/>
      <c r="F115" s="216"/>
      <c r="G115" s="216"/>
      <c r="H115" s="217"/>
      <c r="I115" s="74" t="s">
        <v>531</v>
      </c>
    </row>
    <row r="116" spans="1:9" ht="18" customHeight="1" x14ac:dyDescent="0.25">
      <c r="A116" s="485" t="s">
        <v>411</v>
      </c>
      <c r="B116" s="216" t="s">
        <v>667</v>
      </c>
      <c r="C116" s="216"/>
      <c r="D116" s="216"/>
      <c r="E116" s="216"/>
      <c r="F116" s="216"/>
      <c r="G116" s="216"/>
      <c r="H116" s="216"/>
      <c r="I116" s="365" t="s">
        <v>667</v>
      </c>
    </row>
    <row r="117" spans="1:9" ht="18" customHeight="1" x14ac:dyDescent="0.25">
      <c r="A117" s="485"/>
      <c r="D117" s="216"/>
      <c r="G117" s="216"/>
      <c r="I117" s="74" t="s">
        <v>284</v>
      </c>
    </row>
    <row r="118" spans="1:9" ht="18" customHeight="1" x14ac:dyDescent="0.25">
      <c r="A118" s="485" t="s">
        <v>413</v>
      </c>
      <c r="B118" s="216" t="s">
        <v>668</v>
      </c>
      <c r="D118" s="216"/>
      <c r="G118" s="216"/>
      <c r="I118" s="74" t="str">
        <f>CONCATENATE("Cerrar pozo y dejar en reposo durante ",'Ingreso Info'!E37," horas")</f>
        <v>Cerrar pozo y dejar en reposo durante 4 horas</v>
      </c>
    </row>
    <row r="119" spans="1:9" ht="18" customHeight="1" x14ac:dyDescent="0.25">
      <c r="A119" s="485"/>
      <c r="D119" s="216"/>
      <c r="G119" s="216"/>
      <c r="I119" s="228" t="s">
        <v>668</v>
      </c>
    </row>
    <row r="120" spans="1:9" ht="18" customHeight="1" x14ac:dyDescent="0.25">
      <c r="A120" s="485" t="s">
        <v>413</v>
      </c>
      <c r="B120" s="216" t="s">
        <v>289</v>
      </c>
      <c r="D120" s="216"/>
      <c r="G120" s="216"/>
      <c r="I120" s="365" t="s">
        <v>289</v>
      </c>
    </row>
    <row r="121" spans="1:9" ht="18" customHeight="1" x14ac:dyDescent="0.25">
      <c r="A121" s="485"/>
      <c r="D121" s="216"/>
      <c r="G121" s="216"/>
      <c r="I121" s="365" t="s">
        <v>613</v>
      </c>
    </row>
    <row r="122" spans="1:9" ht="18" hidden="1" customHeight="1" x14ac:dyDescent="0.25">
      <c r="A122" s="485" t="s">
        <v>669</v>
      </c>
      <c r="B122" s="216" t="s">
        <v>565</v>
      </c>
      <c r="D122" s="218"/>
      <c r="G122" s="218"/>
      <c r="I122" s="74" t="s">
        <v>564</v>
      </c>
    </row>
    <row r="123" spans="1:9" ht="18" hidden="1" customHeight="1" x14ac:dyDescent="0.2">
      <c r="I123" s="365" t="str">
        <f>CONCATENATE("Comenzar bombeo con ",ROUNDUP('Ingreso Info'!D27/('Ingreso Info'!H31+1),0)," lts de ",'Ingreso Info'!E27,".")</f>
        <v>Comenzar bombeo con 40000 lts de DS561 + HF (3%).</v>
      </c>
    </row>
    <row r="124" spans="1:9" ht="18" customHeight="1" x14ac:dyDescent="0.3">
      <c r="B124" s="220" t="s">
        <v>517</v>
      </c>
      <c r="I124" s="74"/>
    </row>
    <row r="125" spans="1:9" ht="18" customHeight="1" x14ac:dyDescent="0.2">
      <c r="A125" s="484"/>
      <c r="B125" s="229"/>
      <c r="C125" s="229"/>
      <c r="I125" s="74"/>
    </row>
    <row r="126" spans="1:9" ht="18" hidden="1" customHeight="1" thickBot="1" x14ac:dyDescent="0.25">
      <c r="A126" s="481" t="s">
        <v>279</v>
      </c>
      <c r="B126" s="226" t="s">
        <v>530</v>
      </c>
      <c r="C126" s="226"/>
      <c r="D126" s="226"/>
      <c r="E126" s="226"/>
      <c r="F126" s="226"/>
      <c r="G126" s="226"/>
      <c r="H126" s="226"/>
      <c r="I126" s="461"/>
    </row>
    <row r="127" spans="1:9" ht="18" hidden="1" customHeight="1" x14ac:dyDescent="0.2">
      <c r="A127" s="71"/>
      <c r="G127" s="226"/>
    </row>
    <row r="128" spans="1:9" ht="18" customHeight="1" x14ac:dyDescent="0.2">
      <c r="A128" s="484" t="s">
        <v>279</v>
      </c>
      <c r="B128" s="695" t="s">
        <v>670</v>
      </c>
      <c r="C128" s="695"/>
      <c r="D128" s="695"/>
      <c r="E128" s="695"/>
      <c r="F128" s="695"/>
      <c r="G128" s="695"/>
      <c r="H128" s="229"/>
      <c r="I128" s="229"/>
    </row>
    <row r="129" spans="1:9" ht="18" customHeight="1" x14ac:dyDescent="0.2">
      <c r="A129" s="484"/>
      <c r="B129" s="695"/>
      <c r="C129" s="695"/>
      <c r="D129" s="695"/>
      <c r="E129" s="695"/>
      <c r="F129" s="695"/>
      <c r="G129" s="695"/>
      <c r="H129" s="229"/>
      <c r="I129" s="229"/>
    </row>
    <row r="130" spans="1:9" ht="18" customHeight="1" x14ac:dyDescent="0.2">
      <c r="B130" s="226"/>
      <c r="C130" s="226"/>
      <c r="D130" s="226"/>
      <c r="E130" s="226"/>
      <c r="F130" s="226"/>
      <c r="G130" s="226"/>
      <c r="H130" s="229"/>
      <c r="I130" s="229"/>
    </row>
    <row r="131" spans="1:9" ht="18" customHeight="1" x14ac:dyDescent="0.3">
      <c r="B131" s="220" t="s">
        <v>566</v>
      </c>
    </row>
    <row r="132" spans="1:9" ht="18" customHeight="1" thickBot="1" x14ac:dyDescent="0.3">
      <c r="B132" s="216"/>
      <c r="C132" s="221"/>
      <c r="D132" s="216"/>
      <c r="E132" s="216"/>
      <c r="F132" s="216"/>
      <c r="G132" s="216"/>
    </row>
    <row r="133" spans="1:9" ht="18" customHeight="1" thickBot="1" x14ac:dyDescent="0.25">
      <c r="A133" s="697" t="s">
        <v>556</v>
      </c>
      <c r="B133" s="698"/>
      <c r="C133" s="698"/>
      <c r="D133" s="698"/>
      <c r="E133" s="698"/>
      <c r="F133" s="698"/>
      <c r="G133" s="699"/>
    </row>
    <row r="134" spans="1:9" ht="18" customHeight="1" thickBot="1" x14ac:dyDescent="0.25">
      <c r="A134" s="477" t="s">
        <v>557</v>
      </c>
      <c r="B134" s="477" t="s">
        <v>14</v>
      </c>
      <c r="C134" s="576" t="s">
        <v>558</v>
      </c>
      <c r="D134" s="685" t="s">
        <v>643</v>
      </c>
      <c r="E134" s="686"/>
      <c r="F134" s="689" t="str">
        <f>'Ingreso Info'!E49</f>
        <v>Formación</v>
      </c>
      <c r="G134" s="690"/>
    </row>
    <row r="135" spans="1:9" ht="18" customHeight="1" thickBot="1" x14ac:dyDescent="0.25">
      <c r="A135" s="478">
        <f>'Ingreso Info'!A50</f>
        <v>1234</v>
      </c>
      <c r="B135" s="478">
        <f>'Ingreso Info'!B50</f>
        <v>1248</v>
      </c>
      <c r="C135" s="575">
        <f>'Ingreso Info'!C50</f>
        <v>14</v>
      </c>
      <c r="D135" s="683" t="str">
        <f>'Ingreso Info'!D50</f>
        <v>Si</v>
      </c>
      <c r="E135" s="684"/>
      <c r="F135" s="687" t="str">
        <f>'Ingreso Info'!E50</f>
        <v>Centenario Superior</v>
      </c>
      <c r="G135" s="688"/>
    </row>
    <row r="136" spans="1:9" ht="18" customHeight="1" thickBot="1" x14ac:dyDescent="0.25">
      <c r="A136" s="478">
        <f>'Ingreso Info'!A51</f>
        <v>1282</v>
      </c>
      <c r="B136" s="478">
        <f>'Ingreso Info'!B51</f>
        <v>1292</v>
      </c>
      <c r="C136" s="575">
        <f>'Ingreso Info'!C51</f>
        <v>10</v>
      </c>
      <c r="D136" s="683" t="str">
        <f>'Ingreso Info'!D51</f>
        <v>Si</v>
      </c>
      <c r="E136" s="684"/>
      <c r="F136" s="687" t="str">
        <f>'Ingreso Info'!E51</f>
        <v>Centenario Superior</v>
      </c>
      <c r="G136" s="688"/>
    </row>
    <row r="137" spans="1:9" ht="18" customHeight="1" thickBot="1" x14ac:dyDescent="0.25">
      <c r="A137" s="478">
        <f>'Ingreso Info'!A52</f>
        <v>1297.5</v>
      </c>
      <c r="B137" s="478">
        <f>'Ingreso Info'!B52</f>
        <v>1324.5</v>
      </c>
      <c r="C137" s="575">
        <f>'Ingreso Info'!C52</f>
        <v>27</v>
      </c>
      <c r="D137" s="683" t="str">
        <f>'Ingreso Info'!D52</f>
        <v>Si</v>
      </c>
      <c r="E137" s="684"/>
      <c r="F137" s="687" t="str">
        <f>'Ingreso Info'!E52</f>
        <v>Centenario Superior</v>
      </c>
      <c r="G137" s="688"/>
    </row>
    <row r="138" spans="1:9" ht="18" customHeight="1" thickBot="1" x14ac:dyDescent="0.25">
      <c r="A138" s="478">
        <f>'Ingreso Info'!A53</f>
        <v>1347</v>
      </c>
      <c r="B138" s="478">
        <f>'Ingreso Info'!B53</f>
        <v>1354.5</v>
      </c>
      <c r="C138" s="575">
        <f>'Ingreso Info'!C53</f>
        <v>7.5</v>
      </c>
      <c r="D138" s="683" t="str">
        <f>'Ingreso Info'!D53</f>
        <v>Si</v>
      </c>
      <c r="E138" s="684"/>
      <c r="F138" s="687" t="str">
        <f>'Ingreso Info'!E53</f>
        <v>Centenario Superior</v>
      </c>
      <c r="G138" s="688"/>
    </row>
    <row r="139" spans="1:9" ht="18" customHeight="1" thickBot="1" x14ac:dyDescent="0.25">
      <c r="A139" s="478">
        <f>'Ingreso Info'!A54</f>
        <v>1358.5</v>
      </c>
      <c r="B139" s="478">
        <f>'Ingreso Info'!B54</f>
        <v>1369</v>
      </c>
      <c r="C139" s="575">
        <f>'Ingreso Info'!C54</f>
        <v>10.5</v>
      </c>
      <c r="D139" s="683" t="str">
        <f>'Ingreso Info'!D54</f>
        <v>Si</v>
      </c>
      <c r="E139" s="684"/>
      <c r="F139" s="687" t="str">
        <f>'Ingreso Info'!E54</f>
        <v>Centenario Superior</v>
      </c>
      <c r="G139" s="688"/>
    </row>
    <row r="140" spans="1:9" ht="18" customHeight="1" thickBot="1" x14ac:dyDescent="0.25">
      <c r="A140" s="478">
        <f>'Ingreso Info'!A55</f>
        <v>1374.5</v>
      </c>
      <c r="B140" s="478">
        <f>'Ingreso Info'!B55</f>
        <v>1381.5</v>
      </c>
      <c r="C140" s="575">
        <f>'Ingreso Info'!C55</f>
        <v>7</v>
      </c>
      <c r="D140" s="683" t="str">
        <f>'Ingreso Info'!D55</f>
        <v>Si</v>
      </c>
      <c r="E140" s="684"/>
      <c r="F140" s="687" t="str">
        <f>'Ingreso Info'!E55</f>
        <v>Centenario Superior</v>
      </c>
      <c r="G140" s="688"/>
    </row>
    <row r="141" spans="1:9" ht="18" customHeight="1" thickBot="1" x14ac:dyDescent="0.25">
      <c r="A141" s="478">
        <f>'Ingreso Info'!A56</f>
        <v>1389</v>
      </c>
      <c r="B141" s="478">
        <f>'Ingreso Info'!B56</f>
        <v>1394.5</v>
      </c>
      <c r="C141" s="575">
        <f>'Ingreso Info'!C56</f>
        <v>5.5</v>
      </c>
      <c r="D141" s="683" t="str">
        <f>'Ingreso Info'!D56</f>
        <v>Si</v>
      </c>
      <c r="E141" s="684"/>
      <c r="F141" s="687" t="str">
        <f>'Ingreso Info'!E56</f>
        <v>Centenario Superior</v>
      </c>
      <c r="G141" s="688"/>
    </row>
    <row r="142" spans="1:9" ht="18" customHeight="1" thickBot="1" x14ac:dyDescent="0.25">
      <c r="A142" s="478">
        <f>'Ingreso Info'!A57</f>
        <v>1396.5</v>
      </c>
      <c r="B142" s="478">
        <f>'Ingreso Info'!B57</f>
        <v>1405</v>
      </c>
      <c r="C142" s="575">
        <f>'Ingreso Info'!C57</f>
        <v>8.5</v>
      </c>
      <c r="D142" s="683" t="str">
        <f>'Ingreso Info'!D57</f>
        <v>Si</v>
      </c>
      <c r="E142" s="684"/>
      <c r="F142" s="687" t="str">
        <f>'Ingreso Info'!E57</f>
        <v>Centenario Superior</v>
      </c>
      <c r="G142" s="688"/>
    </row>
    <row r="143" spans="1:9" ht="18" customHeight="1" thickBot="1" x14ac:dyDescent="0.25">
      <c r="A143" s="478">
        <f>'Ingreso Info'!A58</f>
        <v>1472</v>
      </c>
      <c r="B143" s="478">
        <f>'Ingreso Info'!B58</f>
        <v>1475.5</v>
      </c>
      <c r="C143" s="575">
        <f>'Ingreso Info'!C58</f>
        <v>3.5</v>
      </c>
      <c r="D143" s="683" t="str">
        <f>'Ingreso Info'!D58</f>
        <v>Si</v>
      </c>
      <c r="E143" s="684"/>
      <c r="F143" s="687" t="str">
        <f>'Ingreso Info'!E58</f>
        <v>Centenario Inferior</v>
      </c>
      <c r="G143" s="688"/>
    </row>
    <row r="144" spans="1:9" ht="18" customHeight="1" thickBot="1" x14ac:dyDescent="0.25">
      <c r="A144" s="478">
        <f>'Ingreso Info'!A59</f>
        <v>1478.5</v>
      </c>
      <c r="B144" s="478">
        <f>'Ingreso Info'!B59</f>
        <v>1486.5</v>
      </c>
      <c r="C144" s="575">
        <f>'Ingreso Info'!C59</f>
        <v>8</v>
      </c>
      <c r="D144" s="683" t="str">
        <f>'Ingreso Info'!D59</f>
        <v>Si</v>
      </c>
      <c r="E144" s="684"/>
      <c r="F144" s="687" t="str">
        <f>'Ingreso Info'!E59</f>
        <v>Centenario Inferior</v>
      </c>
      <c r="G144" s="688"/>
    </row>
    <row r="145" spans="1:7" ht="18" customHeight="1" thickBot="1" x14ac:dyDescent="0.25">
      <c r="A145" s="478">
        <f>'Ingreso Info'!A60</f>
        <v>1493.5</v>
      </c>
      <c r="B145" s="478">
        <f>'Ingreso Info'!B60</f>
        <v>1500</v>
      </c>
      <c r="C145" s="575">
        <f>'Ingreso Info'!C60</f>
        <v>6.5</v>
      </c>
      <c r="D145" s="683" t="str">
        <f>'Ingreso Info'!D60</f>
        <v>Si</v>
      </c>
      <c r="E145" s="684"/>
      <c r="F145" s="687" t="str">
        <f>'Ingreso Info'!E60</f>
        <v>Centenario Inferior</v>
      </c>
      <c r="G145" s="688"/>
    </row>
    <row r="146" spans="1:7" ht="18" customHeight="1" thickBot="1" x14ac:dyDescent="0.25">
      <c r="A146" s="478">
        <f>'Ingreso Info'!A61</f>
        <v>1503</v>
      </c>
      <c r="B146" s="478">
        <f>'Ingreso Info'!B61</f>
        <v>1528</v>
      </c>
      <c r="C146" s="575">
        <f>'Ingreso Info'!C61</f>
        <v>25</v>
      </c>
      <c r="D146" s="683" t="str">
        <f>'Ingreso Info'!D61</f>
        <v>Si</v>
      </c>
      <c r="E146" s="684"/>
      <c r="F146" s="687" t="str">
        <f>'Ingreso Info'!E61</f>
        <v>Centenario Inferior</v>
      </c>
      <c r="G146" s="688"/>
    </row>
    <row r="147" spans="1:7" ht="18" customHeight="1" thickBot="1" x14ac:dyDescent="0.25">
      <c r="A147" s="478">
        <f>'Ingreso Info'!A62</f>
        <v>1577.5</v>
      </c>
      <c r="B147" s="478">
        <f>'Ingreso Info'!B62</f>
        <v>1596.5</v>
      </c>
      <c r="C147" s="575">
        <f>'Ingreso Info'!C62</f>
        <v>19</v>
      </c>
      <c r="D147" s="683" t="str">
        <f>'Ingreso Info'!D62</f>
        <v>Si</v>
      </c>
      <c r="E147" s="684"/>
      <c r="F147" s="687" t="str">
        <f>'Ingreso Info'!E62</f>
        <v>Centenario Inferior</v>
      </c>
      <c r="G147" s="688"/>
    </row>
    <row r="148" spans="1:7" ht="18" customHeight="1" thickBot="1" x14ac:dyDescent="0.25">
      <c r="A148" s="478">
        <f>'Ingreso Info'!A63</f>
        <v>1598</v>
      </c>
      <c r="B148" s="478">
        <f>'Ingreso Info'!B63</f>
        <v>1616</v>
      </c>
      <c r="C148" s="575">
        <f>'Ingreso Info'!C63</f>
        <v>18</v>
      </c>
      <c r="D148" s="683" t="str">
        <f>'Ingreso Info'!D63</f>
        <v>Si</v>
      </c>
      <c r="E148" s="684"/>
      <c r="F148" s="687" t="str">
        <f>'Ingreso Info'!E63</f>
        <v>Centenario Inferior</v>
      </c>
      <c r="G148" s="688"/>
    </row>
    <row r="149" spans="1:7" ht="18" customHeight="1" thickBot="1" x14ac:dyDescent="0.25">
      <c r="A149" s="478">
        <f>'Ingreso Info'!A64</f>
        <v>0</v>
      </c>
      <c r="B149" s="478">
        <f>'Ingreso Info'!B64</f>
        <v>0</v>
      </c>
      <c r="C149" s="575">
        <f>'Ingreso Info'!C64</f>
        <v>0</v>
      </c>
      <c r="D149" s="683">
        <f>'Ingreso Info'!D64</f>
        <v>0</v>
      </c>
      <c r="E149" s="684"/>
      <c r="F149" s="687">
        <f>'Ingreso Info'!E64</f>
        <v>0</v>
      </c>
      <c r="G149" s="688"/>
    </row>
    <row r="150" spans="1:7" ht="18" customHeight="1" thickBot="1" x14ac:dyDescent="0.25">
      <c r="A150" s="478">
        <f>'Ingreso Info'!A65</f>
        <v>0</v>
      </c>
      <c r="B150" s="478">
        <f>'Ingreso Info'!B65</f>
        <v>0</v>
      </c>
      <c r="C150" s="575">
        <f>'Ingreso Info'!C65</f>
        <v>0</v>
      </c>
      <c r="D150" s="683">
        <f>'Ingreso Info'!D65</f>
        <v>0</v>
      </c>
      <c r="E150" s="684"/>
      <c r="F150" s="687">
        <f>'Ingreso Info'!E65</f>
        <v>0</v>
      </c>
      <c r="G150" s="688"/>
    </row>
    <row r="151" spans="1:7" ht="18" customHeight="1" thickBot="1" x14ac:dyDescent="0.25">
      <c r="A151" s="478">
        <f>'Ingreso Info'!A66</f>
        <v>0</v>
      </c>
      <c r="B151" s="478">
        <f>'Ingreso Info'!B66</f>
        <v>0</v>
      </c>
      <c r="C151" s="575">
        <f>'Ingreso Info'!C66</f>
        <v>0</v>
      </c>
      <c r="D151" s="683">
        <f>'Ingreso Info'!D66</f>
        <v>0</v>
      </c>
      <c r="E151" s="684"/>
      <c r="F151" s="687">
        <f>'Ingreso Info'!E66</f>
        <v>0</v>
      </c>
      <c r="G151" s="688"/>
    </row>
    <row r="152" spans="1:7" ht="18" customHeight="1" thickBot="1" x14ac:dyDescent="0.25">
      <c r="A152" s="478">
        <f>'Ingreso Info'!A67</f>
        <v>0</v>
      </c>
      <c r="B152" s="478">
        <f>'Ingreso Info'!B67</f>
        <v>0</v>
      </c>
      <c r="C152" s="575">
        <f>'Ingreso Info'!C67</f>
        <v>0</v>
      </c>
      <c r="D152" s="683">
        <f>'Ingreso Info'!D67</f>
        <v>0</v>
      </c>
      <c r="E152" s="684"/>
      <c r="F152" s="687">
        <f>'Ingreso Info'!E67</f>
        <v>0</v>
      </c>
      <c r="G152" s="688"/>
    </row>
    <row r="153" spans="1:7" ht="18" customHeight="1" thickBot="1" x14ac:dyDescent="0.25">
      <c r="A153" s="478">
        <f>'Ingreso Info'!A68</f>
        <v>0</v>
      </c>
      <c r="B153" s="478">
        <f>'Ingreso Info'!B68</f>
        <v>0</v>
      </c>
      <c r="C153" s="575">
        <f>'Ingreso Info'!C68</f>
        <v>0</v>
      </c>
      <c r="D153" s="683">
        <f>'Ingreso Info'!D68</f>
        <v>0</v>
      </c>
      <c r="E153" s="684"/>
      <c r="F153" s="687">
        <f>'Ingreso Info'!E68</f>
        <v>0</v>
      </c>
      <c r="G153" s="688"/>
    </row>
    <row r="154" spans="1:7" ht="18" customHeight="1" thickBot="1" x14ac:dyDescent="0.25">
      <c r="A154" s="478">
        <f>'Ingreso Info'!A69</f>
        <v>0</v>
      </c>
      <c r="B154" s="478">
        <f>'Ingreso Info'!B69</f>
        <v>0</v>
      </c>
      <c r="C154" s="575">
        <f>'Ingreso Info'!C69</f>
        <v>0</v>
      </c>
      <c r="D154" s="683">
        <f>'Ingreso Info'!D69</f>
        <v>0</v>
      </c>
      <c r="E154" s="684"/>
      <c r="F154" s="687">
        <f>'Ingreso Info'!E69</f>
        <v>0</v>
      </c>
      <c r="G154" s="688"/>
    </row>
    <row r="155" spans="1:7" ht="18" customHeight="1" thickBot="1" x14ac:dyDescent="0.25">
      <c r="A155" s="478">
        <f>'Ingreso Info'!A70</f>
        <v>0</v>
      </c>
      <c r="B155" s="478">
        <f>'Ingreso Info'!B70</f>
        <v>0</v>
      </c>
      <c r="C155" s="575">
        <f>'Ingreso Info'!C70</f>
        <v>0</v>
      </c>
      <c r="D155" s="683">
        <f>'Ingreso Info'!D70</f>
        <v>0</v>
      </c>
      <c r="E155" s="684"/>
      <c r="F155" s="687">
        <f>'Ingreso Info'!E70</f>
        <v>0</v>
      </c>
      <c r="G155" s="688"/>
    </row>
    <row r="156" spans="1:7" ht="18" customHeight="1" thickBot="1" x14ac:dyDescent="0.25">
      <c r="A156" s="479">
        <f>'Ingreso Info'!A71</f>
        <v>1234</v>
      </c>
      <c r="B156" s="479">
        <f>'Ingreso Info'!B71</f>
        <v>1616</v>
      </c>
      <c r="D156" s="480"/>
      <c r="E156" s="480"/>
      <c r="F156" s="480"/>
    </row>
    <row r="157" spans="1:7" ht="18" customHeight="1" thickBot="1" x14ac:dyDescent="0.25">
      <c r="B157" s="226"/>
      <c r="C157" s="481" t="s">
        <v>560</v>
      </c>
      <c r="D157" s="693">
        <f>'Ingreso Info'!C72</f>
        <v>170</v>
      </c>
      <c r="E157" s="694"/>
      <c r="F157" s="226"/>
    </row>
    <row r="158" spans="1:7" ht="18" customHeight="1" thickBot="1" x14ac:dyDescent="0.25">
      <c r="A158" s="481"/>
      <c r="B158" s="226"/>
      <c r="C158" s="481" t="s">
        <v>561</v>
      </c>
      <c r="D158" s="693">
        <f>'Ingreso Info'!C73</f>
        <v>170</v>
      </c>
      <c r="E158" s="694"/>
      <c r="F158" s="226"/>
      <c r="G158" s="226"/>
    </row>
    <row r="159" spans="1:7" ht="18" customHeight="1" x14ac:dyDescent="0.2">
      <c r="A159" s="71"/>
    </row>
    <row r="160" spans="1:7" ht="18" customHeight="1" x14ac:dyDescent="0.2">
      <c r="A160" s="71"/>
    </row>
    <row r="161" spans="1:2" ht="18" customHeight="1" x14ac:dyDescent="0.3">
      <c r="A161" s="71"/>
      <c r="B161" s="220" t="s">
        <v>671</v>
      </c>
    </row>
    <row r="162" spans="1:2" ht="18" customHeight="1" x14ac:dyDescent="0.2">
      <c r="A162" s="71"/>
    </row>
    <row r="163" spans="1:2" ht="18" customHeight="1" x14ac:dyDescent="0.2">
      <c r="A163" s="71"/>
    </row>
    <row r="164" spans="1:2" ht="18" customHeight="1" x14ac:dyDescent="0.2">
      <c r="A164" s="71"/>
    </row>
    <row r="165" spans="1:2" ht="18" customHeight="1" x14ac:dyDescent="0.2">
      <c r="A165" s="71"/>
    </row>
    <row r="166" spans="1:2" ht="18" customHeight="1" x14ac:dyDescent="0.2">
      <c r="A166" s="71"/>
    </row>
    <row r="167" spans="1:2" ht="18" customHeight="1" x14ac:dyDescent="0.2">
      <c r="A167" s="71"/>
    </row>
    <row r="168" spans="1:2" ht="18" customHeight="1" x14ac:dyDescent="0.2">
      <c r="A168" s="71"/>
    </row>
    <row r="169" spans="1:2" ht="18" customHeight="1" x14ac:dyDescent="0.2">
      <c r="A169" s="71"/>
    </row>
    <row r="170" spans="1:2" ht="18" customHeight="1" x14ac:dyDescent="0.2">
      <c r="A170" s="71"/>
    </row>
    <row r="171" spans="1:2" ht="18" customHeight="1" x14ac:dyDescent="0.2">
      <c r="A171" s="71"/>
    </row>
    <row r="172" spans="1:2" ht="18" customHeight="1" x14ac:dyDescent="0.2">
      <c r="A172" s="71"/>
    </row>
    <row r="173" spans="1:2" ht="18" customHeight="1" x14ac:dyDescent="0.2">
      <c r="A173" s="71"/>
    </row>
    <row r="174" spans="1:2" ht="18" customHeight="1" x14ac:dyDescent="0.2">
      <c r="A174" s="71"/>
    </row>
    <row r="175" spans="1:2" ht="18" customHeight="1" x14ac:dyDescent="0.2">
      <c r="A175" s="71"/>
    </row>
    <row r="176" spans="1:2" ht="18" customHeight="1" x14ac:dyDescent="0.2">
      <c r="A176" s="71"/>
    </row>
    <row r="177" spans="1:1" ht="18" customHeight="1" x14ac:dyDescent="0.2">
      <c r="A177" s="71"/>
    </row>
    <row r="178" spans="1:1" ht="18" customHeight="1" x14ac:dyDescent="0.2">
      <c r="A178" s="71"/>
    </row>
    <row r="179" spans="1:1" ht="18" customHeight="1" x14ac:dyDescent="0.2">
      <c r="A179" s="71"/>
    </row>
    <row r="180" spans="1:1" ht="18" customHeight="1" x14ac:dyDescent="0.2">
      <c r="A180" s="71"/>
    </row>
    <row r="181" spans="1:1" ht="18" customHeight="1" x14ac:dyDescent="0.2">
      <c r="A181" s="71"/>
    </row>
    <row r="182" spans="1:1" ht="18" customHeight="1" x14ac:dyDescent="0.2">
      <c r="A182" s="71"/>
    </row>
    <row r="183" spans="1:1" ht="18" customHeight="1" x14ac:dyDescent="0.2">
      <c r="A183" s="71"/>
    </row>
    <row r="184" spans="1:1" ht="18" customHeight="1" x14ac:dyDescent="0.2">
      <c r="A184" s="71"/>
    </row>
    <row r="185" spans="1:1" ht="18" customHeight="1" x14ac:dyDescent="0.2">
      <c r="A185" s="71"/>
    </row>
    <row r="186" spans="1:1" ht="18" customHeight="1" x14ac:dyDescent="0.2">
      <c r="A186" s="71"/>
    </row>
    <row r="187" spans="1:1" ht="18" customHeight="1" x14ac:dyDescent="0.2">
      <c r="A187" s="71"/>
    </row>
    <row r="188" spans="1:1" ht="18" customHeight="1" x14ac:dyDescent="0.2">
      <c r="A188" s="71"/>
    </row>
    <row r="189" spans="1:1" ht="18" customHeight="1" x14ac:dyDescent="0.2">
      <c r="A189" s="71"/>
    </row>
    <row r="190" spans="1:1" ht="18" customHeight="1" x14ac:dyDescent="0.2">
      <c r="A190" s="71"/>
    </row>
    <row r="191" spans="1:1" ht="18" customHeight="1" x14ac:dyDescent="0.2">
      <c r="A191" s="71"/>
    </row>
    <row r="192" spans="1:1" ht="18" customHeight="1" x14ac:dyDescent="0.2">
      <c r="A192" s="71"/>
    </row>
    <row r="193" spans="1:7" ht="18" customHeight="1" x14ac:dyDescent="0.2">
      <c r="A193" s="71"/>
    </row>
    <row r="194" spans="1:7" ht="18" customHeight="1" x14ac:dyDescent="0.2">
      <c r="A194" s="71"/>
    </row>
    <row r="195" spans="1:7" ht="18" customHeight="1" x14ac:dyDescent="0.2">
      <c r="A195" s="71"/>
    </row>
    <row r="196" spans="1:7" ht="18" customHeight="1" x14ac:dyDescent="0.2">
      <c r="A196" s="71"/>
    </row>
    <row r="197" spans="1:7" ht="18" customHeight="1" x14ac:dyDescent="0.2">
      <c r="A197" s="71"/>
    </row>
    <row r="198" spans="1:7" ht="18" customHeight="1" x14ac:dyDescent="0.2">
      <c r="A198" s="71"/>
    </row>
    <row r="199" spans="1:7" ht="18" customHeight="1" x14ac:dyDescent="0.2">
      <c r="A199" s="71"/>
    </row>
    <row r="200" spans="1:7" ht="18" customHeight="1" x14ac:dyDescent="0.3">
      <c r="A200" s="484"/>
      <c r="B200" s="220" t="s">
        <v>567</v>
      </c>
      <c r="C200" s="229"/>
      <c r="D200" s="229"/>
      <c r="E200" s="229"/>
      <c r="F200" s="229"/>
      <c r="G200" s="229"/>
    </row>
    <row r="201" spans="1:7" ht="18" customHeight="1" x14ac:dyDescent="0.3">
      <c r="B201" s="220"/>
    </row>
    <row r="202" spans="1:7" ht="18" customHeight="1" x14ac:dyDescent="0.2">
      <c r="A202" s="484" t="s">
        <v>279</v>
      </c>
      <c r="B202" s="692" t="s">
        <v>568</v>
      </c>
      <c r="C202" s="692"/>
      <c r="D202" s="692"/>
      <c r="E202" s="692"/>
      <c r="F202" s="692"/>
      <c r="G202" s="692"/>
    </row>
    <row r="203" spans="1:7" ht="18" customHeight="1" x14ac:dyDescent="0.2">
      <c r="B203" s="692"/>
      <c r="C203" s="692"/>
      <c r="D203" s="692"/>
      <c r="E203" s="692"/>
      <c r="F203" s="692"/>
      <c r="G203" s="692"/>
    </row>
    <row r="204" spans="1:7" ht="18" customHeight="1" x14ac:dyDescent="0.25">
      <c r="A204" s="484"/>
      <c r="B204" s="449"/>
      <c r="C204" s="691"/>
      <c r="D204" s="691"/>
      <c r="E204" s="691"/>
    </row>
    <row r="205" spans="1:7" ht="18" customHeight="1" x14ac:dyDescent="0.2">
      <c r="A205" s="484" t="s">
        <v>280</v>
      </c>
      <c r="B205" s="692" t="s">
        <v>569</v>
      </c>
      <c r="C205" s="692"/>
      <c r="D205" s="692"/>
      <c r="E205" s="692"/>
      <c r="F205" s="692"/>
      <c r="G205" s="692"/>
    </row>
    <row r="206" spans="1:7" ht="18" customHeight="1" x14ac:dyDescent="0.2">
      <c r="B206" s="692"/>
      <c r="C206" s="692"/>
      <c r="D206" s="692"/>
      <c r="E206" s="692"/>
      <c r="F206" s="692"/>
      <c r="G206" s="692"/>
    </row>
    <row r="207" spans="1:7" ht="18" customHeight="1" x14ac:dyDescent="0.25">
      <c r="B207" s="216"/>
      <c r="C207" s="691"/>
      <c r="D207" s="691"/>
      <c r="E207" s="691"/>
      <c r="F207" s="216"/>
      <c r="G207" s="216"/>
    </row>
    <row r="208" spans="1:7" ht="18" customHeight="1" x14ac:dyDescent="0.2">
      <c r="A208" s="484" t="s">
        <v>281</v>
      </c>
      <c r="B208" s="226" t="s">
        <v>570</v>
      </c>
      <c r="C208" s="226"/>
      <c r="D208" s="476"/>
      <c r="E208" s="476"/>
      <c r="F208" s="476"/>
      <c r="G208" s="476"/>
    </row>
    <row r="209" spans="1:7" ht="18" customHeight="1" x14ac:dyDescent="0.2">
      <c r="B209" s="476"/>
      <c r="C209" s="476"/>
      <c r="D209" s="476"/>
      <c r="E209" s="476"/>
      <c r="F209" s="476"/>
      <c r="G209" s="476"/>
    </row>
    <row r="210" spans="1:7" ht="18" customHeight="1" x14ac:dyDescent="0.25">
      <c r="A210" s="485" t="s">
        <v>282</v>
      </c>
      <c r="B210" s="216" t="s">
        <v>571</v>
      </c>
      <c r="C210" s="221"/>
      <c r="D210" s="216"/>
      <c r="E210" s="216"/>
      <c r="F210" s="216"/>
      <c r="G210" s="216"/>
    </row>
    <row r="211" spans="1:7" ht="18" customHeight="1" x14ac:dyDescent="0.25">
      <c r="A211" s="486"/>
      <c r="B211" s="216"/>
      <c r="C211" s="222"/>
      <c r="D211" s="218"/>
      <c r="E211" s="216"/>
      <c r="F211" s="216"/>
      <c r="G211" s="218"/>
    </row>
    <row r="212" spans="1:7" ht="18" customHeight="1" x14ac:dyDescent="0.25">
      <c r="A212" s="485" t="s">
        <v>283</v>
      </c>
      <c r="B212" s="692" t="s">
        <v>572</v>
      </c>
      <c r="C212" s="692"/>
      <c r="D212" s="692"/>
      <c r="E212" s="692"/>
      <c r="F212" s="692"/>
      <c r="G212" s="692"/>
    </row>
    <row r="213" spans="1:7" ht="18" customHeight="1" x14ac:dyDescent="0.25">
      <c r="A213" s="485"/>
      <c r="B213" s="692"/>
      <c r="C213" s="692"/>
      <c r="D213" s="692"/>
      <c r="E213" s="692"/>
      <c r="F213" s="692"/>
      <c r="G213" s="692"/>
    </row>
    <row r="214" spans="1:7" ht="18" customHeight="1" x14ac:dyDescent="0.2">
      <c r="A214" s="484"/>
      <c r="B214" s="229"/>
      <c r="C214" s="229"/>
    </row>
    <row r="215" spans="1:7" ht="18" customHeight="1" x14ac:dyDescent="0.2">
      <c r="A215" s="484"/>
      <c r="B215" s="229"/>
      <c r="C215" s="229"/>
    </row>
    <row r="216" spans="1:7" ht="18" customHeight="1" x14ac:dyDescent="0.2">
      <c r="A216" s="484"/>
      <c r="B216" s="229"/>
      <c r="C216" s="229"/>
    </row>
    <row r="217" spans="1:7" ht="18" customHeight="1" x14ac:dyDescent="0.2">
      <c r="A217" s="484"/>
      <c r="B217" s="229"/>
      <c r="C217" s="229"/>
    </row>
    <row r="218" spans="1:7" ht="18" customHeight="1" x14ac:dyDescent="0.2">
      <c r="A218" s="484"/>
      <c r="B218" s="229"/>
      <c r="C218" s="229"/>
    </row>
    <row r="219" spans="1:7" ht="18" customHeight="1" x14ac:dyDescent="0.2">
      <c r="A219" s="484"/>
      <c r="B219" s="229"/>
      <c r="C219" s="229"/>
    </row>
    <row r="220" spans="1:7" ht="18" customHeight="1" x14ac:dyDescent="0.2">
      <c r="A220" s="484"/>
      <c r="B220" s="229"/>
      <c r="C220" s="229"/>
    </row>
    <row r="221" spans="1:7" ht="18" customHeight="1" x14ac:dyDescent="0.2">
      <c r="A221" s="484"/>
      <c r="B221" s="229"/>
      <c r="C221" s="229"/>
    </row>
    <row r="222" spans="1:7" ht="18" customHeight="1" x14ac:dyDescent="0.2">
      <c r="A222" s="484"/>
      <c r="B222" s="229"/>
      <c r="C222" s="229"/>
    </row>
    <row r="223" spans="1:7" ht="18" customHeight="1" x14ac:dyDescent="0.2">
      <c r="A223" s="484"/>
      <c r="B223" s="229"/>
      <c r="C223" s="229"/>
    </row>
    <row r="224" spans="1:7" ht="18" customHeight="1" x14ac:dyDescent="0.2">
      <c r="A224" s="484"/>
      <c r="B224" s="229"/>
      <c r="C224" s="229"/>
    </row>
    <row r="225" spans="1:7" ht="18" customHeight="1" x14ac:dyDescent="0.2">
      <c r="A225" s="484"/>
      <c r="B225" s="229"/>
      <c r="C225" s="229"/>
    </row>
    <row r="226" spans="1:7" ht="18" customHeight="1" x14ac:dyDescent="0.2">
      <c r="A226" s="484"/>
      <c r="B226" s="229"/>
      <c r="C226" s="229"/>
    </row>
    <row r="227" spans="1:7" ht="18" customHeight="1" x14ac:dyDescent="0.2">
      <c r="A227" s="484"/>
      <c r="B227" s="229"/>
      <c r="C227" s="229"/>
    </row>
    <row r="228" spans="1:7" ht="18" customHeight="1" x14ac:dyDescent="0.2">
      <c r="A228" s="484"/>
      <c r="B228" s="229"/>
      <c r="C228" s="229"/>
    </row>
    <row r="229" spans="1:7" ht="18" customHeight="1" x14ac:dyDescent="0.2">
      <c r="A229" s="484"/>
      <c r="B229" s="229"/>
      <c r="C229" s="229"/>
    </row>
    <row r="230" spans="1:7" ht="18" customHeight="1" x14ac:dyDescent="0.2">
      <c r="B230" s="226"/>
      <c r="C230" s="226"/>
      <c r="D230" s="226"/>
      <c r="E230" s="226"/>
      <c r="F230" s="226"/>
      <c r="G230" s="226"/>
    </row>
    <row r="231" spans="1:7" ht="18" customHeight="1" x14ac:dyDescent="0.25">
      <c r="A231" s="485"/>
      <c r="B231" s="482"/>
      <c r="C231" s="482"/>
      <c r="D231" s="482"/>
      <c r="E231" s="482"/>
      <c r="F231" s="482"/>
      <c r="G231" s="482"/>
    </row>
    <row r="232" spans="1:7" ht="18" customHeight="1" x14ac:dyDescent="0.25">
      <c r="A232" s="485"/>
      <c r="B232" s="482"/>
      <c r="C232" s="482"/>
      <c r="D232" s="482"/>
      <c r="E232" s="482"/>
      <c r="F232" s="482"/>
      <c r="G232" s="482"/>
    </row>
  </sheetData>
  <mergeCells count="75">
    <mergeCell ref="B110:G112"/>
    <mergeCell ref="A5:G6"/>
    <mergeCell ref="B36:C36"/>
    <mergeCell ref="F51:G51"/>
    <mergeCell ref="A8:G9"/>
    <mergeCell ref="F61:G61"/>
    <mergeCell ref="F63:G63"/>
    <mergeCell ref="F49:G49"/>
    <mergeCell ref="F53:G53"/>
    <mergeCell ref="F55:G55"/>
    <mergeCell ref="F57:G57"/>
    <mergeCell ref="F59:G59"/>
    <mergeCell ref="F149:G149"/>
    <mergeCell ref="F150:G150"/>
    <mergeCell ref="A67:G68"/>
    <mergeCell ref="B70:G71"/>
    <mergeCell ref="B128:G129"/>
    <mergeCell ref="B77:G78"/>
    <mergeCell ref="B80:G80"/>
    <mergeCell ref="B82:G82"/>
    <mergeCell ref="B99:G100"/>
    <mergeCell ref="B85:G86"/>
    <mergeCell ref="B88:G89"/>
    <mergeCell ref="B91:G92"/>
    <mergeCell ref="B94:G95"/>
    <mergeCell ref="A133:G133"/>
    <mergeCell ref="F144:G144"/>
    <mergeCell ref="F145:G145"/>
    <mergeCell ref="F146:G146"/>
    <mergeCell ref="F147:G147"/>
    <mergeCell ref="F148:G148"/>
    <mergeCell ref="C207:E207"/>
    <mergeCell ref="B212:G213"/>
    <mergeCell ref="B202:G203"/>
    <mergeCell ref="D158:E158"/>
    <mergeCell ref="D157:E157"/>
    <mergeCell ref="C204:E204"/>
    <mergeCell ref="B205:G206"/>
    <mergeCell ref="F151:G151"/>
    <mergeCell ref="F152:G152"/>
    <mergeCell ref="F153:G153"/>
    <mergeCell ref="F154:G154"/>
    <mergeCell ref="F155:G155"/>
    <mergeCell ref="D154:E154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55:E155"/>
    <mergeCell ref="D149:E149"/>
    <mergeCell ref="D150:E150"/>
    <mergeCell ref="D151:E151"/>
    <mergeCell ref="D152:E152"/>
    <mergeCell ref="D153:E153"/>
  </mergeCells>
  <conditionalFormatting sqref="A135:B155 F135:F155">
    <cfRule type="cellIs" dxfId="2" priority="11" operator="equal">
      <formula>0</formula>
    </cfRule>
  </conditionalFormatting>
  <conditionalFormatting sqref="C135:D155">
    <cfRule type="cellIs" dxfId="1" priority="3" operator="equal">
      <formula>0</formula>
    </cfRule>
  </conditionalFormatting>
  <conditionalFormatting sqref="D135:D155">
    <cfRule type="containsBlanks" dxfId="0" priority="12">
      <formula>LEN(TRIM(D135))=0</formula>
    </cfRule>
  </conditionalFormatting>
  <dataValidations count="1">
    <dataValidation type="list" allowBlank="1" showInputMessage="1" showErrorMessage="1" sqref="B122 B104 B114 B102 B106 B120 B118 B99 B116 B108:B109" xr:uid="{00000000-0002-0000-0400-000000000000}">
      <formula1>$I$99:$I$123</formula1>
    </dataValidation>
  </dataValidations>
  <printOptions horizontalCentered="1"/>
  <pageMargins left="0.19685039370078741" right="0.19685039370078741" top="1.5748031496062993" bottom="0.78740157480314965" header="0.19685039370078741" footer="0.39370078740157483"/>
  <pageSetup paperSize="9" scale="92" orientation="portrait" r:id="rId1"/>
  <headerFooter differentFirst="1" scaleWithDoc="0" alignWithMargins="0">
    <oddHeader>&amp;L&amp;G</oddHeader>
    <oddFooter>&amp;C&amp;"Arial,Negrita"&amp;9Pecom Servicios Energía S.A.&amp;"Arial,Normal"
Parque Industrial Municipal, Lujan de Cuyo
Ruta Provincial 87 N°8400 Km 10 - 5509 – Perdriel -  Luján de Cuyo-  Mendoza</oddFooter>
    <firstHeader>&amp;C&amp;G</firstHeader>
    <firstFooter>&amp;C&amp;"Arial,Negrita"Pecom Servicios Energía S.A.&amp;"Arial,Normal"
Parque Industrial Municipal, Lujan de Cuyo
Ruta Provincial 87 N°8400 Km 10 - 5509 – Perdriel -  Luján de Cuyo-  Mendoza</firstFooter>
  </headerFooter>
  <rowBreaks count="5" manualBreakCount="5">
    <brk id="38" max="6" man="1"/>
    <brk id="78" max="6" man="1"/>
    <brk id="117" max="6" man="1"/>
    <brk id="159" max="6" man="1"/>
    <brk id="199" max="6" man="1"/>
  </rowBreaks>
  <colBreaks count="1" manualBreakCount="1">
    <brk id="8" max="1048575" man="1"/>
  </col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90"/>
  <sheetViews>
    <sheetView view="pageBreakPreview" topLeftCell="A14" zoomScaleNormal="100" zoomScaleSheetLayoutView="100" workbookViewId="0">
      <selection activeCell="E65" sqref="E65"/>
    </sheetView>
  </sheetViews>
  <sheetFormatPr baseColWidth="10" defaultRowHeight="12.75" x14ac:dyDescent="0.2"/>
  <cols>
    <col min="2" max="2" width="14.7109375" bestFit="1" customWidth="1"/>
    <col min="3" max="3" width="15.42578125" customWidth="1"/>
    <col min="7" max="7" width="16" customWidth="1"/>
    <col min="10" max="10" width="18.42578125" customWidth="1"/>
  </cols>
  <sheetData>
    <row r="2" spans="1:7" ht="15" x14ac:dyDescent="0.2">
      <c r="A2" s="114" t="s">
        <v>172</v>
      </c>
      <c r="B2" s="137">
        <f ca="1">'Ingreso Info'!B11</f>
        <v>45376</v>
      </c>
      <c r="C2" s="115" t="s">
        <v>173</v>
      </c>
      <c r="D2" s="115"/>
      <c r="F2" s="114" t="s">
        <v>174</v>
      </c>
      <c r="G2" s="466" t="e">
        <f>'Ingreso Info'!#REF!</f>
        <v>#REF!</v>
      </c>
    </row>
    <row r="6" spans="1:7" x14ac:dyDescent="0.2">
      <c r="A6" s="114" t="s">
        <v>175</v>
      </c>
      <c r="B6" s="114"/>
      <c r="C6" s="116" t="str">
        <f>'Ingreso Info'!B9</f>
        <v>Bombeo Químico</v>
      </c>
      <c r="D6" s="114"/>
      <c r="E6" s="114"/>
      <c r="F6" s="114" t="s">
        <v>254</v>
      </c>
      <c r="G6" s="116" t="str">
        <f>'Ingreso Info'!B4</f>
        <v>LA.s-399</v>
      </c>
    </row>
    <row r="7" spans="1:7" ht="13.5" thickBot="1" x14ac:dyDescent="0.25"/>
    <row r="8" spans="1:7" ht="18.75" thickBot="1" x14ac:dyDescent="0.3">
      <c r="A8" s="323" t="str">
        <f>IF('Ingreso Info'!B77=0,"",CONCATENATE("TK1 = ",'Ingreso Info'!B77," lts ",'Ingreso Info'!A76," ",'Ingreso Info'!C76))</f>
        <v>TK1 = 9000 lts Dispersante DPB350 3%</v>
      </c>
      <c r="B8" s="117"/>
      <c r="C8" s="118"/>
      <c r="D8" s="119"/>
      <c r="E8" s="323" t="str">
        <f>IF('Ingreso Info'!G77=0,"",CONCATENATE("TK2 = ",'Ingreso Info'!G77," lts ",'Ingreso Info'!F76," ",'Ingreso Info'!H76))</f>
        <v>TK2 = 25000 lts Desincrustante DS562</v>
      </c>
      <c r="F8" s="117"/>
      <c r="G8" s="118"/>
    </row>
    <row r="9" spans="1:7" ht="15.75" thickBot="1" x14ac:dyDescent="0.3">
      <c r="A9" s="120" t="str">
        <f>IF('Ingreso Info'!C79=0,"",CONCATENATE("1 = ",'Ingreso Info'!C79," ",'Ingreso Info'!D79," de ", 'Ingreso Info'!A79))</f>
        <v>1 = 8190 Lts de Agua</v>
      </c>
      <c r="B9" s="121"/>
      <c r="C9" s="122"/>
      <c r="D9" s="123"/>
      <c r="E9" s="124" t="str">
        <f>IF('Ingreso Info'!H79=0,"",CONCATENATE("1 = ",'Ingreso Info'!H79," ",'Ingreso Info'!I79," de ", 'Ingreso Info'!F79))</f>
        <v>1 = 16975 Lts de Agua</v>
      </c>
      <c r="F9" s="121"/>
      <c r="G9" s="122"/>
    </row>
    <row r="10" spans="1:7" ht="15.75" thickBot="1" x14ac:dyDescent="0.3">
      <c r="A10" s="120" t="str">
        <f>IF('Ingreso Info'!C80=0,"",CONCATENATE("2 = ",'Ingreso Info'!C80," ",'Ingreso Info'!D80," de ", 'Ingreso Info'!A80))</f>
        <v>2 = 270 Lts de DPB350</v>
      </c>
      <c r="B10" s="121"/>
      <c r="C10" s="122"/>
      <c r="D10" s="123"/>
      <c r="E10" s="124" t="str">
        <f>IF('Ingreso Info'!H80=0,"",CONCATENATE("2 = ",'Ingreso Info'!H80," ",'Ingreso Info'!I80," de ", 'Ingreso Info'!F80))</f>
        <v>2 = 7500 Lts de QI530</v>
      </c>
      <c r="F10" s="121"/>
      <c r="G10" s="122"/>
    </row>
    <row r="11" spans="1:7" ht="15.75" thickBot="1" x14ac:dyDescent="0.3">
      <c r="A11" s="120" t="str">
        <f>IF('Ingreso Info'!C81=0,"",CONCATENATE("3 = ",'Ingreso Info'!C81," ",'Ingreso Info'!D81," de ", 'Ingreso Info'!A81))</f>
        <v>3 = 90 Lts de IAB8000</v>
      </c>
      <c r="B11" s="121"/>
      <c r="C11" s="122"/>
      <c r="D11" s="123"/>
      <c r="E11" s="124" t="str">
        <f>IF('Ingreso Info'!H81=0,"",CONCATENATE("3 = ",'Ingreso Info'!H81," ",'Ingreso Info'!I81," de ", 'Ingreso Info'!F81))</f>
        <v>3 = 125 Kgs de PHB649</v>
      </c>
      <c r="F11" s="121"/>
      <c r="G11" s="122"/>
    </row>
    <row r="12" spans="1:7" ht="15.75" thickBot="1" x14ac:dyDescent="0.3">
      <c r="A12" s="120" t="str">
        <f>IF('Ingreso Info'!C82=0,"",CONCATENATE("4 = ",'Ingreso Info'!C82," ",'Ingreso Info'!D82," de ", 'Ingreso Info'!A82))</f>
        <v>4 = 450 Lts de SB53</v>
      </c>
      <c r="B12" s="121"/>
      <c r="C12" s="122"/>
      <c r="D12" s="123"/>
      <c r="E12" s="124" t="str">
        <f>IF('Ingreso Info'!H82=0,"",CONCATENATE("4 = ",'Ingreso Info'!H82," ",'Ingreso Info'!I82," de ", 'Ingreso Info'!F82))</f>
        <v>4 = 150 Lts de CY2005</v>
      </c>
      <c r="F12" s="121"/>
      <c r="G12" s="122"/>
    </row>
    <row r="13" spans="1:7" ht="15.75" thickBot="1" x14ac:dyDescent="0.3">
      <c r="A13" s="120" t="str">
        <f>IF('Ingreso Info'!C83=0,"",CONCATENATE("5 = ",'Ingreso Info'!C83," ",'Ingreso Info'!D83," de ", 'Ingreso Info'!A83))</f>
        <v/>
      </c>
      <c r="B13" s="121"/>
      <c r="C13" s="122"/>
      <c r="D13" s="123"/>
      <c r="E13" s="124" t="str">
        <f>IF('Ingreso Info'!H83=0,"",CONCATENATE("5 = ",'Ingreso Info'!H83," ",'Ingreso Info'!I83," de ", 'Ingreso Info'!F83))</f>
        <v>5 = 250 Lts de IAB8000</v>
      </c>
      <c r="F13" s="121"/>
      <c r="G13" s="122"/>
    </row>
    <row r="14" spans="1:7" ht="15.75" thickBot="1" x14ac:dyDescent="0.3">
      <c r="A14" s="120" t="str">
        <f>IF('Ingreso Info'!C84=0,"",CONCATENATE("6 = ",'Ingreso Info'!C84," ",'Ingreso Info'!D84," de ", 'Ingreso Info'!A84))</f>
        <v/>
      </c>
      <c r="B14" s="121"/>
      <c r="C14" s="122"/>
      <c r="D14" s="123"/>
      <c r="E14" s="124" t="str">
        <f>IF('Ingreso Info'!H84=0,"",CONCATENATE("6 = ",'Ingreso Info'!H84," ",'Ingreso Info'!I84," de ", 'Ingreso Info'!F84))</f>
        <v>6 = 125 Lts de DPB350</v>
      </c>
      <c r="F14" s="121"/>
      <c r="G14" s="122"/>
    </row>
    <row r="15" spans="1:7" ht="15.75" thickBot="1" x14ac:dyDescent="0.3">
      <c r="A15" s="123"/>
      <c r="B15" s="123"/>
      <c r="C15" s="123"/>
      <c r="D15" s="123"/>
      <c r="E15" s="123"/>
      <c r="F15" s="123"/>
      <c r="G15" s="123"/>
    </row>
    <row r="16" spans="1:7" ht="18.75" thickBot="1" x14ac:dyDescent="0.3">
      <c r="A16" s="323" t="str">
        <f>IF('Ingreso Info'!B94=0,"",CONCATENATE("TK3 = ",'Ingreso Info'!B94," lts ",'Ingreso Info'!A93," ",'Ingreso Info'!C93))</f>
        <v>TK3 = 15000 lts Desincrustante DS562</v>
      </c>
      <c r="B16" s="117"/>
      <c r="C16" s="118"/>
      <c r="D16" s="125"/>
      <c r="E16" s="323" t="str">
        <f>IF('Ingreso Info'!G94=0,"",CONCATENATE("TK4 = ",'Ingreso Info'!G94," lts ",'Ingreso Info'!F93," ",'Ingreso Info'!H93))</f>
        <v>TK4 = 40000 lts Desincrustante DS561 + HF (3%)</v>
      </c>
      <c r="F16" s="325"/>
      <c r="G16" s="127"/>
    </row>
    <row r="17" spans="1:7" ht="15.75" thickBot="1" x14ac:dyDescent="0.3">
      <c r="A17" s="120" t="str">
        <f>IF('Ingreso Info'!C96=0,"",CONCATENATE("1 = ",'Ingreso Info'!C96," ",'Ingreso Info'!D96," de ", 'Ingreso Info'!A96))</f>
        <v>1 = 10185 Lts de Agua</v>
      </c>
      <c r="B17" s="121"/>
      <c r="C17" s="122"/>
      <c r="D17" s="123"/>
      <c r="E17" s="124" t="str">
        <f>IF('Ingreso Info'!H96=0,"",CONCATENATE("1 = ",'Ingreso Info'!H96," ",'Ingreso Info'!I96," de ", 'Ingreso Info'!F96))</f>
        <v>1 = 21960 Lts de Agua</v>
      </c>
      <c r="F17" s="121"/>
      <c r="G17" s="122"/>
    </row>
    <row r="18" spans="1:7" ht="15.75" thickBot="1" x14ac:dyDescent="0.3">
      <c r="A18" s="120" t="str">
        <f>IF('Ingreso Info'!C97=0,"",CONCATENATE("2 = ",'Ingreso Info'!C97," ",'Ingreso Info'!D97," de ", 'Ingreso Info'!A97))</f>
        <v>2 = 4500 Lts de QI530</v>
      </c>
      <c r="B18" s="121"/>
      <c r="C18" s="122"/>
      <c r="D18" s="123"/>
      <c r="E18" s="124" t="str">
        <f>IF('Ingreso Info'!H97=0,"",CONCATENATE("2 = ",'Ingreso Info'!H97," ",'Ingreso Info'!I97," de ", 'Ingreso Info'!F97))</f>
        <v>2 = 17200 Lts de QI530</v>
      </c>
      <c r="F18" s="121"/>
      <c r="G18" s="122"/>
    </row>
    <row r="19" spans="1:7" ht="15.75" thickBot="1" x14ac:dyDescent="0.3">
      <c r="A19" s="120" t="str">
        <f>IF('Ingreso Info'!C98=0,"",CONCATENATE("3 = ",'Ingreso Info'!C98," ",'Ingreso Info'!D98," de ", 'Ingreso Info'!A98))</f>
        <v>3 = 75 Kgs de PHB649</v>
      </c>
      <c r="B19" s="121"/>
      <c r="C19" s="122"/>
      <c r="D19" s="123"/>
      <c r="E19" s="124" t="str">
        <f>IF('Ingreso Info'!H98=0,"",CONCATENATE("3 = ",'Ingreso Info'!H98," ",'Ingreso Info'!I98," de ", 'Ingreso Info'!F98))</f>
        <v>3 = 200 Kgs de PHB649</v>
      </c>
      <c r="F19" s="121"/>
      <c r="G19" s="122"/>
    </row>
    <row r="20" spans="1:7" ht="15.75" thickBot="1" x14ac:dyDescent="0.3">
      <c r="A20" s="120" t="str">
        <f>IF('Ingreso Info'!C99=0,"",CONCATENATE("4 = ",'Ingreso Info'!C99," ",'Ingreso Info'!D99," de ", 'Ingreso Info'!A99))</f>
        <v>4 = 90 Lts de CY2005</v>
      </c>
      <c r="B20" s="121"/>
      <c r="C20" s="122"/>
      <c r="D20" s="123"/>
      <c r="E20" s="124" t="str">
        <f>IF('Ingreso Info'!H99=0,"",CONCATENATE("4 = ",'Ingreso Info'!H99," ",'Ingreso Info'!I99," de ", 'Ingreso Info'!F99))</f>
        <v>4 = 240 Lts de CY2005</v>
      </c>
      <c r="F20" s="121"/>
      <c r="G20" s="122"/>
    </row>
    <row r="21" spans="1:7" ht="15.75" thickBot="1" x14ac:dyDescent="0.3">
      <c r="A21" s="120" t="str">
        <f>IF('Ingreso Info'!C100=0,"",CONCATENATE("5 = ",'Ingreso Info'!C100," ",'Ingreso Info'!D100," de ", 'Ingreso Info'!A100))</f>
        <v>5 = 150 Lts de IAB8000</v>
      </c>
      <c r="B21" s="121"/>
      <c r="C21" s="122"/>
      <c r="D21" s="123"/>
      <c r="E21" s="124" t="str">
        <f>IF('Ingreso Info'!H100=0,"",CONCATENATE("5 = ",'Ingreso Info'!H100," ",'Ingreso Info'!I100," de ", 'Ingreso Info'!F100))</f>
        <v>5 = 400 Lts de IAB8000</v>
      </c>
      <c r="F21" s="121"/>
      <c r="G21" s="122"/>
    </row>
    <row r="22" spans="1:7" ht="15.75" thickBot="1" x14ac:dyDescent="0.3">
      <c r="A22" s="120" t="str">
        <f>IF('Ingreso Info'!C101=0,"",CONCATENATE("6 = ",'Ingreso Info'!C101," ",'Ingreso Info'!D101," de ", 'Ingreso Info'!A101))</f>
        <v>6 = 75 Lts de DPB350</v>
      </c>
      <c r="B22" s="121"/>
      <c r="C22" s="122"/>
      <c r="D22" s="123"/>
      <c r="E22" s="124" t="str">
        <f>IF('Ingreso Info'!H101=0,"",CONCATENATE("6 = ",'Ingreso Info'!H101," ",'Ingreso Info'!I101," de ", 'Ingreso Info'!F101))</f>
        <v>6 = 2000 Kgs de QI421 Bifloruro de Amonio (BF)</v>
      </c>
      <c r="F22" s="121"/>
      <c r="G22" s="122"/>
    </row>
    <row r="23" spans="1:7" ht="13.5" thickBot="1" x14ac:dyDescent="0.25"/>
    <row r="24" spans="1:7" ht="15.75" thickBot="1" x14ac:dyDescent="0.3">
      <c r="A24" s="324" t="str">
        <f>IF('Ingreso Info'!B111=0,"",CONCATENATE("TK5 = ",'Ingreso Info'!B111," lts ",'Ingreso Info'!A110," ",'Ingreso Info'!C110))</f>
        <v xml:space="preserve">TK5 = 10000 lts  </v>
      </c>
      <c r="B24" s="129"/>
      <c r="C24" s="130"/>
      <c r="D24" s="131"/>
      <c r="E24" s="323" t="str">
        <f>IF('Ingreso Info'!G110=0,"",CONCATENATE("TK6 = ",'Ingreso Info'!G110," lts ",'Ingreso Info'!F109," ",'Ingreso Info'!H109))</f>
        <v/>
      </c>
      <c r="F24" s="129"/>
      <c r="G24" s="130"/>
    </row>
    <row r="25" spans="1:7" ht="15.75" thickBot="1" x14ac:dyDescent="0.3">
      <c r="A25" s="120" t="str">
        <f>IF('Ingreso Info'!C113=0,"",CONCATENATE("1 = ",'Ingreso Info'!C113," ",'Ingreso Info'!D113," de ", 'Ingreso Info'!A113))</f>
        <v>1 = 10000 Lts de Agua</v>
      </c>
      <c r="B25" s="121"/>
      <c r="C25" s="122"/>
      <c r="D25" s="123"/>
      <c r="E25" s="124" t="str">
        <f>IF('Ingreso Info'!H113=0,"",CONCATENATE("1 = ",'Ingreso Info'!H113," ",'Ingreso Info'!I112," de ", 'Ingreso Info'!F113))</f>
        <v/>
      </c>
      <c r="F25" s="121"/>
      <c r="G25" s="122"/>
    </row>
    <row r="26" spans="1:7" ht="15.75" thickBot="1" x14ac:dyDescent="0.3">
      <c r="A26" s="120" t="str">
        <f>IF('Ingreso Info'!C114=0,"",CONCATENATE("2 = ",'Ingreso Info'!C114," ",'Ingreso Info'!D114," de ", 'Ingreso Info'!A114))</f>
        <v/>
      </c>
      <c r="B26" s="121"/>
      <c r="C26" s="122"/>
      <c r="D26" s="123"/>
      <c r="E26" s="124" t="str">
        <f>IF('Ingreso Info'!H114=0,"",CONCATENATE("2 = ",'Ingreso Info'!H114," ",'Ingreso Info'!I113," de ", 'Ingreso Info'!F114))</f>
        <v/>
      </c>
      <c r="F26" s="121"/>
      <c r="G26" s="122"/>
    </row>
    <row r="27" spans="1:7" ht="15.75" thickBot="1" x14ac:dyDescent="0.3">
      <c r="A27" s="120" t="str">
        <f>IF('Ingreso Info'!C115=0,"",CONCATENATE("3 = ",'Ingreso Info'!C115," ",'Ingreso Info'!D115," de ", 'Ingreso Info'!A115))</f>
        <v/>
      </c>
      <c r="B27" s="121"/>
      <c r="C27" s="122"/>
      <c r="D27" s="123"/>
      <c r="E27" s="124" t="str">
        <f>IF('Ingreso Info'!H115=0,"",CONCATENATE("3 = ",'Ingreso Info'!H115," ",'Ingreso Info'!I114," de ", 'Ingreso Info'!F115))</f>
        <v/>
      </c>
      <c r="F27" s="121"/>
      <c r="G27" s="122"/>
    </row>
    <row r="28" spans="1:7" ht="15.75" thickBot="1" x14ac:dyDescent="0.3">
      <c r="A28" s="120" t="str">
        <f>IF('Ingreso Info'!C116=0,"",CONCATENATE("4 = ",'Ingreso Info'!C116," ",'Ingreso Info'!D116," de ", 'Ingreso Info'!A116))</f>
        <v/>
      </c>
      <c r="B28" s="121"/>
      <c r="C28" s="122"/>
      <c r="D28" s="123"/>
      <c r="E28" s="124" t="str">
        <f>IF('Ingreso Info'!H116=0,"",CONCATENATE("3 = ",'Ingreso Info'!H116," ",'Ingreso Info'!I115," de ", 'Ingreso Info'!F116))</f>
        <v/>
      </c>
      <c r="F28" s="121"/>
      <c r="G28" s="122"/>
    </row>
    <row r="29" spans="1:7" ht="15.75" thickBot="1" x14ac:dyDescent="0.3">
      <c r="A29" s="120" t="str">
        <f>IF('Ingreso Info'!C117=0,"",CONCATENATE("5 = ",'Ingreso Info'!C117," ",'Ingreso Info'!D117," de ", 'Ingreso Info'!A117))</f>
        <v/>
      </c>
      <c r="B29" s="121"/>
      <c r="C29" s="122"/>
      <c r="D29" s="123"/>
      <c r="E29" s="124" t="str">
        <f>IF('Ingreso Info'!H117=0,"",CONCATENATE("4 = ",'Ingreso Info'!H117," ",'Ingreso Info'!I116," de ", 'Ingreso Info'!F117))</f>
        <v/>
      </c>
      <c r="F29" s="121"/>
      <c r="G29" s="122"/>
    </row>
    <row r="30" spans="1:7" ht="15.75" thickBot="1" x14ac:dyDescent="0.3">
      <c r="A30" s="120" t="str">
        <f>IF('Ingreso Info'!C118=0,"",CONCATENATE("6 = ",'Ingreso Info'!C118," ",'Ingreso Info'!D118," de ", 'Ingreso Info'!A118))</f>
        <v/>
      </c>
      <c r="B30" s="51"/>
      <c r="C30" s="52"/>
      <c r="E30" s="124" t="str">
        <f>IF('Ingreso Info'!H118=0,"",CONCATENATE("1 = ",'Ingreso Info'!H118," ",'Ingreso Info'!I117," de ", 'Ingreso Info'!F118))</f>
        <v/>
      </c>
      <c r="F30" s="51"/>
      <c r="G30" s="52"/>
    </row>
    <row r="31" spans="1:7" ht="13.5" thickBot="1" x14ac:dyDescent="0.25"/>
    <row r="32" spans="1:7" ht="13.5" thickBot="1" x14ac:dyDescent="0.25">
      <c r="A32" s="61" t="str">
        <f>A8</f>
        <v>TK1 = 9000 lts Dispersante DPB350 3%</v>
      </c>
      <c r="B32" s="133"/>
      <c r="C32" s="133"/>
      <c r="D32" s="133"/>
      <c r="E32" s="133"/>
      <c r="F32" s="133"/>
      <c r="G32" s="134"/>
    </row>
    <row r="33" spans="1:10" ht="13.5" thickBot="1" x14ac:dyDescent="0.25">
      <c r="A33" s="61" t="str">
        <f>E8</f>
        <v>TK2 = 25000 lts Desincrustante DS562</v>
      </c>
      <c r="B33" s="133"/>
      <c r="C33" s="133"/>
      <c r="D33" s="133"/>
      <c r="E33" s="133"/>
      <c r="F33" s="133"/>
      <c r="G33" s="134"/>
    </row>
    <row r="34" spans="1:10" ht="13.5" thickBot="1" x14ac:dyDescent="0.25">
      <c r="A34" s="61" t="str">
        <f>A16</f>
        <v>TK3 = 15000 lts Desincrustante DS562</v>
      </c>
      <c r="B34" s="133"/>
      <c r="C34" s="133"/>
      <c r="D34" s="133"/>
      <c r="E34" s="133"/>
      <c r="F34" s="133"/>
      <c r="G34" s="134"/>
    </row>
    <row r="35" spans="1:10" ht="13.5" thickBot="1" x14ac:dyDescent="0.25">
      <c r="A35" s="61" t="str">
        <f>E16</f>
        <v>TK4 = 40000 lts Desincrustante DS561 + HF (3%)</v>
      </c>
      <c r="B35" s="133"/>
      <c r="C35" s="133"/>
      <c r="D35" s="133"/>
      <c r="E35" s="133"/>
      <c r="F35" s="133"/>
      <c r="G35" s="134"/>
    </row>
    <row r="36" spans="1:10" ht="13.5" thickBot="1" x14ac:dyDescent="0.25">
      <c r="A36" s="61" t="str">
        <f>A24</f>
        <v xml:space="preserve">TK5 = 10000 lts  </v>
      </c>
      <c r="B36" s="133"/>
      <c r="C36" s="133"/>
      <c r="D36" s="133"/>
      <c r="E36" s="133"/>
      <c r="F36" s="133"/>
      <c r="G36" s="134"/>
    </row>
    <row r="37" spans="1:10" ht="13.5" thickBot="1" x14ac:dyDescent="0.25">
      <c r="A37" s="61" t="str">
        <f>E24</f>
        <v/>
      </c>
      <c r="B37" s="133"/>
      <c r="C37" s="133"/>
      <c r="D37" s="133"/>
      <c r="E37" s="133"/>
      <c r="F37" s="133"/>
      <c r="G37" s="134"/>
    </row>
    <row r="38" spans="1:10" x14ac:dyDescent="0.2">
      <c r="J38" s="330" t="s">
        <v>56</v>
      </c>
    </row>
    <row r="39" spans="1:10" x14ac:dyDescent="0.2">
      <c r="A39" s="1" t="s">
        <v>183</v>
      </c>
      <c r="B39" s="1"/>
      <c r="C39" s="1"/>
      <c r="E39" s="1" t="s">
        <v>184</v>
      </c>
      <c r="F39" s="465" t="s">
        <v>60</v>
      </c>
      <c r="G39" s="1"/>
      <c r="J39" s="100" t="s">
        <v>51</v>
      </c>
    </row>
    <row r="40" spans="1:10" x14ac:dyDescent="0.2">
      <c r="F40" s="465" t="s">
        <v>478</v>
      </c>
      <c r="J40" s="100" t="s">
        <v>57</v>
      </c>
    </row>
    <row r="41" spans="1:10" x14ac:dyDescent="0.2">
      <c r="E41" s="1" t="s">
        <v>476</v>
      </c>
      <c r="F41" s="1"/>
      <c r="J41" s="100" t="s">
        <v>477</v>
      </c>
    </row>
    <row r="42" spans="1:10" x14ac:dyDescent="0.2">
      <c r="J42" s="100" t="s">
        <v>58</v>
      </c>
    </row>
    <row r="43" spans="1:10" ht="15" x14ac:dyDescent="0.2">
      <c r="A43" s="114" t="s">
        <v>172</v>
      </c>
      <c r="B43" s="137">
        <f ca="1">B2</f>
        <v>45376</v>
      </c>
      <c r="C43" s="115" t="s">
        <v>173</v>
      </c>
      <c r="D43" s="115"/>
      <c r="E43" s="115"/>
      <c r="F43" s="114" t="s">
        <v>185</v>
      </c>
      <c r="G43" s="116" t="e">
        <f>'Ingreso Info'!#REF!</f>
        <v>#REF!</v>
      </c>
      <c r="J43" s="100" t="s">
        <v>59</v>
      </c>
    </row>
    <row r="44" spans="1:10" x14ac:dyDescent="0.2">
      <c r="J44" s="100" t="s">
        <v>60</v>
      </c>
    </row>
    <row r="45" spans="1:10" x14ac:dyDescent="0.2">
      <c r="J45" s="100" t="s">
        <v>61</v>
      </c>
    </row>
    <row r="46" spans="1:10" x14ac:dyDescent="0.2">
      <c r="J46" s="100" t="s">
        <v>62</v>
      </c>
    </row>
    <row r="47" spans="1:10" x14ac:dyDescent="0.2">
      <c r="J47" s="100"/>
    </row>
    <row r="48" spans="1:10" x14ac:dyDescent="0.2">
      <c r="J48" s="100" t="s">
        <v>63</v>
      </c>
    </row>
    <row r="49" spans="1:10" x14ac:dyDescent="0.2">
      <c r="J49" s="100" t="s">
        <v>441</v>
      </c>
    </row>
    <row r="50" spans="1:10" x14ac:dyDescent="0.2">
      <c r="J50" s="100" t="s">
        <v>478</v>
      </c>
    </row>
    <row r="51" spans="1:10" x14ac:dyDescent="0.2">
      <c r="J51" s="102"/>
    </row>
    <row r="52" spans="1:10" x14ac:dyDescent="0.2">
      <c r="A52" s="114" t="s">
        <v>175</v>
      </c>
      <c r="B52" s="114"/>
      <c r="C52" s="116" t="str">
        <f>C6</f>
        <v>Bombeo Químico</v>
      </c>
      <c r="D52" s="114"/>
      <c r="E52" s="114"/>
      <c r="F52" s="114" t="s">
        <v>254</v>
      </c>
      <c r="G52" s="116" t="str">
        <f>G6</f>
        <v>LA.s-399</v>
      </c>
      <c r="J52" s="330" t="s">
        <v>419</v>
      </c>
    </row>
    <row r="53" spans="1:10" ht="13.5" thickBot="1" x14ac:dyDescent="0.25">
      <c r="J53" s="100" t="s">
        <v>420</v>
      </c>
    </row>
    <row r="54" spans="1:10" ht="18.75" thickBot="1" x14ac:dyDescent="0.3">
      <c r="A54" s="323" t="s">
        <v>345</v>
      </c>
      <c r="B54" s="135"/>
      <c r="C54" s="118"/>
      <c r="D54" s="119"/>
      <c r="E54" s="323" t="s">
        <v>347</v>
      </c>
      <c r="F54" s="126"/>
      <c r="G54" s="118"/>
      <c r="J54" s="100" t="s">
        <v>421</v>
      </c>
    </row>
    <row r="55" spans="1:10" ht="15.75" thickBot="1" x14ac:dyDescent="0.3">
      <c r="A55" s="124" t="s">
        <v>346</v>
      </c>
      <c r="B55" s="121"/>
      <c r="C55" s="122"/>
      <c r="D55" s="123"/>
      <c r="E55" s="124" t="s">
        <v>186</v>
      </c>
      <c r="F55" s="121"/>
      <c r="G55" s="122"/>
      <c r="J55" s="100" t="s">
        <v>422</v>
      </c>
    </row>
    <row r="56" spans="1:10" ht="15.75" thickBot="1" x14ac:dyDescent="0.3">
      <c r="A56" s="124" t="s">
        <v>348</v>
      </c>
      <c r="B56" s="121"/>
      <c r="C56" s="122"/>
      <c r="D56" s="123"/>
      <c r="E56" s="124" t="s">
        <v>322</v>
      </c>
      <c r="F56" s="121"/>
      <c r="G56" s="122"/>
      <c r="J56" s="102" t="s">
        <v>320</v>
      </c>
    </row>
    <row r="57" spans="1:10" ht="15.75" thickBot="1" x14ac:dyDescent="0.3">
      <c r="A57" s="124" t="s">
        <v>319</v>
      </c>
      <c r="B57" s="121"/>
      <c r="C57" s="122"/>
      <c r="D57" s="123"/>
      <c r="E57" s="124" t="s">
        <v>319</v>
      </c>
      <c r="F57" s="121"/>
      <c r="G57" s="122"/>
    </row>
    <row r="58" spans="1:10" ht="15.75" thickBot="1" x14ac:dyDescent="0.3">
      <c r="A58" s="124" t="s">
        <v>319</v>
      </c>
      <c r="B58" s="121"/>
      <c r="C58" s="122"/>
      <c r="D58" s="123"/>
      <c r="E58" s="124" t="s">
        <v>319</v>
      </c>
      <c r="F58" s="121"/>
      <c r="G58" s="122"/>
    </row>
    <row r="59" spans="1:10" ht="15.75" thickBot="1" x14ac:dyDescent="0.3">
      <c r="A59" s="124" t="s">
        <v>319</v>
      </c>
      <c r="B59" s="121"/>
      <c r="C59" s="122"/>
      <c r="D59" s="123"/>
      <c r="E59" s="124" t="s">
        <v>319</v>
      </c>
      <c r="F59" s="121"/>
      <c r="G59" s="122"/>
    </row>
    <row r="60" spans="1:10" ht="15.75" thickBot="1" x14ac:dyDescent="0.3">
      <c r="A60" s="124" t="s">
        <v>319</v>
      </c>
      <c r="B60" s="121"/>
      <c r="C60" s="122"/>
      <c r="D60" s="123"/>
      <c r="E60" s="124" t="s">
        <v>319</v>
      </c>
      <c r="F60" s="121"/>
      <c r="G60" s="122"/>
    </row>
    <row r="61" spans="1:10" ht="15" x14ac:dyDescent="0.25">
      <c r="A61" s="123"/>
      <c r="B61" s="123"/>
      <c r="C61" s="123"/>
      <c r="D61" s="123"/>
      <c r="E61" s="123"/>
      <c r="F61" s="123"/>
      <c r="G61" s="123"/>
    </row>
    <row r="62" spans="1:10" ht="15.75" thickBot="1" x14ac:dyDescent="0.3">
      <c r="A62" s="123"/>
      <c r="B62" s="123"/>
      <c r="C62" s="123"/>
      <c r="D62" s="123"/>
      <c r="E62" s="123"/>
      <c r="F62" s="123"/>
      <c r="G62" s="123"/>
    </row>
    <row r="63" spans="1:10" ht="18.75" thickBot="1" x14ac:dyDescent="0.3">
      <c r="A63" s="323" t="s">
        <v>321</v>
      </c>
      <c r="B63" s="126"/>
      <c r="C63" s="118"/>
      <c r="D63" s="125"/>
      <c r="E63" s="323" t="s">
        <v>323</v>
      </c>
      <c r="F63" s="136"/>
      <c r="G63" s="127"/>
    </row>
    <row r="64" spans="1:10" ht="15.75" thickBot="1" x14ac:dyDescent="0.3">
      <c r="A64" s="124" t="s">
        <v>186</v>
      </c>
      <c r="B64" s="121"/>
      <c r="C64" s="122"/>
      <c r="D64" s="123"/>
      <c r="E64" s="124" t="s">
        <v>176</v>
      </c>
      <c r="F64" s="121"/>
      <c r="G64" s="122"/>
    </row>
    <row r="65" spans="1:7" ht="15.75" thickBot="1" x14ac:dyDescent="0.3">
      <c r="A65" s="124" t="s">
        <v>322</v>
      </c>
      <c r="B65" s="121"/>
      <c r="C65" s="122"/>
      <c r="D65" s="123"/>
      <c r="E65" s="124" t="s">
        <v>177</v>
      </c>
      <c r="F65" s="121"/>
      <c r="G65" s="122"/>
    </row>
    <row r="66" spans="1:7" ht="15.75" thickBot="1" x14ac:dyDescent="0.3">
      <c r="A66" s="124"/>
      <c r="B66" s="121"/>
      <c r="C66" s="122"/>
      <c r="D66" s="123"/>
      <c r="E66" s="124" t="s">
        <v>178</v>
      </c>
      <c r="F66" s="121"/>
      <c r="G66" s="122"/>
    </row>
    <row r="67" spans="1:7" ht="15.75" thickBot="1" x14ac:dyDescent="0.3">
      <c r="A67" s="124" t="s">
        <v>319</v>
      </c>
      <c r="B67" s="121"/>
      <c r="C67" s="122"/>
      <c r="D67" s="123"/>
      <c r="E67" s="124" t="s">
        <v>179</v>
      </c>
      <c r="F67" s="121"/>
      <c r="G67" s="122"/>
    </row>
    <row r="68" spans="1:7" ht="15.75" thickBot="1" x14ac:dyDescent="0.3">
      <c r="A68" s="124" t="s">
        <v>319</v>
      </c>
      <c r="B68" s="121"/>
      <c r="C68" s="122"/>
      <c r="D68" s="123"/>
      <c r="E68" s="124" t="s">
        <v>180</v>
      </c>
      <c r="F68" s="121"/>
      <c r="G68" s="122"/>
    </row>
    <row r="69" spans="1:7" ht="15.75" thickBot="1" x14ac:dyDescent="0.3">
      <c r="A69" s="124" t="s">
        <v>319</v>
      </c>
      <c r="B69" s="121"/>
      <c r="C69" s="122"/>
      <c r="D69" s="123"/>
      <c r="E69" s="124"/>
      <c r="F69" s="121"/>
      <c r="G69" s="122"/>
    </row>
    <row r="71" spans="1:7" ht="13.5" thickBot="1" x14ac:dyDescent="0.25"/>
    <row r="72" spans="1:7" ht="15.75" thickBot="1" x14ac:dyDescent="0.3">
      <c r="A72" s="128" t="s">
        <v>181</v>
      </c>
      <c r="B72" s="129"/>
      <c r="C72" s="130"/>
      <c r="D72" s="131"/>
      <c r="E72" s="128" t="s">
        <v>182</v>
      </c>
      <c r="F72" s="129"/>
      <c r="G72" s="130"/>
    </row>
    <row r="73" spans="1:7" ht="15.75" thickBot="1" x14ac:dyDescent="0.3">
      <c r="A73" s="124" t="s">
        <v>176</v>
      </c>
      <c r="B73" s="121"/>
      <c r="C73" s="122"/>
      <c r="D73" s="123"/>
      <c r="E73" s="124" t="s">
        <v>176</v>
      </c>
      <c r="F73" s="121"/>
      <c r="G73" s="122"/>
    </row>
    <row r="74" spans="1:7" ht="15.75" thickBot="1" x14ac:dyDescent="0.3">
      <c r="A74" s="124" t="s">
        <v>177</v>
      </c>
      <c r="B74" s="121"/>
      <c r="C74" s="122"/>
      <c r="D74" s="123"/>
      <c r="E74" s="124" t="s">
        <v>177</v>
      </c>
      <c r="F74" s="121"/>
      <c r="G74" s="122"/>
    </row>
    <row r="75" spans="1:7" ht="15.75" thickBot="1" x14ac:dyDescent="0.3">
      <c r="A75" s="124" t="s">
        <v>178</v>
      </c>
      <c r="B75" s="121"/>
      <c r="C75" s="122"/>
      <c r="D75" s="123"/>
      <c r="E75" s="124" t="s">
        <v>178</v>
      </c>
      <c r="F75" s="121"/>
      <c r="G75" s="122"/>
    </row>
    <row r="76" spans="1:7" ht="15.75" thickBot="1" x14ac:dyDescent="0.3">
      <c r="A76" s="124" t="s">
        <v>179</v>
      </c>
      <c r="B76" s="121"/>
      <c r="C76" s="122"/>
      <c r="D76" s="123"/>
      <c r="E76" s="124" t="s">
        <v>179</v>
      </c>
      <c r="F76" s="121"/>
      <c r="G76" s="122"/>
    </row>
    <row r="77" spans="1:7" ht="15.75" thickBot="1" x14ac:dyDescent="0.3">
      <c r="A77" s="124" t="s">
        <v>180</v>
      </c>
      <c r="B77" s="121"/>
      <c r="C77" s="122"/>
      <c r="D77" s="123"/>
      <c r="E77" s="124" t="s">
        <v>180</v>
      </c>
      <c r="F77" s="121"/>
      <c r="G77" s="122"/>
    </row>
    <row r="78" spans="1:7" ht="13.5" thickBot="1" x14ac:dyDescent="0.25">
      <c r="A78" s="132"/>
      <c r="B78" s="51"/>
      <c r="C78" s="52"/>
      <c r="E78" s="132"/>
      <c r="F78" s="51"/>
      <c r="G78" s="52"/>
    </row>
    <row r="79" spans="1:7" ht="13.5" thickBot="1" x14ac:dyDescent="0.25"/>
    <row r="80" spans="1:7" ht="13.5" hidden="1" thickBot="1" x14ac:dyDescent="0.25"/>
    <row r="81" spans="1:7" ht="13.5" thickBot="1" x14ac:dyDescent="0.25">
      <c r="A81" s="61" t="str">
        <f>A54</f>
        <v>TK1 = 8000 lts Agua + KCl</v>
      </c>
      <c r="B81" s="133"/>
      <c r="C81" s="133"/>
      <c r="D81" s="133"/>
      <c r="E81" s="133"/>
      <c r="F81" s="133"/>
      <c r="G81" s="134"/>
    </row>
    <row r="82" spans="1:7" ht="13.5" thickBot="1" x14ac:dyDescent="0.25">
      <c r="A82" s="61" t="str">
        <f>E54</f>
        <v xml:space="preserve">TK2 = </v>
      </c>
      <c r="B82" s="133"/>
      <c r="C82" s="133"/>
      <c r="D82" s="133"/>
      <c r="E82" s="133"/>
      <c r="F82" s="133"/>
      <c r="G82" s="134"/>
    </row>
    <row r="83" spans="1:7" ht="13.5" thickBot="1" x14ac:dyDescent="0.25">
      <c r="A83" s="61" t="str">
        <f>A63</f>
        <v>TK3 =</v>
      </c>
      <c r="B83" s="133"/>
      <c r="C83" s="133"/>
      <c r="D83" s="133"/>
      <c r="E83" s="133"/>
      <c r="F83" s="133"/>
      <c r="G83" s="134"/>
    </row>
    <row r="84" spans="1:7" ht="13.5" thickBot="1" x14ac:dyDescent="0.25">
      <c r="A84" s="61" t="str">
        <f>E63</f>
        <v>TK4 =</v>
      </c>
      <c r="B84" s="133"/>
      <c r="C84" s="133"/>
      <c r="D84" s="133"/>
      <c r="E84" s="133"/>
      <c r="F84" s="133"/>
      <c r="G84" s="134"/>
    </row>
    <row r="85" spans="1:7" ht="13.5" thickBot="1" x14ac:dyDescent="0.25">
      <c r="A85" s="61" t="str">
        <f>A72</f>
        <v xml:space="preserve">TK-5 = </v>
      </c>
      <c r="B85" s="133"/>
      <c r="C85" s="133"/>
      <c r="D85" s="133"/>
      <c r="E85" s="133"/>
      <c r="F85" s="133"/>
      <c r="G85" s="134"/>
    </row>
    <row r="86" spans="1:7" ht="13.5" thickBot="1" x14ac:dyDescent="0.25">
      <c r="A86" s="61" t="str">
        <f>E72</f>
        <v xml:space="preserve">TK-6 = </v>
      </c>
      <c r="B86" s="133"/>
      <c r="C86" s="133"/>
      <c r="D86" s="133"/>
      <c r="E86" s="133"/>
      <c r="F86" s="133"/>
      <c r="G86" s="134"/>
    </row>
    <row r="89" spans="1:7" x14ac:dyDescent="0.2">
      <c r="A89" s="1" t="s">
        <v>183</v>
      </c>
      <c r="B89" s="1">
        <f>B39</f>
        <v>0</v>
      </c>
      <c r="C89" s="1"/>
      <c r="E89" s="1" t="s">
        <v>184</v>
      </c>
      <c r="F89" s="1" t="str">
        <f>F39</f>
        <v>Ponce Daniel</v>
      </c>
      <c r="G89" s="1"/>
    </row>
    <row r="90" spans="1:7" x14ac:dyDescent="0.2">
      <c r="F90" s="1" t="str">
        <f>F40</f>
        <v>Vazquez Diego</v>
      </c>
    </row>
  </sheetData>
  <phoneticPr fontId="0" type="noConversion"/>
  <conditionalFormatting sqref="B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B39" xr:uid="{00000000-0002-0000-0500-000000000000}">
      <formula1>$J$53:$J$56</formula1>
    </dataValidation>
    <dataValidation type="list" allowBlank="1" showInputMessage="1" showErrorMessage="1" sqref="F39:F41" xr:uid="{00000000-0002-0000-0500-000001000000}">
      <formula1>$J$38:$J$51</formula1>
    </dataValidation>
  </dataValidations>
  <printOptions horizontalCentered="1"/>
  <pageMargins left="0.19685039370078741" right="0.19685039370078741" top="1.5748031496062993" bottom="1.1811023622047245" header="0.59055118110236227" footer="0.39370078740157483"/>
  <pageSetup paperSize="9" orientation="portrait" r:id="rId1"/>
  <headerFooter scaleWithDoc="0" alignWithMargins="0">
    <oddHeader>&amp;L&amp;G</oddHeader>
    <oddFooter>&amp;CBolland y Cía. S.A. Tte. Gral. J. D. Perón 925 – 6° Piso C1038AAS Buenos Aires, Argentina
Tel/Fax: 4320-7500
&amp;9&amp;K03-023www.bolland.com.ar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T110"/>
  <sheetViews>
    <sheetView view="pageBreakPreview" zoomScaleNormal="100" zoomScaleSheetLayoutView="100" workbookViewId="0">
      <selection activeCell="A92" sqref="A92"/>
    </sheetView>
  </sheetViews>
  <sheetFormatPr baseColWidth="10" defaultRowHeight="12.75" x14ac:dyDescent="0.2"/>
  <cols>
    <col min="1" max="1" width="11.42578125" style="573"/>
    <col min="2" max="2" width="1.42578125" style="455" customWidth="1"/>
    <col min="3" max="3" width="6.42578125" style="455" customWidth="1"/>
    <col min="4" max="4" width="15.7109375" style="455" customWidth="1"/>
    <col min="5" max="5" width="24.140625" style="455" customWidth="1"/>
    <col min="6" max="6" width="11.42578125" style="455"/>
    <col min="7" max="8" width="9.140625" style="455" customWidth="1"/>
    <col min="9" max="9" width="12.7109375" style="455" customWidth="1"/>
    <col min="10" max="10" width="10.7109375" style="455" customWidth="1"/>
    <col min="11" max="11" width="1.42578125" style="455" customWidth="1"/>
    <col min="12" max="12" width="28" style="455" bestFit="1" customWidth="1"/>
    <col min="13" max="14" width="10.85546875" style="455" bestFit="1" customWidth="1"/>
    <col min="15" max="15" width="46.28515625" style="455" customWidth="1"/>
    <col min="16" max="16" width="11.85546875" style="455" bestFit="1" customWidth="1"/>
    <col min="17" max="17" width="7.28515625" style="455" bestFit="1" customWidth="1"/>
    <col min="18" max="18" width="5.7109375" style="455" bestFit="1" customWidth="1"/>
    <col min="19" max="19" width="14.28515625" style="455" bestFit="1" customWidth="1"/>
    <col min="20" max="20" width="7.140625" style="455" bestFit="1" customWidth="1"/>
    <col min="21" max="16384" width="11.42578125" style="455"/>
  </cols>
  <sheetData>
    <row r="1" spans="1:16" x14ac:dyDescent="0.2">
      <c r="A1" s="573" t="s">
        <v>634</v>
      </c>
    </row>
    <row r="2" spans="1:16" ht="18" x14ac:dyDescent="0.25">
      <c r="A2" s="573" t="s">
        <v>634</v>
      </c>
      <c r="D2" s="723" t="s">
        <v>608</v>
      </c>
      <c r="E2" s="723"/>
      <c r="F2" s="723"/>
      <c r="G2" s="723"/>
      <c r="H2" s="723"/>
      <c r="I2" s="723"/>
      <c r="J2" s="723"/>
    </row>
    <row r="3" spans="1:16" x14ac:dyDescent="0.2">
      <c r="A3" s="573" t="s">
        <v>634</v>
      </c>
    </row>
    <row r="4" spans="1:16" x14ac:dyDescent="0.2">
      <c r="A4" s="573" t="s">
        <v>634</v>
      </c>
      <c r="L4" s="456"/>
      <c r="M4" s="457"/>
    </row>
    <row r="5" spans="1:16" ht="14.25" x14ac:dyDescent="0.2">
      <c r="A5" s="573" t="s">
        <v>634</v>
      </c>
      <c r="C5" s="725" t="s">
        <v>0</v>
      </c>
      <c r="D5" s="726"/>
      <c r="E5" s="496" t="str">
        <f>'Ingreso Info'!B3</f>
        <v>Lindero Atravesado</v>
      </c>
      <c r="F5" s="497"/>
      <c r="G5" s="497"/>
      <c r="H5" s="497"/>
      <c r="I5" s="497"/>
      <c r="J5" s="497"/>
      <c r="L5" s="458"/>
    </row>
    <row r="6" spans="1:16" ht="14.25" x14ac:dyDescent="0.2">
      <c r="A6" s="573" t="s">
        <v>634</v>
      </c>
      <c r="C6" s="725" t="s">
        <v>1</v>
      </c>
      <c r="D6" s="726"/>
      <c r="E6" s="496" t="str">
        <f>'Ingreso Info'!B4</f>
        <v>LA.s-399</v>
      </c>
      <c r="F6" s="497"/>
      <c r="G6" s="497"/>
      <c r="H6" s="497"/>
      <c r="I6" s="497"/>
      <c r="J6" s="497"/>
      <c r="L6" s="458"/>
    </row>
    <row r="7" spans="1:16" ht="14.25" x14ac:dyDescent="0.2">
      <c r="A7" s="573" t="s">
        <v>634</v>
      </c>
      <c r="C7" s="725" t="s">
        <v>287</v>
      </c>
      <c r="D7" s="726"/>
      <c r="E7" s="496" t="str">
        <f>'Ingreso Info'!B5</f>
        <v>Inyector</v>
      </c>
      <c r="F7" s="497"/>
      <c r="G7" s="497"/>
      <c r="H7" s="497"/>
      <c r="I7" s="497"/>
      <c r="J7" s="497"/>
      <c r="L7" s="458"/>
    </row>
    <row r="8" spans="1:16" ht="14.25" x14ac:dyDescent="0.2">
      <c r="A8" s="573" t="s">
        <v>634</v>
      </c>
      <c r="C8" s="725" t="s">
        <v>5</v>
      </c>
      <c r="D8" s="726"/>
      <c r="E8" s="498" t="str">
        <f>'Ingreso Info'!B9</f>
        <v>Bombeo Químico</v>
      </c>
      <c r="F8" s="497"/>
      <c r="G8" s="497"/>
      <c r="H8" s="497"/>
      <c r="I8" s="499"/>
      <c r="J8" s="500"/>
      <c r="L8" s="458"/>
    </row>
    <row r="9" spans="1:16" ht="14.25" x14ac:dyDescent="0.2">
      <c r="A9" s="573" t="s">
        <v>634</v>
      </c>
      <c r="C9" s="725" t="s">
        <v>6</v>
      </c>
      <c r="D9" s="726"/>
      <c r="E9" s="498">
        <f ca="1">'Ingreso Info'!B11</f>
        <v>45376</v>
      </c>
      <c r="F9" s="497"/>
      <c r="G9" s="497"/>
      <c r="H9" s="497"/>
      <c r="I9" s="497"/>
      <c r="J9" s="500"/>
      <c r="L9" s="458"/>
    </row>
    <row r="10" spans="1:16" ht="14.25" x14ac:dyDescent="0.2">
      <c r="A10" s="573" t="s">
        <v>634</v>
      </c>
      <c r="C10" s="725" t="s">
        <v>219</v>
      </c>
      <c r="D10" s="726"/>
      <c r="E10" s="498" t="str">
        <f>'Ingreso Info'!B13</f>
        <v>Sin equipo</v>
      </c>
      <c r="F10" s="497"/>
      <c r="G10" s="497"/>
      <c r="H10" s="497"/>
      <c r="I10" s="497"/>
      <c r="J10" s="497"/>
      <c r="L10" s="458"/>
    </row>
    <row r="11" spans="1:16" ht="14.25" x14ac:dyDescent="0.2">
      <c r="A11" s="573" t="s">
        <v>634</v>
      </c>
      <c r="D11" s="497"/>
      <c r="E11" s="497"/>
      <c r="F11" s="497"/>
      <c r="G11" s="497"/>
      <c r="H11" s="497"/>
      <c r="I11" s="497"/>
      <c r="J11" s="497"/>
      <c r="L11" s="458"/>
    </row>
    <row r="12" spans="1:16" ht="14.25" x14ac:dyDescent="0.2">
      <c r="A12" s="573" t="s">
        <v>634</v>
      </c>
      <c r="C12" s="553" t="s">
        <v>616</v>
      </c>
      <c r="D12" s="501"/>
      <c r="E12" s="502" t="s">
        <v>12</v>
      </c>
      <c r="F12" s="502"/>
      <c r="G12" s="503"/>
      <c r="H12" s="504" t="s">
        <v>218</v>
      </c>
      <c r="I12" s="504" t="s">
        <v>217</v>
      </c>
      <c r="J12" s="505" t="s">
        <v>191</v>
      </c>
      <c r="L12" s="458"/>
      <c r="M12" s="456"/>
      <c r="N12" s="457"/>
    </row>
    <row r="13" spans="1:16" ht="14.25" x14ac:dyDescent="0.2">
      <c r="A13" s="573" t="s">
        <v>634</v>
      </c>
      <c r="C13" s="720" t="s">
        <v>247</v>
      </c>
      <c r="D13" s="721"/>
      <c r="E13" s="721"/>
      <c r="F13" s="721"/>
      <c r="G13" s="721"/>
      <c r="H13" s="721"/>
      <c r="I13" s="721"/>
      <c r="J13" s="722"/>
      <c r="L13" s="458"/>
      <c r="P13" s="457"/>
    </row>
    <row r="14" spans="1:16" ht="42.75" customHeight="1" x14ac:dyDescent="0.2">
      <c r="A14" s="573" t="str">
        <f>IF(J14=0,"","x")</f>
        <v>x</v>
      </c>
      <c r="C14" s="563">
        <v>1</v>
      </c>
      <c r="D14" s="714" t="s">
        <v>617</v>
      </c>
      <c r="E14" s="715"/>
      <c r="F14" s="715"/>
      <c r="G14" s="716"/>
      <c r="H14" s="506">
        <v>1</v>
      </c>
      <c r="I14" s="507">
        <f>3000-3000*IF(E8="Sales Orgánicas",0.2,0)</f>
        <v>3000</v>
      </c>
      <c r="J14" s="508">
        <f>ROUND(H14*I14,2)</f>
        <v>3000</v>
      </c>
      <c r="L14" s="458"/>
      <c r="M14" s="544"/>
      <c r="N14" s="544"/>
      <c r="P14" s="459"/>
    </row>
    <row r="15" spans="1:16" ht="28.5" hidden="1" customHeight="1" x14ac:dyDescent="0.2">
      <c r="A15" s="573" t="str">
        <f t="shared" ref="A15:A29" si="0">IF(J15=0,"","x")</f>
        <v/>
      </c>
      <c r="C15" s="564">
        <v>2</v>
      </c>
      <c r="D15" s="704" t="s">
        <v>618</v>
      </c>
      <c r="E15" s="705"/>
      <c r="F15" s="705"/>
      <c r="G15" s="706"/>
      <c r="H15" s="510">
        <v>0</v>
      </c>
      <c r="I15" s="511">
        <v>3.5</v>
      </c>
      <c r="J15" s="509">
        <f t="shared" ref="J15:J23" si="1">ROUND(H15*I15,2)</f>
        <v>0</v>
      </c>
      <c r="L15" s="458"/>
      <c r="M15" s="544"/>
      <c r="N15" s="544"/>
    </row>
    <row r="16" spans="1:16" ht="28.5" hidden="1" customHeight="1" x14ac:dyDescent="0.2">
      <c r="A16" s="573" t="str">
        <f t="shared" si="0"/>
        <v/>
      </c>
      <c r="C16" s="564">
        <v>3</v>
      </c>
      <c r="D16" s="704" t="s">
        <v>619</v>
      </c>
      <c r="E16" s="705"/>
      <c r="F16" s="705"/>
      <c r="G16" s="706"/>
      <c r="H16" s="510">
        <v>0</v>
      </c>
      <c r="I16" s="511">
        <v>1.5</v>
      </c>
      <c r="J16" s="509">
        <f t="shared" si="1"/>
        <v>0</v>
      </c>
      <c r="L16" s="458"/>
      <c r="M16" s="544"/>
      <c r="N16" s="544"/>
    </row>
    <row r="17" spans="1:20" ht="14.25" hidden="1" customHeight="1" x14ac:dyDescent="0.2">
      <c r="A17" s="573" t="str">
        <f t="shared" si="0"/>
        <v/>
      </c>
      <c r="C17" s="564">
        <v>4</v>
      </c>
      <c r="D17" s="717" t="s">
        <v>620</v>
      </c>
      <c r="E17" s="718"/>
      <c r="F17" s="718"/>
      <c r="G17" s="724"/>
      <c r="H17" s="510">
        <v>0</v>
      </c>
      <c r="I17" s="511">
        <v>600</v>
      </c>
      <c r="J17" s="509">
        <f t="shared" si="1"/>
        <v>0</v>
      </c>
      <c r="L17" s="458"/>
      <c r="M17" s="544"/>
      <c r="N17" s="544"/>
      <c r="P17" s="459"/>
    </row>
    <row r="18" spans="1:20" ht="14.25" hidden="1" customHeight="1" x14ac:dyDescent="0.2">
      <c r="A18" s="573" t="str">
        <f t="shared" si="0"/>
        <v/>
      </c>
      <c r="C18" s="564"/>
      <c r="D18" s="717" t="s">
        <v>614</v>
      </c>
      <c r="E18" s="718"/>
      <c r="F18" s="718"/>
      <c r="G18" s="724"/>
      <c r="H18" s="510">
        <v>0</v>
      </c>
      <c r="I18" s="511">
        <f>IF('Ingreso Info'!$B$9="Sales Orgánicas",Ticket!N18,Ticket!M18)</f>
        <v>0</v>
      </c>
      <c r="J18" s="509">
        <f t="shared" si="1"/>
        <v>0</v>
      </c>
      <c r="L18" s="458"/>
      <c r="M18" s="544"/>
      <c r="N18" s="544"/>
      <c r="P18" s="459"/>
    </row>
    <row r="19" spans="1:20" ht="28.5" hidden="1" customHeight="1" x14ac:dyDescent="0.2">
      <c r="A19" s="573" t="str">
        <f t="shared" si="0"/>
        <v/>
      </c>
      <c r="C19" s="564">
        <v>5</v>
      </c>
      <c r="D19" s="704" t="s">
        <v>621</v>
      </c>
      <c r="E19" s="705"/>
      <c r="F19" s="705"/>
      <c r="G19" s="706"/>
      <c r="H19" s="510">
        <v>0</v>
      </c>
      <c r="I19" s="511">
        <v>250</v>
      </c>
      <c r="J19" s="509">
        <f t="shared" si="1"/>
        <v>0</v>
      </c>
      <c r="L19" s="458"/>
      <c r="M19" s="544"/>
      <c r="N19" s="544"/>
      <c r="P19" s="459"/>
    </row>
    <row r="20" spans="1:20" ht="28.5" customHeight="1" x14ac:dyDescent="0.2">
      <c r="A20" s="573" t="str">
        <f t="shared" si="0"/>
        <v>x</v>
      </c>
      <c r="C20" s="564">
        <v>6</v>
      </c>
      <c r="D20" s="704" t="s">
        <v>622</v>
      </c>
      <c r="E20" s="705"/>
      <c r="F20" s="705"/>
      <c r="G20" s="706"/>
      <c r="H20" s="510">
        <v>1</v>
      </c>
      <c r="I20" s="511">
        <f>700-700*IF(E8="Sales Orgánicas",0.2,0)</f>
        <v>700</v>
      </c>
      <c r="J20" s="509">
        <f t="shared" si="1"/>
        <v>700</v>
      </c>
      <c r="L20" s="458"/>
      <c r="M20" s="544"/>
      <c r="N20" s="544"/>
      <c r="P20" s="459"/>
    </row>
    <row r="21" spans="1:20" ht="28.5" hidden="1" customHeight="1" x14ac:dyDescent="0.2">
      <c r="A21" s="573" t="str">
        <f t="shared" si="0"/>
        <v/>
      </c>
      <c r="C21" s="564">
        <v>7</v>
      </c>
      <c r="D21" s="704" t="s">
        <v>623</v>
      </c>
      <c r="E21" s="705"/>
      <c r="F21" s="705"/>
      <c r="G21" s="706"/>
      <c r="H21" s="510">
        <v>0</v>
      </c>
      <c r="I21" s="511">
        <v>3.5</v>
      </c>
      <c r="J21" s="509">
        <f t="shared" si="1"/>
        <v>0</v>
      </c>
      <c r="L21" s="458"/>
      <c r="M21" s="544"/>
      <c r="N21" s="544"/>
      <c r="P21" s="459"/>
    </row>
    <row r="22" spans="1:20" ht="28.5" hidden="1" customHeight="1" x14ac:dyDescent="0.2">
      <c r="A22" s="573" t="str">
        <f t="shared" si="0"/>
        <v/>
      </c>
      <c r="C22" s="564">
        <v>8</v>
      </c>
      <c r="D22" s="704" t="s">
        <v>624</v>
      </c>
      <c r="E22" s="705"/>
      <c r="F22" s="705"/>
      <c r="G22" s="706"/>
      <c r="H22" s="510">
        <v>0</v>
      </c>
      <c r="I22" s="511">
        <v>100</v>
      </c>
      <c r="J22" s="509">
        <f t="shared" si="1"/>
        <v>0</v>
      </c>
      <c r="L22" s="458"/>
      <c r="M22" s="544"/>
      <c r="N22" s="544"/>
      <c r="P22" s="459"/>
    </row>
    <row r="23" spans="1:20" ht="28.5" customHeight="1" x14ac:dyDescent="0.2">
      <c r="A23" s="573" t="str">
        <f t="shared" si="0"/>
        <v>x</v>
      </c>
      <c r="C23" s="564">
        <v>9</v>
      </c>
      <c r="D23" s="704" t="s">
        <v>625</v>
      </c>
      <c r="E23" s="705"/>
      <c r="F23" s="705"/>
      <c r="G23" s="706"/>
      <c r="H23" s="510">
        <v>1</v>
      </c>
      <c r="I23" s="511">
        <v>720</v>
      </c>
      <c r="J23" s="509">
        <f t="shared" si="1"/>
        <v>720</v>
      </c>
      <c r="L23" s="458"/>
      <c r="M23" s="544"/>
      <c r="N23" s="544"/>
      <c r="P23" s="459"/>
    </row>
    <row r="24" spans="1:20" ht="14.25" hidden="1" customHeight="1" x14ac:dyDescent="0.2">
      <c r="A24" s="573" t="str">
        <f t="shared" si="0"/>
        <v/>
      </c>
      <c r="C24" s="564">
        <v>1</v>
      </c>
      <c r="D24" s="469" t="s">
        <v>635</v>
      </c>
      <c r="E24" s="552"/>
      <c r="F24" s="552"/>
      <c r="G24" s="571"/>
      <c r="H24" s="510">
        <v>0</v>
      </c>
      <c r="I24" s="511">
        <v>107536.2</v>
      </c>
      <c r="J24" s="509"/>
      <c r="L24" s="458"/>
      <c r="M24" s="544"/>
      <c r="N24" s="544"/>
      <c r="P24" s="459"/>
    </row>
    <row r="25" spans="1:20" ht="14.25" hidden="1" x14ac:dyDescent="0.2">
      <c r="A25" s="573" t="str">
        <f t="shared" si="0"/>
        <v/>
      </c>
      <c r="C25" s="564">
        <v>2</v>
      </c>
      <c r="D25" s="469" t="s">
        <v>636</v>
      </c>
      <c r="E25" s="468"/>
      <c r="F25" s="468"/>
      <c r="G25" s="554"/>
      <c r="H25" s="510">
        <v>0</v>
      </c>
      <c r="I25" s="511">
        <v>91405.77</v>
      </c>
      <c r="J25" s="509"/>
      <c r="L25" s="458"/>
      <c r="M25" s="544"/>
      <c r="N25" s="544"/>
    </row>
    <row r="26" spans="1:20" ht="14.25" hidden="1" x14ac:dyDescent="0.2">
      <c r="A26" s="573" t="str">
        <f t="shared" si="0"/>
        <v/>
      </c>
      <c r="C26" s="565"/>
      <c r="D26" s="556" t="s">
        <v>524</v>
      </c>
      <c r="E26" s="462"/>
      <c r="F26" s="462"/>
      <c r="G26" s="557"/>
      <c r="H26" s="567">
        <v>0</v>
      </c>
      <c r="I26" s="568">
        <v>0</v>
      </c>
      <c r="J26" s="569">
        <f t="shared" ref="J26" si="2">ROUND(H26*I26,2)</f>
        <v>0</v>
      </c>
      <c r="M26" s="544"/>
      <c r="N26" s="544"/>
      <c r="P26" s="455">
        <v>15000</v>
      </c>
      <c r="Q26" s="459">
        <f>$P$14/P26</f>
        <v>0</v>
      </c>
      <c r="S26" s="459">
        <f>Q26</f>
        <v>0</v>
      </c>
      <c r="T26" s="455" t="e">
        <f>S26/#REF!-1</f>
        <v>#REF!</v>
      </c>
    </row>
    <row r="27" spans="1:20" ht="14.25" x14ac:dyDescent="0.2">
      <c r="A27" s="573" t="s">
        <v>634</v>
      </c>
      <c r="C27" s="566"/>
      <c r="D27" s="546"/>
      <c r="E27" s="547"/>
      <c r="F27" s="547"/>
      <c r="G27" s="548"/>
      <c r="H27" s="512"/>
      <c r="I27" s="513"/>
      <c r="J27" s="570"/>
      <c r="M27" s="544"/>
      <c r="N27" s="544"/>
      <c r="Q27" s="459"/>
      <c r="S27" s="459"/>
    </row>
    <row r="28" spans="1:20" ht="14.25" hidden="1" x14ac:dyDescent="0.2">
      <c r="A28" s="573" t="str">
        <f>IF(J29=0,"","x")</f>
        <v/>
      </c>
      <c r="D28" s="471"/>
      <c r="E28" s="464"/>
      <c r="F28" s="464"/>
      <c r="G28" s="464"/>
      <c r="H28" s="707" t="s">
        <v>533</v>
      </c>
      <c r="I28" s="713"/>
      <c r="J28" s="517">
        <f>SUM(J14:J27)</f>
        <v>4420</v>
      </c>
      <c r="M28" s="544"/>
      <c r="N28" s="544"/>
      <c r="Q28" s="459"/>
      <c r="S28" s="459"/>
    </row>
    <row r="29" spans="1:20" ht="14.25" hidden="1" x14ac:dyDescent="0.2">
      <c r="A29" s="573" t="str">
        <f t="shared" si="0"/>
        <v/>
      </c>
      <c r="D29" s="464"/>
      <c r="E29" s="464"/>
      <c r="F29" s="464"/>
      <c r="G29" s="464"/>
      <c r="H29" s="572" t="s">
        <v>526</v>
      </c>
      <c r="I29" s="519">
        <f>IF(H53&lt;9000,0,IF(H53&gt;10999,0.09,0.07))</f>
        <v>0</v>
      </c>
      <c r="J29" s="517">
        <f>J28*I29</f>
        <v>0</v>
      </c>
      <c r="M29" s="544"/>
      <c r="N29" s="544"/>
      <c r="Q29" s="459"/>
      <c r="S29" s="459"/>
    </row>
    <row r="30" spans="1:20" ht="14.25" x14ac:dyDescent="0.2">
      <c r="A30" s="573" t="s">
        <v>634</v>
      </c>
      <c r="D30" s="464"/>
      <c r="E30" s="464"/>
      <c r="F30" s="464"/>
      <c r="G30" s="464"/>
      <c r="H30" s="707" t="s">
        <v>525</v>
      </c>
      <c r="I30" s="713"/>
      <c r="J30" s="517">
        <f>J28-J29</f>
        <v>4420</v>
      </c>
      <c r="L30" s="495"/>
      <c r="M30" s="544"/>
      <c r="N30" s="544"/>
      <c r="Q30" s="459"/>
      <c r="S30" s="459"/>
    </row>
    <row r="31" spans="1:20" ht="12.75" customHeight="1" x14ac:dyDescent="0.2">
      <c r="A31" s="573" t="s">
        <v>634</v>
      </c>
      <c r="D31" s="497"/>
      <c r="E31" s="497"/>
      <c r="F31" s="497"/>
      <c r="G31" s="497"/>
      <c r="H31" s="497"/>
      <c r="I31" s="497"/>
      <c r="J31" s="520"/>
      <c r="L31" s="495"/>
      <c r="M31" s="545"/>
      <c r="N31" s="545"/>
    </row>
    <row r="32" spans="1:20" ht="14.25" x14ac:dyDescent="0.2">
      <c r="A32" s="573" t="s">
        <v>634</v>
      </c>
      <c r="C32" s="720" t="s">
        <v>293</v>
      </c>
      <c r="D32" s="721" t="s">
        <v>215</v>
      </c>
      <c r="E32" s="721"/>
      <c r="F32" s="721" t="s">
        <v>205</v>
      </c>
      <c r="G32" s="721"/>
      <c r="H32" s="721"/>
      <c r="I32" s="721"/>
      <c r="J32" s="722"/>
      <c r="L32" s="495"/>
    </row>
    <row r="33" spans="1:14" ht="28.5" customHeight="1" x14ac:dyDescent="0.2">
      <c r="A33" s="573" t="str">
        <f t="shared" ref="A33:A54" si="3">IF(J33=0,"","x")</f>
        <v/>
      </c>
      <c r="C33" s="563">
        <v>10</v>
      </c>
      <c r="D33" s="714" t="s">
        <v>549</v>
      </c>
      <c r="E33" s="715"/>
      <c r="F33" s="715"/>
      <c r="G33" s="716"/>
      <c r="H33" s="549">
        <f>IF('Ingreso Info'!B9="Sistema Óxido de Cloro",0,ROUNDUP('Ingreso Info'!U6/0.7,0))</f>
        <v>0</v>
      </c>
      <c r="I33" s="507">
        <v>1.5</v>
      </c>
      <c r="J33" s="550">
        <f>ROUND(H33*I33,2)</f>
        <v>0</v>
      </c>
      <c r="L33" s="495"/>
      <c r="M33" s="545"/>
      <c r="N33" s="545"/>
    </row>
    <row r="34" spans="1:14" ht="28.5" hidden="1" customHeight="1" x14ac:dyDescent="0.2">
      <c r="A34" s="573" t="str">
        <f t="shared" si="3"/>
        <v/>
      </c>
      <c r="C34" s="564">
        <v>11</v>
      </c>
      <c r="D34" s="717" t="s">
        <v>550</v>
      </c>
      <c r="E34" s="718"/>
      <c r="F34" s="718"/>
      <c r="G34" s="718"/>
      <c r="H34" s="551">
        <f>IF('Ingreso Info'!B9="Sistema Óxido de Cloro",0,ROUNDUP('Ingreso Info'!U7/0.7,0))</f>
        <v>0</v>
      </c>
      <c r="I34" s="511">
        <v>1.6</v>
      </c>
      <c r="J34" s="509">
        <f t="shared" ref="J34:J35" si="4">ROUND(H34*I34,2)</f>
        <v>0</v>
      </c>
      <c r="L34" s="495"/>
      <c r="M34" s="545"/>
      <c r="N34" s="545"/>
    </row>
    <row r="35" spans="1:14" ht="14.25" hidden="1" customHeight="1" x14ac:dyDescent="0.2">
      <c r="A35" s="573" t="str">
        <f t="shared" si="3"/>
        <v>x</v>
      </c>
      <c r="C35" s="564">
        <v>12</v>
      </c>
      <c r="D35" s="470" t="s">
        <v>551</v>
      </c>
      <c r="E35" s="467"/>
      <c r="F35" s="467"/>
      <c r="G35" s="467"/>
      <c r="H35" s="510">
        <f>IF('Ingreso Info'!B9="Sistema Óxido de Cloro",0,ROUNDUP('Ingreso Info'!U5/0.43,0))</f>
        <v>67907</v>
      </c>
      <c r="I35" s="511">
        <v>0.6</v>
      </c>
      <c r="J35" s="514">
        <f t="shared" si="4"/>
        <v>40744.199999999997</v>
      </c>
      <c r="L35" s="495"/>
      <c r="M35" s="545"/>
      <c r="N35" s="545"/>
    </row>
    <row r="36" spans="1:14" ht="14.25" customHeight="1" x14ac:dyDescent="0.2">
      <c r="A36" s="573" t="str">
        <f t="shared" si="3"/>
        <v>x</v>
      </c>
      <c r="C36" s="564">
        <v>13</v>
      </c>
      <c r="D36" s="470" t="s">
        <v>547</v>
      </c>
      <c r="E36" s="467"/>
      <c r="F36" s="467"/>
      <c r="G36" s="467"/>
      <c r="H36" s="510">
        <f>IF('Ingreso Info'!B9="Sistema Óxido de Cloro",0,ROUNDUP('Ingreso Info'!U12+'Ingreso Info'!U13,0))</f>
        <v>670</v>
      </c>
      <c r="I36" s="511">
        <v>4.37</v>
      </c>
      <c r="J36" s="514">
        <f>ROUND(H36*I36,2)</f>
        <v>2927.9</v>
      </c>
      <c r="L36" s="495"/>
      <c r="M36" s="545"/>
      <c r="N36" s="545"/>
    </row>
    <row r="37" spans="1:14" ht="12.75" customHeight="1" x14ac:dyDescent="0.2">
      <c r="A37" s="573" t="str">
        <f t="shared" si="3"/>
        <v/>
      </c>
      <c r="C37" s="564">
        <v>14</v>
      </c>
      <c r="D37" s="470" t="s">
        <v>540</v>
      </c>
      <c r="E37" s="467"/>
      <c r="F37" s="467"/>
      <c r="G37" s="467"/>
      <c r="H37" s="510">
        <f>IF('Ingreso Info'!B9="Sistema Óxido de Cloro",0,ROUNDUP('Ingreso Info'!U14+'Ingreso Info'!U15,0))</f>
        <v>0</v>
      </c>
      <c r="I37" s="511">
        <v>5.8</v>
      </c>
      <c r="J37" s="514">
        <f>ROUND(H37*I37,2)</f>
        <v>0</v>
      </c>
      <c r="M37" s="545"/>
      <c r="N37" s="545"/>
    </row>
    <row r="38" spans="1:14" ht="14.25" hidden="1" x14ac:dyDescent="0.2">
      <c r="A38" s="573" t="str">
        <f t="shared" si="3"/>
        <v>x</v>
      </c>
      <c r="C38" s="564">
        <v>15</v>
      </c>
      <c r="D38" s="470" t="s">
        <v>548</v>
      </c>
      <c r="E38" s="467"/>
      <c r="F38" s="467"/>
      <c r="G38" s="467"/>
      <c r="H38" s="510">
        <f>IF('Ingreso Info'!B9="Sistema Óxido de Cloro",0,ROUNDUP('Ingreso Info'!U16+'Ingreso Info'!U17,0))</f>
        <v>450</v>
      </c>
      <c r="I38" s="511">
        <v>5.15</v>
      </c>
      <c r="J38" s="514">
        <f>ROUND(H38*I38,2)</f>
        <v>2317.5</v>
      </c>
      <c r="M38" s="545"/>
      <c r="N38" s="545"/>
    </row>
    <row r="39" spans="1:14" ht="14.25" hidden="1" x14ac:dyDescent="0.2">
      <c r="A39" s="573" t="str">
        <f t="shared" si="3"/>
        <v/>
      </c>
      <c r="C39" s="564">
        <v>16</v>
      </c>
      <c r="D39" s="470" t="s">
        <v>541</v>
      </c>
      <c r="E39" s="467"/>
      <c r="F39" s="467"/>
      <c r="G39" s="467"/>
      <c r="H39" s="510">
        <f>IF('Ingreso Info'!B9="Sistema Óxido de Cloro",0,ROUNDUP('Ingreso Info'!U24,0))</f>
        <v>0</v>
      </c>
      <c r="I39" s="511">
        <v>7.12</v>
      </c>
      <c r="J39" s="514">
        <f t="shared" ref="J39" si="5">ROUND(H39*I39,2)</f>
        <v>0</v>
      </c>
      <c r="M39" s="545"/>
      <c r="N39" s="545"/>
    </row>
    <row r="40" spans="1:14" ht="14.25" x14ac:dyDescent="0.2">
      <c r="A40" s="573" t="str">
        <f t="shared" si="3"/>
        <v>x</v>
      </c>
      <c r="C40" s="564">
        <v>17</v>
      </c>
      <c r="D40" s="470" t="s">
        <v>615</v>
      </c>
      <c r="E40" s="467"/>
      <c r="F40" s="467"/>
      <c r="G40" s="467"/>
      <c r="H40" s="510">
        <f>IF('Ingreso Info'!B9="Sistema Óxido de Cloro",0,ROUNDUP('Ingreso Info'!U28+'Ingreso Info'!U29,0))</f>
        <v>890</v>
      </c>
      <c r="I40" s="511">
        <v>6.35</v>
      </c>
      <c r="J40" s="514">
        <f>ROUND(H40*I40,2)</f>
        <v>5651.5</v>
      </c>
      <c r="M40" s="545"/>
      <c r="N40" s="545"/>
    </row>
    <row r="41" spans="1:14" ht="14.25" x14ac:dyDescent="0.2">
      <c r="A41" s="573" t="str">
        <f t="shared" si="3"/>
        <v/>
      </c>
      <c r="C41" s="564">
        <v>18</v>
      </c>
      <c r="D41" s="470" t="s">
        <v>552</v>
      </c>
      <c r="E41" s="467"/>
      <c r="F41" s="467"/>
      <c r="G41" s="467"/>
      <c r="H41" s="510">
        <f>IF('Ingreso Info'!B9="Sistema Óxido de Cloro",0,ROUNDUP('Ingreso Info'!U38,0))</f>
        <v>0</v>
      </c>
      <c r="I41" s="511">
        <v>2.1</v>
      </c>
      <c r="J41" s="514">
        <f t="shared" ref="J41:J53" si="6">ROUND(H41*I41,2)</f>
        <v>0</v>
      </c>
      <c r="M41" s="545"/>
      <c r="N41" s="545"/>
    </row>
    <row r="42" spans="1:14" ht="14.25" hidden="1" x14ac:dyDescent="0.2">
      <c r="A42" s="573" t="str">
        <f t="shared" si="3"/>
        <v/>
      </c>
      <c r="C42" s="564">
        <v>19</v>
      </c>
      <c r="D42" s="470" t="s">
        <v>627</v>
      </c>
      <c r="E42" s="467"/>
      <c r="F42" s="467"/>
      <c r="G42" s="467"/>
      <c r="H42" s="510"/>
      <c r="I42" s="511">
        <v>10.4</v>
      </c>
      <c r="J42" s="514">
        <f t="shared" si="6"/>
        <v>0</v>
      </c>
      <c r="M42" s="545"/>
      <c r="N42" s="545"/>
    </row>
    <row r="43" spans="1:14" ht="14.25" hidden="1" x14ac:dyDescent="0.2">
      <c r="A43" s="573" t="str">
        <f t="shared" si="3"/>
        <v/>
      </c>
      <c r="C43" s="564">
        <v>20</v>
      </c>
      <c r="D43" s="470" t="s">
        <v>545</v>
      </c>
      <c r="E43" s="467"/>
      <c r="F43" s="467"/>
      <c r="G43" s="467"/>
      <c r="H43" s="510"/>
      <c r="I43" s="511">
        <v>1.5</v>
      </c>
      <c r="J43" s="514">
        <f t="shared" si="6"/>
        <v>0</v>
      </c>
      <c r="M43" s="545"/>
      <c r="N43" s="545"/>
    </row>
    <row r="44" spans="1:14" ht="14.25" hidden="1" x14ac:dyDescent="0.2">
      <c r="A44" s="573" t="str">
        <f t="shared" si="3"/>
        <v/>
      </c>
      <c r="C44" s="564">
        <v>21</v>
      </c>
      <c r="D44" s="470" t="s">
        <v>542</v>
      </c>
      <c r="E44" s="467"/>
      <c r="F44" s="467"/>
      <c r="G44" s="467"/>
      <c r="H44" s="510">
        <f>IF('Ingreso Info'!B9="Sistema Óxido de Cloro",0,ROUNDUP('Ingreso Info'!U36,0))</f>
        <v>0</v>
      </c>
      <c r="I44" s="511">
        <v>6.03</v>
      </c>
      <c r="J44" s="514">
        <f t="shared" si="6"/>
        <v>0</v>
      </c>
      <c r="M44" s="545"/>
      <c r="N44" s="545"/>
    </row>
    <row r="45" spans="1:14" ht="14.25" hidden="1" x14ac:dyDescent="0.2">
      <c r="A45" s="573" t="str">
        <f t="shared" si="3"/>
        <v/>
      </c>
      <c r="C45" s="564">
        <v>22</v>
      </c>
      <c r="D45" s="470" t="s">
        <v>543</v>
      </c>
      <c r="E45" s="467"/>
      <c r="F45" s="467"/>
      <c r="G45" s="467"/>
      <c r="H45" s="551">
        <f>IF('Ingreso Info'!B9="Sistema Óxido de Cloro",0,ROUNDUP('Ingreso Info'!U32,0))</f>
        <v>0</v>
      </c>
      <c r="I45" s="511">
        <v>4.9800000000000004</v>
      </c>
      <c r="J45" s="514">
        <f t="shared" si="6"/>
        <v>0</v>
      </c>
      <c r="M45" s="545"/>
      <c r="N45" s="545"/>
    </row>
    <row r="46" spans="1:14" ht="14.25" hidden="1" x14ac:dyDescent="0.2">
      <c r="A46" s="573" t="str">
        <f t="shared" si="3"/>
        <v/>
      </c>
      <c r="C46" s="564">
        <v>23</v>
      </c>
      <c r="D46" s="470" t="s">
        <v>544</v>
      </c>
      <c r="E46" s="467"/>
      <c r="F46" s="467"/>
      <c r="G46" s="467"/>
      <c r="H46" s="510">
        <f>IF('Ingreso Info'!B9="Sistema Óxido de Cloro",0,ROUNDUP('Ingreso Info'!U37,0))</f>
        <v>0</v>
      </c>
      <c r="I46" s="511">
        <v>1.08</v>
      </c>
      <c r="J46" s="514">
        <f t="shared" si="6"/>
        <v>0</v>
      </c>
      <c r="M46" s="545"/>
      <c r="N46" s="545"/>
    </row>
    <row r="47" spans="1:14" ht="14.25" hidden="1" x14ac:dyDescent="0.2">
      <c r="A47" s="573" t="str">
        <f t="shared" si="3"/>
        <v>x</v>
      </c>
      <c r="C47" s="564">
        <v>24</v>
      </c>
      <c r="D47" s="470" t="s">
        <v>546</v>
      </c>
      <c r="E47" s="467"/>
      <c r="F47" s="467"/>
      <c r="G47" s="467"/>
      <c r="H47" s="510">
        <f>IF('Ingreso Info'!B9="Sistema Óxido de Cloro",0,ROUNDUP('Ingreso Info'!U20+'Ingreso Info'!U21+'Ingreso Info'!U22,0))</f>
        <v>480</v>
      </c>
      <c r="I47" s="511">
        <v>8.15</v>
      </c>
      <c r="J47" s="514">
        <f t="shared" si="6"/>
        <v>3912</v>
      </c>
      <c r="M47" s="545"/>
      <c r="N47" s="545"/>
    </row>
    <row r="48" spans="1:14" ht="14.25" hidden="1" x14ac:dyDescent="0.2">
      <c r="A48" s="573" t="str">
        <f t="shared" si="3"/>
        <v/>
      </c>
      <c r="C48" s="564">
        <v>25</v>
      </c>
      <c r="D48" s="470" t="s">
        <v>626</v>
      </c>
      <c r="E48" s="467"/>
      <c r="F48" s="467"/>
      <c r="G48" s="467"/>
      <c r="H48" s="510">
        <f>IF('Ingreso Info'!B9="Sistema Óxido de Cloro",0,ROUNDUP('Ingreso Info'!U39,0))</f>
        <v>0</v>
      </c>
      <c r="I48" s="511">
        <v>1.8</v>
      </c>
      <c r="J48" s="514">
        <f t="shared" si="6"/>
        <v>0</v>
      </c>
      <c r="M48" s="545"/>
      <c r="N48" s="545"/>
    </row>
    <row r="49" spans="1:14" ht="14.25" x14ac:dyDescent="0.2">
      <c r="A49" s="573" t="str">
        <f t="shared" si="3"/>
        <v>x</v>
      </c>
      <c r="C49" s="564">
        <v>26</v>
      </c>
      <c r="D49" s="470" t="s">
        <v>630</v>
      </c>
      <c r="E49" s="467"/>
      <c r="F49" s="467"/>
      <c r="G49" s="467"/>
      <c r="H49" s="510">
        <f>IF('Ingreso Info'!B9="Sistema Óxido de Cloro",0,ROUNDUP('Ingreso Info'!U9,0))</f>
        <v>400</v>
      </c>
      <c r="I49" s="511">
        <v>2.8</v>
      </c>
      <c r="J49" s="514">
        <f t="shared" si="6"/>
        <v>1120</v>
      </c>
      <c r="M49" s="545"/>
      <c r="N49" s="545"/>
    </row>
    <row r="50" spans="1:14" ht="14.25" hidden="1" x14ac:dyDescent="0.2">
      <c r="A50" s="573" t="str">
        <f t="shared" si="3"/>
        <v/>
      </c>
      <c r="C50" s="564">
        <v>27</v>
      </c>
      <c r="D50" s="470" t="s">
        <v>628</v>
      </c>
      <c r="E50" s="463"/>
      <c r="F50" s="462"/>
      <c r="G50" s="468"/>
      <c r="H50" s="510">
        <f>IF('Ingreso Info'!B9="Sistema Óxido de Cloro",0,ROUNDUP('Ingreso Info'!U27,0))</f>
        <v>0</v>
      </c>
      <c r="I50" s="511">
        <v>1.5</v>
      </c>
      <c r="J50" s="514">
        <f t="shared" si="6"/>
        <v>0</v>
      </c>
      <c r="M50" s="545"/>
      <c r="N50" s="545"/>
    </row>
    <row r="51" spans="1:14" ht="14.25" hidden="1" x14ac:dyDescent="0.2">
      <c r="A51" s="573" t="str">
        <f t="shared" si="3"/>
        <v>x</v>
      </c>
      <c r="C51" s="564">
        <v>28</v>
      </c>
      <c r="D51" s="470" t="s">
        <v>629</v>
      </c>
      <c r="E51" s="467"/>
      <c r="F51" s="467"/>
      <c r="G51" s="467"/>
      <c r="H51" s="510">
        <f>IF('Ingreso Info'!B9="Sistema Óxido de Cloro",0,ROUNDUP('Ingreso Info'!U8,0))</f>
        <v>2000</v>
      </c>
      <c r="I51" s="511">
        <v>7.2</v>
      </c>
      <c r="J51" s="514">
        <f t="shared" si="6"/>
        <v>14400</v>
      </c>
      <c r="M51" s="457"/>
      <c r="N51" s="457"/>
    </row>
    <row r="52" spans="1:14" ht="14.25" hidden="1" x14ac:dyDescent="0.2">
      <c r="A52" s="573" t="str">
        <f t="shared" si="3"/>
        <v/>
      </c>
      <c r="C52" s="564">
        <v>29</v>
      </c>
      <c r="D52" s="470" t="s">
        <v>631</v>
      </c>
      <c r="E52" s="467"/>
      <c r="F52" s="467"/>
      <c r="G52" s="467"/>
      <c r="H52" s="510">
        <f>IF('Ingreso Info'!B9="Sistema Óxido de Cloro",0,ROUNDUP('Ingreso Info'!U40,0))</f>
        <v>0</v>
      </c>
      <c r="I52" s="511">
        <v>8.14</v>
      </c>
      <c r="J52" s="514">
        <f t="shared" si="6"/>
        <v>0</v>
      </c>
      <c r="M52" s="457"/>
      <c r="N52" s="457"/>
    </row>
    <row r="53" spans="1:14" ht="14.25" hidden="1" x14ac:dyDescent="0.2">
      <c r="A53" s="573" t="str">
        <f t="shared" si="3"/>
        <v/>
      </c>
      <c r="C53" s="564">
        <v>30</v>
      </c>
      <c r="D53" s="470" t="s">
        <v>632</v>
      </c>
      <c r="E53" s="467"/>
      <c r="F53" s="467"/>
      <c r="G53" s="559"/>
      <c r="H53" s="510">
        <f>IF('Ingreso Info'!B9="Sistema Óxido de Cloro",'Ingreso Info'!D25+'Ingreso Info'!D26+'Ingreso Info'!D27+'Ingreso Info'!D28,0)</f>
        <v>0</v>
      </c>
      <c r="I53" s="511">
        <v>0.7</v>
      </c>
      <c r="J53" s="514">
        <f t="shared" si="6"/>
        <v>0</v>
      </c>
      <c r="M53" s="457"/>
      <c r="N53" s="457"/>
    </row>
    <row r="54" spans="1:14" ht="14.25" hidden="1" x14ac:dyDescent="0.2">
      <c r="A54" s="573" t="str">
        <f t="shared" si="3"/>
        <v/>
      </c>
      <c r="C54" s="555"/>
      <c r="D54" s="470"/>
      <c r="E54" s="467"/>
      <c r="F54" s="467"/>
      <c r="G54" s="467"/>
      <c r="H54" s="510"/>
      <c r="I54" s="511"/>
      <c r="J54" s="514"/>
      <c r="M54" s="457"/>
      <c r="N54" s="457"/>
    </row>
    <row r="55" spans="1:14" ht="14.25" x14ac:dyDescent="0.2">
      <c r="A55" s="573" t="s">
        <v>634</v>
      </c>
      <c r="C55" s="560"/>
      <c r="D55" s="546"/>
      <c r="E55" s="561"/>
      <c r="F55" s="562"/>
      <c r="G55" s="547"/>
      <c r="H55" s="515"/>
      <c r="I55" s="513"/>
      <c r="J55" s="516"/>
      <c r="M55" s="457"/>
      <c r="N55" s="457"/>
    </row>
    <row r="56" spans="1:14" ht="14.25" hidden="1" x14ac:dyDescent="0.2">
      <c r="A56" s="573" t="str">
        <f>IF(J57=0,"","x")</f>
        <v/>
      </c>
      <c r="D56" s="464"/>
      <c r="E56" s="464"/>
      <c r="F56" s="464"/>
      <c r="G56" s="464"/>
      <c r="H56" s="719" t="s">
        <v>532</v>
      </c>
      <c r="I56" s="719"/>
      <c r="J56" s="558">
        <f>SUM(J33:J55)</f>
        <v>71073.100000000006</v>
      </c>
      <c r="M56" s="457"/>
      <c r="N56" s="457"/>
    </row>
    <row r="57" spans="1:14" ht="14.25" hidden="1" x14ac:dyDescent="0.2">
      <c r="A57" s="573" t="str">
        <f>IF(J57=0,"","x")</f>
        <v/>
      </c>
      <c r="D57" s="521"/>
      <c r="E57" s="521"/>
      <c r="F57" s="522"/>
      <c r="G57" s="464"/>
      <c r="H57" s="518" t="s">
        <v>526</v>
      </c>
      <c r="I57" s="523">
        <f>IF(H53&lt;9000,0,IF(H53&gt;10999,0.09,0.07))</f>
        <v>0</v>
      </c>
      <c r="J57" s="524">
        <f>I57*J56</f>
        <v>0</v>
      </c>
      <c r="M57" s="457"/>
      <c r="N57" s="457"/>
    </row>
    <row r="58" spans="1:14" ht="14.25" x14ac:dyDescent="0.2">
      <c r="A58" s="573" t="s">
        <v>634</v>
      </c>
      <c r="D58" s="521"/>
      <c r="E58" s="521"/>
      <c r="F58" s="521"/>
      <c r="G58" s="499"/>
      <c r="H58" s="707" t="s">
        <v>527</v>
      </c>
      <c r="I58" s="708"/>
      <c r="J58" s="517">
        <f>J56-J57</f>
        <v>71073.100000000006</v>
      </c>
      <c r="M58" s="457"/>
      <c r="N58" s="457"/>
    </row>
    <row r="59" spans="1:14" ht="14.25" x14ac:dyDescent="0.2">
      <c r="A59" s="573" t="s">
        <v>634</v>
      </c>
      <c r="D59" s="521"/>
      <c r="E59" s="521"/>
      <c r="F59" s="521"/>
      <c r="G59" s="499"/>
      <c r="H59" s="499"/>
      <c r="I59" s="499"/>
      <c r="J59" s="525"/>
      <c r="M59" s="457"/>
      <c r="N59" s="457"/>
    </row>
    <row r="60" spans="1:14" ht="14.25" x14ac:dyDescent="0.2">
      <c r="A60" s="573" t="s">
        <v>634</v>
      </c>
      <c r="D60" s="521"/>
      <c r="E60" s="521"/>
      <c r="F60" s="521"/>
      <c r="G60" s="709" t="s">
        <v>536</v>
      </c>
      <c r="H60" s="709"/>
      <c r="I60" s="709"/>
      <c r="J60" s="711">
        <f>J30+J58</f>
        <v>75493.100000000006</v>
      </c>
      <c r="M60" s="457"/>
      <c r="N60" s="457"/>
    </row>
    <row r="61" spans="1:14" ht="14.25" x14ac:dyDescent="0.2">
      <c r="A61" s="573" t="s">
        <v>634</v>
      </c>
      <c r="D61" s="497"/>
      <c r="E61" s="497"/>
      <c r="F61" s="497"/>
      <c r="G61" s="710"/>
      <c r="H61" s="710"/>
      <c r="I61" s="710"/>
      <c r="J61" s="712"/>
      <c r="M61" s="457"/>
      <c r="N61" s="457"/>
    </row>
    <row r="62" spans="1:14" x14ac:dyDescent="0.2">
      <c r="A62" s="573" t="s">
        <v>634</v>
      </c>
      <c r="J62" s="494"/>
      <c r="M62" s="457"/>
      <c r="N62" s="457"/>
    </row>
    <row r="63" spans="1:14" x14ac:dyDescent="0.2">
      <c r="A63" s="573" t="s">
        <v>634</v>
      </c>
      <c r="M63" s="457"/>
      <c r="N63" s="457"/>
    </row>
    <row r="64" spans="1:14" x14ac:dyDescent="0.2">
      <c r="A64" s="573" t="s">
        <v>634</v>
      </c>
      <c r="M64" s="457"/>
      <c r="N64" s="457"/>
    </row>
    <row r="65" spans="1:14" x14ac:dyDescent="0.2">
      <c r="A65" s="573" t="s">
        <v>634</v>
      </c>
      <c r="M65" s="457"/>
      <c r="N65" s="457"/>
    </row>
    <row r="66" spans="1:14" x14ac:dyDescent="0.2">
      <c r="A66" s="573" t="s">
        <v>634</v>
      </c>
      <c r="M66" s="457"/>
      <c r="N66" s="457"/>
    </row>
    <row r="67" spans="1:14" x14ac:dyDescent="0.2">
      <c r="A67" s="573" t="s">
        <v>634</v>
      </c>
    </row>
    <row r="68" spans="1:14" x14ac:dyDescent="0.2">
      <c r="A68" s="573" t="s">
        <v>634</v>
      </c>
      <c r="D68" s="455" t="s">
        <v>213</v>
      </c>
      <c r="I68" s="455" t="s">
        <v>212</v>
      </c>
    </row>
    <row r="69" spans="1:14" x14ac:dyDescent="0.2">
      <c r="A69" s="573" t="s">
        <v>634</v>
      </c>
      <c r="D69" s="455" t="s">
        <v>644</v>
      </c>
      <c r="I69" s="455" t="s">
        <v>210</v>
      </c>
    </row>
    <row r="70" spans="1:14" x14ac:dyDescent="0.2">
      <c r="A70" s="573" t="s">
        <v>634</v>
      </c>
    </row>
    <row r="71" spans="1:14" x14ac:dyDescent="0.2">
      <c r="A71" s="573" t="s">
        <v>634</v>
      </c>
    </row>
    <row r="72" spans="1:14" x14ac:dyDescent="0.2">
      <c r="A72" s="573" t="s">
        <v>634</v>
      </c>
    </row>
    <row r="107" hidden="1" x14ac:dyDescent="0.2"/>
    <row r="108" hidden="1" x14ac:dyDescent="0.2"/>
    <row r="109" hidden="1" x14ac:dyDescent="0.2"/>
    <row r="110" hidden="1" x14ac:dyDescent="0.2"/>
  </sheetData>
  <autoFilter ref="A1:A72" xr:uid="{00000000-0009-0000-0000-000006000000}">
    <filterColumn colId="0">
      <customFilters>
        <customFilter operator="notEqual" val=" "/>
      </customFilters>
    </filterColumn>
  </autoFilter>
  <mergeCells count="27">
    <mergeCell ref="D19:G19"/>
    <mergeCell ref="D2:J2"/>
    <mergeCell ref="D14:G14"/>
    <mergeCell ref="D17:G17"/>
    <mergeCell ref="D18:G18"/>
    <mergeCell ref="C10:D10"/>
    <mergeCell ref="C13:J13"/>
    <mergeCell ref="C5:D5"/>
    <mergeCell ref="C6:D6"/>
    <mergeCell ref="C7:D7"/>
    <mergeCell ref="C8:D8"/>
    <mergeCell ref="C9:D9"/>
    <mergeCell ref="D15:G15"/>
    <mergeCell ref="D16:G16"/>
    <mergeCell ref="D20:G20"/>
    <mergeCell ref="D21:G21"/>
    <mergeCell ref="H58:I58"/>
    <mergeCell ref="G60:I61"/>
    <mergeCell ref="J60:J61"/>
    <mergeCell ref="H28:I28"/>
    <mergeCell ref="H30:I30"/>
    <mergeCell ref="D33:G33"/>
    <mergeCell ref="D34:G34"/>
    <mergeCell ref="H56:I56"/>
    <mergeCell ref="C32:J32"/>
    <mergeCell ref="D22:G22"/>
    <mergeCell ref="D23:G23"/>
  </mergeCells>
  <printOptions horizontalCentered="1"/>
  <pageMargins left="0.19685039370078741" right="0.19685039370078741" top="1.5748031496062993" bottom="0.78740157480314965" header="0.19685039370078741" footer="0.39370078740157483"/>
  <pageSetup paperSize="9" orientation="portrait" r:id="rId1"/>
  <headerFooter scaleWithDoc="0" alignWithMargins="0">
    <oddHeader>&amp;L&amp;G</oddHeader>
    <oddFooter>&amp;C&amp;"Arial,Negrita"&amp;9Pecom Servicios Energía S.A.&amp;"Arial,Normal"
Parque Industrial Municipal, Lujan de Cuyo
Ruta Provincial 87 N°8400 Km 10 - 5509 – Perdriel -  Luján de Cuyo-  Mendoza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7C55-5639-48F7-A325-E1754B66A1B8}">
  <sheetPr filterMode="1"/>
  <dimension ref="A1:T112"/>
  <sheetViews>
    <sheetView tabSelected="1" view="pageBreakPreview" topLeftCell="A3" zoomScaleNormal="100" zoomScaleSheetLayoutView="100" workbookViewId="0">
      <selection activeCell="M38" sqref="M38"/>
    </sheetView>
  </sheetViews>
  <sheetFormatPr baseColWidth="10" defaultRowHeight="12.75" x14ac:dyDescent="0.2"/>
  <cols>
    <col min="1" max="1" width="11.42578125" style="573"/>
    <col min="2" max="2" width="1.42578125" style="455" customWidth="1"/>
    <col min="3" max="3" width="6.42578125" style="455" customWidth="1"/>
    <col min="4" max="4" width="15.7109375" style="455" customWidth="1"/>
    <col min="5" max="5" width="24.140625" style="455" customWidth="1"/>
    <col min="6" max="6" width="11.42578125" style="455"/>
    <col min="7" max="7" width="8" style="455" customWidth="1"/>
    <col min="8" max="8" width="9.140625" style="455" customWidth="1"/>
    <col min="9" max="9" width="12.7109375" style="455" customWidth="1"/>
    <col min="10" max="10" width="11.28515625" style="455" bestFit="1" customWidth="1"/>
    <col min="11" max="11" width="1.42578125" style="455" customWidth="1"/>
    <col min="12" max="12" width="28" style="455" bestFit="1" customWidth="1"/>
    <col min="13" max="14" width="10.85546875" style="455" bestFit="1" customWidth="1"/>
    <col min="15" max="15" width="24.5703125" style="455" customWidth="1"/>
    <col min="16" max="16" width="62" style="455" bestFit="1" customWidth="1"/>
    <col min="17" max="17" width="7.28515625" style="455" bestFit="1" customWidth="1"/>
    <col min="18" max="18" width="5.7109375" style="455" bestFit="1" customWidth="1"/>
    <col min="19" max="19" width="14.28515625" style="455" bestFit="1" customWidth="1"/>
    <col min="20" max="20" width="7.140625" style="455" bestFit="1" customWidth="1"/>
    <col min="21" max="16384" width="11.42578125" style="455"/>
  </cols>
  <sheetData>
    <row r="1" spans="1:19" x14ac:dyDescent="0.2">
      <c r="A1" s="573" t="s">
        <v>634</v>
      </c>
    </row>
    <row r="2" spans="1:19" ht="18" x14ac:dyDescent="0.25">
      <c r="A2" s="573" t="s">
        <v>634</v>
      </c>
      <c r="D2" s="723" t="s">
        <v>608</v>
      </c>
      <c r="E2" s="723"/>
      <c r="F2" s="723"/>
      <c r="G2" s="723"/>
      <c r="H2" s="723"/>
      <c r="I2" s="723"/>
      <c r="J2" s="723"/>
    </row>
    <row r="3" spans="1:19" x14ac:dyDescent="0.2">
      <c r="A3" s="573" t="s">
        <v>634</v>
      </c>
    </row>
    <row r="4" spans="1:19" x14ac:dyDescent="0.2">
      <c r="A4" s="573" t="s">
        <v>634</v>
      </c>
      <c r="L4" s="456"/>
      <c r="M4" s="457"/>
    </row>
    <row r="5" spans="1:19" ht="14.25" x14ac:dyDescent="0.2">
      <c r="A5" s="573" t="s">
        <v>634</v>
      </c>
      <c r="C5" s="725" t="s">
        <v>0</v>
      </c>
      <c r="D5" s="726"/>
      <c r="E5" s="496" t="str">
        <f>'Ingreso Info'!B3</f>
        <v>Lindero Atravesado</v>
      </c>
      <c r="F5" s="497"/>
      <c r="G5" s="497"/>
      <c r="H5" s="497"/>
      <c r="I5" s="497"/>
      <c r="J5" s="497"/>
      <c r="L5" s="458"/>
    </row>
    <row r="6" spans="1:19" ht="14.25" x14ac:dyDescent="0.2">
      <c r="A6" s="573" t="s">
        <v>634</v>
      </c>
      <c r="C6" s="725" t="s">
        <v>1</v>
      </c>
      <c r="D6" s="726"/>
      <c r="E6" s="496" t="str">
        <f>'Ingreso Info'!B4</f>
        <v>LA.s-399</v>
      </c>
      <c r="F6" s="497"/>
      <c r="G6" s="497"/>
      <c r="H6" s="497"/>
      <c r="I6" s="497"/>
      <c r="J6" s="497"/>
      <c r="L6" s="458"/>
    </row>
    <row r="7" spans="1:19" ht="14.25" x14ac:dyDescent="0.2">
      <c r="A7" s="573" t="s">
        <v>634</v>
      </c>
      <c r="C7" s="725" t="s">
        <v>287</v>
      </c>
      <c r="D7" s="726"/>
      <c r="E7" s="496" t="str">
        <f>'Ingreso Info'!B5</f>
        <v>Inyector</v>
      </c>
      <c r="F7" s="497"/>
      <c r="G7" s="497"/>
      <c r="H7" s="497"/>
      <c r="I7" s="497"/>
      <c r="J7" s="497"/>
      <c r="L7" s="458"/>
    </row>
    <row r="8" spans="1:19" ht="14.25" x14ac:dyDescent="0.2">
      <c r="A8" s="573" t="s">
        <v>634</v>
      </c>
      <c r="C8" s="725" t="s">
        <v>5</v>
      </c>
      <c r="D8" s="726"/>
      <c r="E8" s="498" t="str">
        <f>'Ingreso Info'!B9</f>
        <v>Bombeo Químico</v>
      </c>
      <c r="F8" s="497"/>
      <c r="G8" s="497"/>
      <c r="H8" s="497"/>
      <c r="I8" s="499"/>
      <c r="J8" s="500"/>
      <c r="L8" s="458"/>
    </row>
    <row r="9" spans="1:19" ht="14.25" x14ac:dyDescent="0.2">
      <c r="A9" s="573" t="s">
        <v>634</v>
      </c>
      <c r="C9" s="725" t="s">
        <v>6</v>
      </c>
      <c r="D9" s="726"/>
      <c r="E9" s="498">
        <f ca="1">'Ingreso Info'!B11</f>
        <v>45376</v>
      </c>
      <c r="F9" s="497"/>
      <c r="G9" s="497"/>
      <c r="H9" s="497"/>
      <c r="I9" s="497"/>
      <c r="J9" s="500"/>
      <c r="L9" s="458"/>
    </row>
    <row r="10" spans="1:19" ht="14.25" x14ac:dyDescent="0.2">
      <c r="A10" s="573" t="s">
        <v>634</v>
      </c>
      <c r="C10" s="725" t="s">
        <v>219</v>
      </c>
      <c r="D10" s="726"/>
      <c r="E10" s="498" t="str">
        <f>'Ingreso Info'!B13</f>
        <v>Sin equipo</v>
      </c>
      <c r="F10" s="497"/>
      <c r="G10" s="497"/>
      <c r="H10" s="497"/>
      <c r="I10" s="497"/>
      <c r="J10" s="497"/>
      <c r="L10" s="458"/>
    </row>
    <row r="11" spans="1:19" ht="14.25" x14ac:dyDescent="0.2">
      <c r="A11" s="573" t="s">
        <v>634</v>
      </c>
      <c r="D11" s="497"/>
      <c r="E11" s="497"/>
      <c r="F11" s="497"/>
      <c r="G11" s="497"/>
      <c r="H11" s="497"/>
      <c r="I11" s="497"/>
      <c r="J11" s="497"/>
      <c r="L11" s="458"/>
    </row>
    <row r="12" spans="1:19" ht="14.25" x14ac:dyDescent="0.2">
      <c r="A12" s="573" t="s">
        <v>634</v>
      </c>
      <c r="C12" s="553" t="s">
        <v>616</v>
      </c>
      <c r="D12" s="501"/>
      <c r="E12" s="502" t="s">
        <v>12</v>
      </c>
      <c r="F12" s="502"/>
      <c r="G12" s="504" t="s">
        <v>672</v>
      </c>
      <c r="H12" s="504" t="s">
        <v>218</v>
      </c>
      <c r="I12" s="504" t="s">
        <v>217</v>
      </c>
      <c r="J12" s="505" t="s">
        <v>191</v>
      </c>
      <c r="L12" s="458"/>
      <c r="M12" s="456"/>
      <c r="N12" s="457"/>
    </row>
    <row r="13" spans="1:19" ht="14.25" x14ac:dyDescent="0.2">
      <c r="A13" s="573" t="s">
        <v>634</v>
      </c>
      <c r="C13" s="720" t="s">
        <v>247</v>
      </c>
      <c r="D13" s="721"/>
      <c r="E13" s="721"/>
      <c r="F13" s="721"/>
      <c r="G13" s="721"/>
      <c r="H13" s="721"/>
      <c r="I13" s="721"/>
      <c r="J13" s="722"/>
      <c r="L13" s="458"/>
      <c r="P13" s="457"/>
    </row>
    <row r="14" spans="1:19" x14ac:dyDescent="0.2">
      <c r="A14" s="573" t="str">
        <f>IF(J14=0,"","x")</f>
        <v>x</v>
      </c>
      <c r="C14" s="585">
        <v>1</v>
      </c>
      <c r="D14" s="731" t="s">
        <v>695</v>
      </c>
      <c r="E14" s="732"/>
      <c r="F14" s="732"/>
      <c r="G14" s="586" t="s">
        <v>705</v>
      </c>
      <c r="H14" s="586">
        <v>2</v>
      </c>
      <c r="I14" s="616">
        <v>3911</v>
      </c>
      <c r="J14" s="587">
        <f>ROUND(H14*I14,2)</f>
        <v>7822</v>
      </c>
      <c r="L14" s="458"/>
      <c r="M14" s="544"/>
      <c r="N14" s="544"/>
      <c r="O14"/>
      <c r="P14"/>
      <c r="Q14"/>
      <c r="R14"/>
      <c r="S14"/>
    </row>
    <row r="15" spans="1:19" x14ac:dyDescent="0.2">
      <c r="A15" s="573" t="str">
        <f t="shared" ref="A15:A26" si="0">IF(J15=0,"","x")</f>
        <v>x</v>
      </c>
      <c r="C15" s="588">
        <v>2</v>
      </c>
      <c r="D15" s="729" t="s">
        <v>696</v>
      </c>
      <c r="E15" s="730"/>
      <c r="F15" s="730"/>
      <c r="G15" s="589" t="s">
        <v>706</v>
      </c>
      <c r="H15" s="589">
        <v>4</v>
      </c>
      <c r="I15" s="581">
        <v>557</v>
      </c>
      <c r="J15" s="584">
        <f t="shared" ref="J15:J26" si="1">ROUND(H15*I15,2)</f>
        <v>2228</v>
      </c>
      <c r="L15" s="458"/>
      <c r="M15" s="544"/>
      <c r="N15" s="544"/>
      <c r="O15"/>
      <c r="P15"/>
      <c r="Q15"/>
      <c r="R15"/>
      <c r="S15"/>
    </row>
    <row r="16" spans="1:19" hidden="1" x14ac:dyDescent="0.2">
      <c r="A16" s="573" t="str">
        <f t="shared" si="0"/>
        <v/>
      </c>
      <c r="C16" s="588">
        <v>3</v>
      </c>
      <c r="D16" s="729" t="s">
        <v>697</v>
      </c>
      <c r="E16" s="730"/>
      <c r="F16" s="730"/>
      <c r="G16" s="589" t="s">
        <v>706</v>
      </c>
      <c r="H16" s="589">
        <v>0</v>
      </c>
      <c r="I16" s="581">
        <v>320</v>
      </c>
      <c r="J16" s="584">
        <f t="shared" si="1"/>
        <v>0</v>
      </c>
      <c r="L16" s="458"/>
      <c r="M16" s="544"/>
      <c r="N16" s="544"/>
      <c r="O16"/>
      <c r="P16"/>
      <c r="Q16"/>
      <c r="R16"/>
      <c r="S16"/>
    </row>
    <row r="17" spans="1:19" ht="14.25" customHeight="1" x14ac:dyDescent="0.2">
      <c r="A17" s="573" t="str">
        <f t="shared" si="0"/>
        <v>x</v>
      </c>
      <c r="C17" s="588">
        <v>4</v>
      </c>
      <c r="D17" s="729" t="s">
        <v>698</v>
      </c>
      <c r="E17" s="730"/>
      <c r="F17" s="730"/>
      <c r="G17" s="589" t="s">
        <v>704</v>
      </c>
      <c r="H17" s="589">
        <f>'Ingreso Info'!B14*2*H14</f>
        <v>400</v>
      </c>
      <c r="I17" s="581">
        <v>3.04</v>
      </c>
      <c r="J17" s="584">
        <f t="shared" si="1"/>
        <v>1216</v>
      </c>
      <c r="L17" s="458"/>
      <c r="M17" s="544"/>
      <c r="N17" s="544"/>
      <c r="O17"/>
      <c r="P17"/>
      <c r="Q17"/>
      <c r="R17"/>
      <c r="S17"/>
    </row>
    <row r="18" spans="1:19" ht="14.25" customHeight="1" x14ac:dyDescent="0.2">
      <c r="A18" s="573" t="str">
        <f t="shared" si="0"/>
        <v>x</v>
      </c>
      <c r="C18" s="588">
        <v>5</v>
      </c>
      <c r="D18" s="729" t="s">
        <v>699</v>
      </c>
      <c r="E18" s="730"/>
      <c r="F18" s="730"/>
      <c r="G18" s="589" t="s">
        <v>704</v>
      </c>
      <c r="H18" s="589">
        <f>'Ingreso Info'!B14*2</f>
        <v>200</v>
      </c>
      <c r="I18" s="581">
        <v>1.3</v>
      </c>
      <c r="J18" s="584">
        <f t="shared" si="1"/>
        <v>260</v>
      </c>
      <c r="L18" s="458"/>
      <c r="M18" s="544"/>
      <c r="N18" s="544"/>
      <c r="O18"/>
      <c r="P18"/>
      <c r="Q18"/>
      <c r="R18"/>
      <c r="S18"/>
    </row>
    <row r="19" spans="1:19" x14ac:dyDescent="0.2">
      <c r="A19" s="573" t="str">
        <f t="shared" si="0"/>
        <v>x</v>
      </c>
      <c r="C19" s="588">
        <v>6</v>
      </c>
      <c r="D19" s="729" t="s">
        <v>700</v>
      </c>
      <c r="E19" s="730"/>
      <c r="F19" s="730"/>
      <c r="G19" s="589" t="s">
        <v>705</v>
      </c>
      <c r="H19" s="589">
        <v>4</v>
      </c>
      <c r="I19" s="581">
        <v>760</v>
      </c>
      <c r="J19" s="584">
        <f t="shared" si="1"/>
        <v>3040</v>
      </c>
      <c r="L19" s="458"/>
      <c r="M19" s="544"/>
      <c r="N19" s="544"/>
      <c r="O19"/>
      <c r="P19"/>
      <c r="Q19"/>
      <c r="R19"/>
      <c r="S19"/>
    </row>
    <row r="20" spans="1:19" x14ac:dyDescent="0.2">
      <c r="A20" s="573" t="str">
        <f t="shared" si="0"/>
        <v>x</v>
      </c>
      <c r="C20" s="588">
        <v>7</v>
      </c>
      <c r="D20" s="729" t="s">
        <v>701</v>
      </c>
      <c r="E20" s="730"/>
      <c r="F20" s="730"/>
      <c r="G20" s="589" t="s">
        <v>704</v>
      </c>
      <c r="H20" s="589">
        <f>'Ingreso Info'!B14*2*'Ticket Privadas'!H19</f>
        <v>800</v>
      </c>
      <c r="I20" s="581">
        <v>3.04</v>
      </c>
      <c r="J20" s="584">
        <f t="shared" si="1"/>
        <v>2432</v>
      </c>
      <c r="L20" s="458"/>
      <c r="M20" s="544"/>
      <c r="N20" s="544"/>
      <c r="O20"/>
      <c r="P20"/>
      <c r="Q20"/>
      <c r="R20"/>
      <c r="S20"/>
    </row>
    <row r="21" spans="1:19" x14ac:dyDescent="0.2">
      <c r="A21" s="573" t="str">
        <f t="shared" si="0"/>
        <v>x</v>
      </c>
      <c r="C21" s="588">
        <v>8</v>
      </c>
      <c r="D21" s="729" t="s">
        <v>702</v>
      </c>
      <c r="E21" s="730"/>
      <c r="F21" s="730"/>
      <c r="G21" s="589" t="s">
        <v>706</v>
      </c>
      <c r="H21" s="589">
        <v>8</v>
      </c>
      <c r="I21" s="581">
        <v>109</v>
      </c>
      <c r="J21" s="584">
        <f t="shared" si="1"/>
        <v>872</v>
      </c>
      <c r="L21" s="458"/>
      <c r="M21" s="544"/>
      <c r="N21" s="544"/>
      <c r="O21"/>
      <c r="P21"/>
      <c r="Q21"/>
      <c r="R21"/>
      <c r="S21"/>
    </row>
    <row r="22" spans="1:19" x14ac:dyDescent="0.2">
      <c r="A22" s="573" t="str">
        <f t="shared" si="0"/>
        <v>x</v>
      </c>
      <c r="C22" s="588">
        <v>9</v>
      </c>
      <c r="D22" s="455" t="s">
        <v>703</v>
      </c>
      <c r="G22" s="589" t="s">
        <v>705</v>
      </c>
      <c r="H22" s="589">
        <v>4</v>
      </c>
      <c r="I22" s="581">
        <v>1304</v>
      </c>
      <c r="J22" s="584">
        <f t="shared" si="1"/>
        <v>5216</v>
      </c>
      <c r="L22" s="458"/>
      <c r="M22" s="544"/>
      <c r="N22" s="544"/>
      <c r="O22"/>
      <c r="P22"/>
      <c r="Q22"/>
      <c r="R22"/>
      <c r="S22"/>
    </row>
    <row r="23" spans="1:19" x14ac:dyDescent="0.2">
      <c r="A23" s="573" t="str">
        <f t="shared" si="0"/>
        <v>x</v>
      </c>
      <c r="C23" s="588">
        <v>10</v>
      </c>
      <c r="D23" s="729" t="s">
        <v>703</v>
      </c>
      <c r="E23" s="730"/>
      <c r="F23" s="730"/>
      <c r="G23" s="589" t="s">
        <v>704</v>
      </c>
      <c r="H23" s="589">
        <f>'Ingreso Info'!B14*2*'Ticket Privadas'!H22/4</f>
        <v>200</v>
      </c>
      <c r="I23" s="581">
        <v>3.04</v>
      </c>
      <c r="J23" s="584">
        <f t="shared" si="1"/>
        <v>608</v>
      </c>
      <c r="L23" s="458"/>
      <c r="M23" s="544"/>
      <c r="N23" s="544"/>
      <c r="O23"/>
      <c r="P23"/>
      <c r="Q23"/>
      <c r="R23"/>
      <c r="S23"/>
    </row>
    <row r="24" spans="1:19" ht="14.25" hidden="1" customHeight="1" x14ac:dyDescent="0.2">
      <c r="A24" s="573" t="str">
        <f t="shared" si="0"/>
        <v/>
      </c>
      <c r="C24" s="588">
        <v>11</v>
      </c>
      <c r="D24" s="729" t="s">
        <v>673</v>
      </c>
      <c r="E24" s="730"/>
      <c r="F24" s="730"/>
      <c r="G24" s="589" t="s">
        <v>705</v>
      </c>
      <c r="H24" s="589">
        <v>0</v>
      </c>
      <c r="I24" s="581">
        <v>751</v>
      </c>
      <c r="J24" s="584">
        <f t="shared" si="1"/>
        <v>0</v>
      </c>
      <c r="L24" s="458"/>
      <c r="M24" s="544"/>
      <c r="N24" s="544"/>
      <c r="O24"/>
      <c r="P24"/>
      <c r="Q24"/>
      <c r="R24"/>
      <c r="S24"/>
    </row>
    <row r="25" spans="1:19" x14ac:dyDescent="0.2">
      <c r="A25" s="573" t="str">
        <f t="shared" si="0"/>
        <v>x</v>
      </c>
      <c r="C25" s="588">
        <v>12</v>
      </c>
      <c r="D25" s="727" t="s">
        <v>714</v>
      </c>
      <c r="E25" s="728"/>
      <c r="F25" s="728"/>
      <c r="G25" s="580" t="s">
        <v>705</v>
      </c>
      <c r="H25" s="580">
        <v>1</v>
      </c>
      <c r="I25" s="581">
        <v>543</v>
      </c>
      <c r="J25" s="584">
        <f t="shared" si="1"/>
        <v>543</v>
      </c>
      <c r="L25" s="458"/>
      <c r="M25" s="544"/>
      <c r="N25" s="544"/>
      <c r="O25"/>
      <c r="P25"/>
      <c r="Q25"/>
      <c r="R25"/>
      <c r="S25"/>
    </row>
    <row r="26" spans="1:19" x14ac:dyDescent="0.2">
      <c r="A26" s="573" t="str">
        <f t="shared" si="0"/>
        <v>x</v>
      </c>
      <c r="C26" s="588">
        <v>13</v>
      </c>
      <c r="D26" s="727" t="s">
        <v>715</v>
      </c>
      <c r="E26" s="728"/>
      <c r="F26" s="728"/>
      <c r="G26" s="580" t="s">
        <v>704</v>
      </c>
      <c r="H26" s="580">
        <f>'Ingreso Info'!B14*2*'Ticket Privadas'!H25</f>
        <v>200</v>
      </c>
      <c r="I26" s="581">
        <v>3.04</v>
      </c>
      <c r="J26" s="584">
        <f t="shared" si="1"/>
        <v>608</v>
      </c>
      <c r="M26" s="544"/>
      <c r="N26" s="544"/>
      <c r="O26"/>
      <c r="P26"/>
      <c r="Q26"/>
      <c r="R26"/>
      <c r="S26"/>
    </row>
    <row r="27" spans="1:19" x14ac:dyDescent="0.2">
      <c r="A27" s="573" t="s">
        <v>634</v>
      </c>
      <c r="C27" s="590"/>
      <c r="D27" s="591"/>
      <c r="E27" s="592"/>
      <c r="F27" s="592"/>
      <c r="G27" s="605"/>
      <c r="H27" s="593"/>
      <c r="I27" s="594"/>
      <c r="J27" s="595"/>
      <c r="M27" s="544"/>
      <c r="N27" s="544"/>
      <c r="O27"/>
      <c r="P27"/>
      <c r="Q27"/>
      <c r="R27"/>
      <c r="S27"/>
    </row>
    <row r="28" spans="1:19" ht="14.25" hidden="1" x14ac:dyDescent="0.2">
      <c r="A28" s="573" t="str">
        <f>IF(J29=0,"","x")</f>
        <v/>
      </c>
      <c r="D28" s="471"/>
      <c r="E28" s="464"/>
      <c r="F28" s="464"/>
      <c r="G28" s="464"/>
      <c r="H28" s="707" t="s">
        <v>533</v>
      </c>
      <c r="I28" s="713"/>
      <c r="J28" s="517">
        <f>SUM(J14:J27)</f>
        <v>24845</v>
      </c>
      <c r="M28" s="544"/>
      <c r="N28" s="544"/>
      <c r="O28"/>
      <c r="P28"/>
      <c r="Q28"/>
      <c r="R28"/>
      <c r="S28"/>
    </row>
    <row r="29" spans="1:19" ht="14.25" hidden="1" x14ac:dyDescent="0.2">
      <c r="A29" s="573" t="str">
        <f t="shared" ref="A29" si="2">IF(J29=0,"","x")</f>
        <v/>
      </c>
      <c r="D29" s="464"/>
      <c r="E29" s="464"/>
      <c r="F29" s="464"/>
      <c r="G29" s="464"/>
      <c r="H29" s="572" t="s">
        <v>526</v>
      </c>
      <c r="I29" s="519">
        <f>IF(H54&lt;9000,0,IF(H54&gt;10999,0.09,0.07))</f>
        <v>0</v>
      </c>
      <c r="J29" s="517">
        <f>J28*I29</f>
        <v>0</v>
      </c>
      <c r="M29" s="544"/>
      <c r="N29" s="544"/>
      <c r="O29"/>
      <c r="P29"/>
      <c r="Q29"/>
      <c r="R29"/>
      <c r="S29"/>
    </row>
    <row r="30" spans="1:19" ht="14.25" x14ac:dyDescent="0.2">
      <c r="A30" s="573" t="s">
        <v>634</v>
      </c>
      <c r="D30" s="464"/>
      <c r="E30" s="464"/>
      <c r="F30" s="464"/>
      <c r="G30" s="464"/>
      <c r="H30" s="707" t="s">
        <v>525</v>
      </c>
      <c r="I30" s="713"/>
      <c r="J30" s="517">
        <f>J28-J29</f>
        <v>24845</v>
      </c>
      <c r="L30" s="495"/>
      <c r="M30" s="544"/>
      <c r="N30" s="544"/>
      <c r="O30"/>
      <c r="P30"/>
      <c r="Q30"/>
      <c r="R30"/>
      <c r="S30"/>
    </row>
    <row r="31" spans="1:19" ht="12.75" customHeight="1" x14ac:dyDescent="0.2">
      <c r="A31" s="573" t="s">
        <v>634</v>
      </c>
      <c r="D31" s="497"/>
      <c r="E31" s="497"/>
      <c r="F31" s="497"/>
      <c r="G31" s="497"/>
      <c r="H31" s="497"/>
      <c r="I31" s="497"/>
      <c r="J31" s="520"/>
      <c r="L31" s="495"/>
      <c r="M31" s="545"/>
      <c r="N31" s="545"/>
      <c r="O31"/>
      <c r="P31"/>
      <c r="Q31"/>
      <c r="R31"/>
      <c r="S31"/>
    </row>
    <row r="32" spans="1:19" ht="14.25" x14ac:dyDescent="0.2">
      <c r="A32" s="573" t="s">
        <v>634</v>
      </c>
      <c r="C32" s="553" t="s">
        <v>616</v>
      </c>
      <c r="D32" s="501"/>
      <c r="E32" s="502" t="s">
        <v>12</v>
      </c>
      <c r="F32" s="502"/>
      <c r="G32" s="504" t="s">
        <v>672</v>
      </c>
      <c r="H32" s="504" t="s">
        <v>218</v>
      </c>
      <c r="I32" s="504" t="s">
        <v>217</v>
      </c>
      <c r="J32" s="505" t="s">
        <v>191</v>
      </c>
      <c r="L32" s="458"/>
      <c r="M32" s="456"/>
      <c r="N32" s="457"/>
    </row>
    <row r="33" spans="1:19" ht="14.25" x14ac:dyDescent="0.2">
      <c r="A33" s="573" t="s">
        <v>634</v>
      </c>
      <c r="C33" s="720" t="s">
        <v>293</v>
      </c>
      <c r="D33" s="721" t="s">
        <v>215</v>
      </c>
      <c r="E33" s="721"/>
      <c r="F33" s="721" t="s">
        <v>205</v>
      </c>
      <c r="G33" s="721"/>
      <c r="H33" s="721"/>
      <c r="I33" s="721"/>
      <c r="J33" s="722"/>
      <c r="L33" s="495"/>
      <c r="O33"/>
      <c r="P33"/>
      <c r="Q33"/>
      <c r="R33"/>
      <c r="S33"/>
    </row>
    <row r="34" spans="1:19" x14ac:dyDescent="0.2">
      <c r="A34" s="573" t="str">
        <f t="shared" ref="A34:A56" si="3">IF(J34=0,"","x")</f>
        <v>x</v>
      </c>
      <c r="C34" s="564">
        <v>14</v>
      </c>
      <c r="D34" s="596" t="s">
        <v>674</v>
      </c>
      <c r="E34" s="597"/>
      <c r="F34" s="597"/>
      <c r="G34" s="564" t="s">
        <v>675</v>
      </c>
      <c r="H34" s="580">
        <f>'Ingreso Info'!G94</f>
        <v>40000</v>
      </c>
      <c r="I34" s="581">
        <v>0.42</v>
      </c>
      <c r="J34" s="582">
        <f>ROUND(H34*I34,2)</f>
        <v>16800</v>
      </c>
      <c r="L34" s="495"/>
      <c r="M34" s="545"/>
      <c r="N34" s="545"/>
      <c r="O34"/>
      <c r="P34"/>
      <c r="Q34"/>
      <c r="R34"/>
      <c r="S34"/>
    </row>
    <row r="35" spans="1:19" x14ac:dyDescent="0.2">
      <c r="A35" s="573" t="str">
        <f t="shared" si="3"/>
        <v>x</v>
      </c>
      <c r="C35" s="564">
        <v>15</v>
      </c>
      <c r="D35" s="596" t="s">
        <v>676</v>
      </c>
      <c r="E35" s="597"/>
      <c r="F35" s="597"/>
      <c r="G35" s="564" t="s">
        <v>675</v>
      </c>
      <c r="H35" s="580">
        <f>'Ingreso Info'!G77+'Ingreso Info'!B94</f>
        <v>40000</v>
      </c>
      <c r="I35" s="581">
        <v>0.35</v>
      </c>
      <c r="J35" s="582">
        <f t="shared" ref="J35:J36" si="4">ROUND(H35*I35,2)</f>
        <v>14000</v>
      </c>
      <c r="L35" s="495"/>
      <c r="M35" s="545"/>
      <c r="N35" s="545"/>
      <c r="O35"/>
      <c r="P35"/>
      <c r="Q35"/>
      <c r="R35"/>
      <c r="S35"/>
    </row>
    <row r="36" spans="1:19" ht="14.25" hidden="1" customHeight="1" x14ac:dyDescent="0.2">
      <c r="A36" s="573" t="str">
        <f t="shared" si="3"/>
        <v/>
      </c>
      <c r="C36" s="564">
        <v>16</v>
      </c>
      <c r="D36" s="596" t="s">
        <v>677</v>
      </c>
      <c r="E36" s="597"/>
      <c r="F36" s="597"/>
      <c r="G36" s="604" t="s">
        <v>675</v>
      </c>
      <c r="H36" s="580"/>
      <c r="I36" s="581">
        <v>0.27</v>
      </c>
      <c r="J36" s="582">
        <f t="shared" si="4"/>
        <v>0</v>
      </c>
      <c r="L36" s="495"/>
      <c r="M36" s="545"/>
      <c r="N36" s="545"/>
      <c r="O36"/>
      <c r="P36"/>
      <c r="Q36"/>
      <c r="R36"/>
      <c r="S36"/>
    </row>
    <row r="37" spans="1:19" ht="14.25" hidden="1" customHeight="1" x14ac:dyDescent="0.2">
      <c r="A37" s="573" t="str">
        <f t="shared" si="3"/>
        <v/>
      </c>
      <c r="C37" s="564">
        <v>17</v>
      </c>
      <c r="D37" s="596" t="s">
        <v>707</v>
      </c>
      <c r="E37" s="597"/>
      <c r="F37" s="597"/>
      <c r="G37" s="564" t="s">
        <v>675</v>
      </c>
      <c r="H37" s="580">
        <f>'Ingreso Info'!B94*0</f>
        <v>0</v>
      </c>
      <c r="I37" s="581">
        <v>0.23</v>
      </c>
      <c r="J37" s="582">
        <f t="shared" ref="J37" si="5">ROUND(H37*I37,2)</f>
        <v>0</v>
      </c>
      <c r="L37" s="495"/>
      <c r="M37" s="545"/>
      <c r="N37" s="545"/>
      <c r="O37"/>
      <c r="P37"/>
      <c r="Q37"/>
      <c r="R37"/>
      <c r="S37"/>
    </row>
    <row r="38" spans="1:19" ht="14.25" customHeight="1" x14ac:dyDescent="0.2">
      <c r="A38" s="573" t="str">
        <f t="shared" si="3"/>
        <v>x</v>
      </c>
      <c r="C38" s="564">
        <v>18</v>
      </c>
      <c r="D38" s="596" t="s">
        <v>678</v>
      </c>
      <c r="E38" s="597"/>
      <c r="F38" s="597"/>
      <c r="G38" s="564" t="s">
        <v>679</v>
      </c>
      <c r="H38" s="580">
        <f>'Ingreso Info'!U8</f>
        <v>2000</v>
      </c>
      <c r="I38" s="581">
        <v>12.88</v>
      </c>
      <c r="J38" s="582">
        <f>ROUND(H38*I38,2)</f>
        <v>25760</v>
      </c>
      <c r="L38" s="495"/>
      <c r="M38" s="545"/>
      <c r="N38" s="545"/>
      <c r="O38"/>
      <c r="P38"/>
      <c r="Q38"/>
      <c r="R38"/>
      <c r="S38"/>
    </row>
    <row r="39" spans="1:19" ht="12.75" hidden="1" customHeight="1" x14ac:dyDescent="0.2">
      <c r="A39" s="573" t="str">
        <f t="shared" si="3"/>
        <v/>
      </c>
      <c r="C39" s="564">
        <v>19</v>
      </c>
      <c r="D39" s="596" t="s">
        <v>680</v>
      </c>
      <c r="E39" s="597"/>
      <c r="F39" s="597"/>
      <c r="G39" s="604" t="s">
        <v>675</v>
      </c>
      <c r="H39" s="580"/>
      <c r="I39" s="581">
        <v>4.83</v>
      </c>
      <c r="J39" s="582">
        <f>ROUND(H39*I39,2)</f>
        <v>0</v>
      </c>
      <c r="M39" s="545"/>
      <c r="N39" s="545"/>
      <c r="O39"/>
      <c r="P39"/>
      <c r="Q39"/>
      <c r="R39"/>
      <c r="S39"/>
    </row>
    <row r="40" spans="1:19" x14ac:dyDescent="0.2">
      <c r="A40" s="573" t="str">
        <f t="shared" si="3"/>
        <v>x</v>
      </c>
      <c r="C40" s="564">
        <v>20</v>
      </c>
      <c r="D40" s="596" t="s">
        <v>681</v>
      </c>
      <c r="E40" s="597"/>
      <c r="F40" s="597"/>
      <c r="G40" s="564" t="s">
        <v>675</v>
      </c>
      <c r="H40" s="580">
        <f>'Ingreso Info'!U20</f>
        <v>480</v>
      </c>
      <c r="I40" s="581">
        <v>6.77</v>
      </c>
      <c r="J40" s="582">
        <f>ROUND(H40*I40,2)</f>
        <v>3249.6</v>
      </c>
      <c r="M40" s="545"/>
      <c r="N40" s="545"/>
      <c r="O40"/>
      <c r="P40"/>
      <c r="Q40"/>
      <c r="R40"/>
      <c r="S40"/>
    </row>
    <row r="41" spans="1:19" x14ac:dyDescent="0.2">
      <c r="A41" s="573" t="str">
        <f t="shared" si="3"/>
        <v>x</v>
      </c>
      <c r="C41" s="564">
        <v>21</v>
      </c>
      <c r="D41" s="596" t="s">
        <v>246</v>
      </c>
      <c r="E41" s="597"/>
      <c r="F41" s="597"/>
      <c r="G41" s="564" t="s">
        <v>675</v>
      </c>
      <c r="H41" s="580">
        <f>'Ingreso Info'!U29</f>
        <v>890</v>
      </c>
      <c r="I41" s="581">
        <v>9.17</v>
      </c>
      <c r="J41" s="582">
        <f t="shared" ref="J41" si="6">ROUND(H41*I41,2)</f>
        <v>8161.3</v>
      </c>
      <c r="M41" s="545"/>
      <c r="N41" s="545"/>
      <c r="O41"/>
      <c r="P41"/>
      <c r="Q41"/>
      <c r="R41"/>
      <c r="S41"/>
    </row>
    <row r="42" spans="1:19" x14ac:dyDescent="0.2">
      <c r="A42" s="573" t="str">
        <f t="shared" si="3"/>
        <v>x</v>
      </c>
      <c r="C42" s="564">
        <v>22</v>
      </c>
      <c r="D42" s="596" t="s">
        <v>440</v>
      </c>
      <c r="E42" s="597"/>
      <c r="F42" s="597"/>
      <c r="G42" s="564" t="s">
        <v>679</v>
      </c>
      <c r="H42" s="580">
        <f>'Ingreso Info'!U9</f>
        <v>400</v>
      </c>
      <c r="I42" s="581">
        <v>7.44</v>
      </c>
      <c r="J42" s="582">
        <f>ROUND(H42*I42,2)</f>
        <v>2976</v>
      </c>
      <c r="M42" s="545"/>
      <c r="N42" s="545"/>
      <c r="O42"/>
      <c r="P42"/>
      <c r="Q42"/>
      <c r="R42"/>
      <c r="S42"/>
    </row>
    <row r="43" spans="1:19" x14ac:dyDescent="0.2">
      <c r="A43" s="573" t="str">
        <f t="shared" si="3"/>
        <v>x</v>
      </c>
      <c r="C43" s="564">
        <v>23</v>
      </c>
      <c r="D43" s="596" t="s">
        <v>682</v>
      </c>
      <c r="E43" s="597"/>
      <c r="F43" s="597"/>
      <c r="G43" s="564" t="s">
        <v>675</v>
      </c>
      <c r="H43" s="580">
        <f>'Ingreso Info'!U13</f>
        <v>670</v>
      </c>
      <c r="I43" s="581">
        <v>6.64</v>
      </c>
      <c r="J43" s="582">
        <f t="shared" ref="J43:J47" si="7">ROUND(H43*I43,2)</f>
        <v>4448.8</v>
      </c>
      <c r="M43" s="545"/>
      <c r="N43" s="545"/>
      <c r="O43"/>
      <c r="P43"/>
      <c r="Q43"/>
      <c r="R43"/>
      <c r="S43"/>
    </row>
    <row r="44" spans="1:19" hidden="1" x14ac:dyDescent="0.2">
      <c r="A44" s="573" t="str">
        <f t="shared" si="3"/>
        <v/>
      </c>
      <c r="C44" s="564">
        <v>24</v>
      </c>
      <c r="D44" s="596" t="s">
        <v>683</v>
      </c>
      <c r="E44" s="597"/>
      <c r="F44" s="597"/>
      <c r="G44" s="604" t="s">
        <v>675</v>
      </c>
      <c r="H44" s="580"/>
      <c r="I44" s="581">
        <v>4.8</v>
      </c>
      <c r="J44" s="582">
        <f t="shared" si="7"/>
        <v>0</v>
      </c>
      <c r="M44" s="545"/>
      <c r="N44" s="545"/>
      <c r="O44"/>
      <c r="P44"/>
      <c r="Q44"/>
      <c r="R44"/>
      <c r="S44"/>
    </row>
    <row r="45" spans="1:19" hidden="1" x14ac:dyDescent="0.2">
      <c r="A45" s="573" t="str">
        <f t="shared" si="3"/>
        <v/>
      </c>
      <c r="C45" s="564">
        <v>25</v>
      </c>
      <c r="D45" s="596" t="s">
        <v>684</v>
      </c>
      <c r="E45" s="597"/>
      <c r="F45" s="597"/>
      <c r="G45" s="604" t="s">
        <v>675</v>
      </c>
      <c r="H45" s="580"/>
      <c r="I45" s="581">
        <v>2.41</v>
      </c>
      <c r="J45" s="582">
        <f t="shared" si="7"/>
        <v>0</v>
      </c>
      <c r="M45" s="545"/>
      <c r="N45" s="545"/>
      <c r="O45"/>
      <c r="P45"/>
      <c r="Q45"/>
      <c r="R45"/>
      <c r="S45"/>
    </row>
    <row r="46" spans="1:19" x14ac:dyDescent="0.2">
      <c r="A46" s="573" t="str">
        <f t="shared" si="3"/>
        <v>x</v>
      </c>
      <c r="C46" s="564">
        <v>26</v>
      </c>
      <c r="D46" s="596" t="s">
        <v>685</v>
      </c>
      <c r="E46" s="597"/>
      <c r="F46" s="597"/>
      <c r="G46" s="564" t="s">
        <v>675</v>
      </c>
      <c r="H46" s="580">
        <f>'Ingreso Info'!U17</f>
        <v>450</v>
      </c>
      <c r="I46" s="581">
        <v>5.71</v>
      </c>
      <c r="J46" s="582">
        <f t="shared" si="7"/>
        <v>2569.5</v>
      </c>
      <c r="M46" s="545"/>
      <c r="N46" s="545"/>
      <c r="O46"/>
      <c r="P46"/>
      <c r="Q46"/>
      <c r="R46"/>
      <c r="S46"/>
    </row>
    <row r="47" spans="1:19" hidden="1" x14ac:dyDescent="0.2">
      <c r="A47" s="573" t="str">
        <f t="shared" si="3"/>
        <v/>
      </c>
      <c r="C47" s="564">
        <v>27</v>
      </c>
      <c r="D47" s="596" t="s">
        <v>686</v>
      </c>
      <c r="E47" s="597"/>
      <c r="F47" s="597"/>
      <c r="G47" s="604" t="s">
        <v>675</v>
      </c>
      <c r="H47" s="583"/>
      <c r="I47" s="581">
        <v>2.2000000000000002</v>
      </c>
      <c r="J47" s="582">
        <f t="shared" si="7"/>
        <v>0</v>
      </c>
      <c r="M47" s="545"/>
      <c r="N47" s="545"/>
      <c r="O47"/>
      <c r="P47"/>
      <c r="Q47"/>
      <c r="R47"/>
      <c r="S47"/>
    </row>
    <row r="48" spans="1:19" hidden="1" x14ac:dyDescent="0.2">
      <c r="A48" s="573" t="str">
        <f t="shared" si="3"/>
        <v/>
      </c>
      <c r="C48" s="564">
        <v>28</v>
      </c>
      <c r="D48" s="596" t="s">
        <v>687</v>
      </c>
      <c r="E48" s="597"/>
      <c r="F48" s="597"/>
      <c r="G48" s="604" t="s">
        <v>675</v>
      </c>
      <c r="H48" s="580"/>
      <c r="I48" s="581">
        <v>1.47</v>
      </c>
      <c r="J48" s="582">
        <f t="shared" ref="J48:J56" si="8">ROUND(H48*I49,2)</f>
        <v>0</v>
      </c>
      <c r="M48" s="545"/>
      <c r="N48" s="545"/>
    </row>
    <row r="49" spans="1:14" hidden="1" x14ac:dyDescent="0.2">
      <c r="A49" s="573" t="str">
        <f t="shared" si="3"/>
        <v/>
      </c>
      <c r="C49" s="564">
        <v>29</v>
      </c>
      <c r="D49" s="596" t="s">
        <v>688</v>
      </c>
      <c r="E49" s="597"/>
      <c r="F49" s="597"/>
      <c r="G49" s="604" t="s">
        <v>675</v>
      </c>
      <c r="H49" s="580"/>
      <c r="I49" s="581">
        <v>1.21</v>
      </c>
      <c r="J49" s="582">
        <f t="shared" si="8"/>
        <v>0</v>
      </c>
      <c r="M49" s="545"/>
      <c r="N49" s="545"/>
    </row>
    <row r="50" spans="1:14" hidden="1" x14ac:dyDescent="0.2">
      <c r="A50" s="573" t="str">
        <f t="shared" si="3"/>
        <v/>
      </c>
      <c r="C50" s="564">
        <v>30</v>
      </c>
      <c r="D50" s="596" t="s">
        <v>689</v>
      </c>
      <c r="E50" s="597"/>
      <c r="F50" s="597"/>
      <c r="G50" s="604" t="s">
        <v>675</v>
      </c>
      <c r="H50" s="580"/>
      <c r="I50" s="581">
        <v>3.48</v>
      </c>
      <c r="J50" s="582">
        <f t="shared" si="8"/>
        <v>0</v>
      </c>
      <c r="M50" s="545"/>
      <c r="N50" s="545"/>
    </row>
    <row r="51" spans="1:14" hidden="1" x14ac:dyDescent="0.2">
      <c r="A51" s="573" t="str">
        <f t="shared" si="3"/>
        <v/>
      </c>
      <c r="C51" s="564">
        <v>31</v>
      </c>
      <c r="D51" s="596" t="s">
        <v>690</v>
      </c>
      <c r="E51" s="598"/>
      <c r="F51" s="599"/>
      <c r="G51" s="606" t="s">
        <v>675</v>
      </c>
      <c r="H51" s="580"/>
      <c r="I51" s="581">
        <v>3.6</v>
      </c>
      <c r="J51" s="582">
        <f t="shared" si="8"/>
        <v>0</v>
      </c>
      <c r="M51" s="545"/>
      <c r="N51" s="545"/>
    </row>
    <row r="52" spans="1:14" hidden="1" x14ac:dyDescent="0.2">
      <c r="A52" s="573" t="str">
        <f t="shared" si="3"/>
        <v/>
      </c>
      <c r="C52" s="564">
        <v>32</v>
      </c>
      <c r="D52" s="596" t="s">
        <v>683</v>
      </c>
      <c r="E52" s="597"/>
      <c r="F52" s="597"/>
      <c r="G52" s="604" t="s">
        <v>675</v>
      </c>
      <c r="H52" s="580"/>
      <c r="I52" s="581">
        <v>4.5599999999999996</v>
      </c>
      <c r="J52" s="582">
        <f t="shared" si="8"/>
        <v>0</v>
      </c>
      <c r="M52" s="457"/>
      <c r="N52" s="457"/>
    </row>
    <row r="53" spans="1:14" hidden="1" x14ac:dyDescent="0.2">
      <c r="A53" s="573" t="str">
        <f t="shared" si="3"/>
        <v/>
      </c>
      <c r="C53" s="564">
        <v>33</v>
      </c>
      <c r="D53" s="596" t="s">
        <v>691</v>
      </c>
      <c r="E53" s="597"/>
      <c r="F53" s="597"/>
      <c r="G53" s="604" t="s">
        <v>675</v>
      </c>
      <c r="H53" s="580"/>
      <c r="I53" s="581">
        <v>5.28</v>
      </c>
      <c r="J53" s="582">
        <f t="shared" si="8"/>
        <v>0</v>
      </c>
      <c r="M53" s="457"/>
      <c r="N53" s="457"/>
    </row>
    <row r="54" spans="1:14" hidden="1" x14ac:dyDescent="0.2">
      <c r="A54" s="573" t="str">
        <f t="shared" si="3"/>
        <v/>
      </c>
      <c r="C54" s="564">
        <v>34</v>
      </c>
      <c r="D54" s="596" t="s">
        <v>692</v>
      </c>
      <c r="E54" s="597"/>
      <c r="F54" s="597"/>
      <c r="G54" s="607" t="s">
        <v>679</v>
      </c>
      <c r="H54" s="580"/>
      <c r="I54" s="581">
        <v>4.9800000000000004</v>
      </c>
      <c r="J54" s="582">
        <f t="shared" si="8"/>
        <v>0</v>
      </c>
      <c r="M54" s="457"/>
      <c r="N54" s="457"/>
    </row>
    <row r="55" spans="1:14" hidden="1" x14ac:dyDescent="0.2">
      <c r="A55" s="573" t="str">
        <f t="shared" si="3"/>
        <v/>
      </c>
      <c r="C55" s="564">
        <v>35</v>
      </c>
      <c r="D55" s="596" t="s">
        <v>592</v>
      </c>
      <c r="E55" s="597"/>
      <c r="F55" s="597"/>
      <c r="G55" s="564" t="s">
        <v>693</v>
      </c>
      <c r="H55" s="580">
        <f>'Ingreso Info'!U27</f>
        <v>0</v>
      </c>
      <c r="I55" s="581">
        <v>3.82</v>
      </c>
      <c r="J55" s="582">
        <f t="shared" si="8"/>
        <v>0</v>
      </c>
      <c r="M55" s="457"/>
      <c r="N55" s="457"/>
    </row>
    <row r="56" spans="1:14" hidden="1" x14ac:dyDescent="0.2">
      <c r="A56" s="573" t="str">
        <f t="shared" si="3"/>
        <v/>
      </c>
      <c r="C56" s="564">
        <v>36</v>
      </c>
      <c r="D56" s="596" t="s">
        <v>694</v>
      </c>
      <c r="E56" s="597"/>
      <c r="F56" s="597"/>
      <c r="G56" s="607" t="s">
        <v>675</v>
      </c>
      <c r="H56" s="580"/>
      <c r="I56" s="581">
        <v>3.78</v>
      </c>
      <c r="J56" s="582">
        <f t="shared" si="8"/>
        <v>0</v>
      </c>
      <c r="M56" s="457"/>
      <c r="N56" s="457"/>
    </row>
    <row r="57" spans="1:14" ht="14.25" x14ac:dyDescent="0.2">
      <c r="A57" s="573" t="s">
        <v>634</v>
      </c>
      <c r="C57" s="600"/>
      <c r="D57" s="601"/>
      <c r="E57" s="602"/>
      <c r="F57" s="603"/>
      <c r="G57" s="608"/>
      <c r="H57" s="512"/>
      <c r="I57" s="513"/>
      <c r="J57" s="570"/>
      <c r="M57" s="457"/>
      <c r="N57" s="457"/>
    </row>
    <row r="58" spans="1:14" ht="14.25" hidden="1" x14ac:dyDescent="0.2">
      <c r="A58" s="573" t="str">
        <f>IF(J59=0,"","x")</f>
        <v/>
      </c>
      <c r="D58" s="464"/>
      <c r="E58" s="464"/>
      <c r="F58" s="464"/>
      <c r="G58" s="464"/>
      <c r="H58" s="719" t="s">
        <v>532</v>
      </c>
      <c r="I58" s="719"/>
      <c r="J58" s="558">
        <f>SUM(J34:J56)</f>
        <v>77965.2</v>
      </c>
      <c r="M58" s="457"/>
      <c r="N58" s="457"/>
    </row>
    <row r="59" spans="1:14" ht="14.25" hidden="1" x14ac:dyDescent="0.2">
      <c r="A59" s="573" t="str">
        <f>IF(J59=0,"","x")</f>
        <v/>
      </c>
      <c r="D59" s="521"/>
      <c r="E59" s="521"/>
      <c r="F59" s="522"/>
      <c r="G59" s="464"/>
      <c r="H59" s="518" t="s">
        <v>526</v>
      </c>
      <c r="I59" s="523">
        <f>IF(H54&lt;9000,0,IF(H54&gt;10999,0.09,0.07))</f>
        <v>0</v>
      </c>
      <c r="J59" s="524">
        <f>I59*J58</f>
        <v>0</v>
      </c>
      <c r="M59" s="457"/>
      <c r="N59" s="457"/>
    </row>
    <row r="60" spans="1:14" ht="14.25" x14ac:dyDescent="0.2">
      <c r="A60" s="573" t="s">
        <v>634</v>
      </c>
      <c r="D60" s="521"/>
      <c r="E60" s="521"/>
      <c r="F60" s="521"/>
      <c r="G60" s="499"/>
      <c r="H60" s="707" t="s">
        <v>527</v>
      </c>
      <c r="I60" s="708"/>
      <c r="J60" s="517">
        <f>J58-J59</f>
        <v>77965.2</v>
      </c>
      <c r="M60" s="457"/>
      <c r="N60" s="457"/>
    </row>
    <row r="61" spans="1:14" ht="14.25" x14ac:dyDescent="0.2">
      <c r="A61" s="573" t="s">
        <v>634</v>
      </c>
      <c r="D61" s="521"/>
      <c r="E61" s="521"/>
      <c r="F61" s="521"/>
      <c r="G61" s="499"/>
      <c r="H61" s="499"/>
      <c r="I61" s="499"/>
      <c r="J61" s="525"/>
      <c r="M61" s="457"/>
      <c r="N61" s="457"/>
    </row>
    <row r="62" spans="1:14" ht="14.25" x14ac:dyDescent="0.2">
      <c r="A62" s="573" t="s">
        <v>634</v>
      </c>
      <c r="D62" s="521"/>
      <c r="E62" s="521"/>
      <c r="F62" s="521"/>
      <c r="G62" s="709" t="s">
        <v>536</v>
      </c>
      <c r="H62" s="709"/>
      <c r="I62" s="709"/>
      <c r="J62" s="711">
        <f>J30+J60</f>
        <v>102810.2</v>
      </c>
      <c r="M62" s="457"/>
      <c r="N62" s="457"/>
    </row>
    <row r="63" spans="1:14" ht="14.25" x14ac:dyDescent="0.2">
      <c r="A63" s="573" t="s">
        <v>634</v>
      </c>
      <c r="D63" s="497"/>
      <c r="E63" s="497"/>
      <c r="F63" s="497"/>
      <c r="G63" s="710"/>
      <c r="H63" s="710"/>
      <c r="I63" s="710"/>
      <c r="J63" s="712"/>
      <c r="M63" s="457"/>
      <c r="N63" s="457"/>
    </row>
    <row r="64" spans="1:14" x14ac:dyDescent="0.2">
      <c r="A64" s="573" t="s">
        <v>634</v>
      </c>
      <c r="J64" s="494"/>
      <c r="M64" s="457"/>
      <c r="N64" s="457"/>
    </row>
    <row r="65" spans="1:14" x14ac:dyDescent="0.2">
      <c r="A65" s="573" t="s">
        <v>634</v>
      </c>
      <c r="M65" s="457"/>
      <c r="N65" s="457"/>
    </row>
    <row r="66" spans="1:14" x14ac:dyDescent="0.2">
      <c r="A66" s="573" t="s">
        <v>634</v>
      </c>
      <c r="M66" s="457"/>
      <c r="N66" s="457"/>
    </row>
    <row r="67" spans="1:14" x14ac:dyDescent="0.2">
      <c r="A67" s="573" t="s">
        <v>634</v>
      </c>
      <c r="M67" s="457"/>
      <c r="N67" s="457"/>
    </row>
    <row r="68" spans="1:14" x14ac:dyDescent="0.2">
      <c r="A68" s="573" t="s">
        <v>634</v>
      </c>
      <c r="M68" s="457"/>
      <c r="N68" s="457"/>
    </row>
    <row r="69" spans="1:14" x14ac:dyDescent="0.2">
      <c r="A69" s="573" t="s">
        <v>634</v>
      </c>
    </row>
    <row r="70" spans="1:14" x14ac:dyDescent="0.2">
      <c r="A70" s="573" t="s">
        <v>634</v>
      </c>
      <c r="D70" s="455" t="s">
        <v>213</v>
      </c>
      <c r="I70" s="455" t="s">
        <v>212</v>
      </c>
    </row>
    <row r="71" spans="1:14" x14ac:dyDescent="0.2">
      <c r="A71" s="573" t="s">
        <v>634</v>
      </c>
      <c r="D71" s="455" t="s">
        <v>644</v>
      </c>
      <c r="I71" s="455" t="s">
        <v>210</v>
      </c>
    </row>
    <row r="72" spans="1:14" x14ac:dyDescent="0.2">
      <c r="A72" s="573" t="s">
        <v>634</v>
      </c>
    </row>
    <row r="73" spans="1:14" x14ac:dyDescent="0.2">
      <c r="A73" s="573" t="s">
        <v>634</v>
      </c>
    </row>
    <row r="74" spans="1:14" x14ac:dyDescent="0.2">
      <c r="A74" s="573" t="s">
        <v>634</v>
      </c>
    </row>
    <row r="109" spans="2:20" s="573" customFormat="1" hidden="1" x14ac:dyDescent="0.2">
      <c r="B109" s="455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</row>
    <row r="110" spans="2:20" s="573" customFormat="1" hidden="1" x14ac:dyDescent="0.2">
      <c r="B110" s="455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</row>
    <row r="111" spans="2:20" s="573" customFormat="1" hidden="1" x14ac:dyDescent="0.2">
      <c r="B111" s="455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</row>
    <row r="112" spans="2:20" s="573" customFormat="1" hidden="1" x14ac:dyDescent="0.2">
      <c r="B112" s="455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</row>
  </sheetData>
  <autoFilter ref="A1:A74" xr:uid="{00000000-0009-0000-0000-000006000000}">
    <filterColumn colId="0">
      <customFilters>
        <customFilter operator="notEqual" val=" "/>
      </customFilters>
    </filterColumn>
  </autoFilter>
  <mergeCells count="27">
    <mergeCell ref="C9:D9"/>
    <mergeCell ref="D25:F25"/>
    <mergeCell ref="H60:I60"/>
    <mergeCell ref="G62:I63"/>
    <mergeCell ref="J62:J63"/>
    <mergeCell ref="D14:F14"/>
    <mergeCell ref="D15:F15"/>
    <mergeCell ref="D16:F16"/>
    <mergeCell ref="D17:F17"/>
    <mergeCell ref="D18:F18"/>
    <mergeCell ref="D19:F19"/>
    <mergeCell ref="D20:F20"/>
    <mergeCell ref="H28:I28"/>
    <mergeCell ref="H30:I30"/>
    <mergeCell ref="C33:J33"/>
    <mergeCell ref="H58:I58"/>
    <mergeCell ref="D2:J2"/>
    <mergeCell ref="C5:D5"/>
    <mergeCell ref="C6:D6"/>
    <mergeCell ref="C7:D7"/>
    <mergeCell ref="C8:D8"/>
    <mergeCell ref="D26:F26"/>
    <mergeCell ref="D24:F24"/>
    <mergeCell ref="D23:F23"/>
    <mergeCell ref="C10:D10"/>
    <mergeCell ref="C13:J13"/>
    <mergeCell ref="D21:F21"/>
  </mergeCells>
  <printOptions horizontalCentered="1"/>
  <pageMargins left="0.19685039370078741" right="0.19685039370078741" top="1.5748031496062993" bottom="0.78740157480314965" header="0.19685039370078741" footer="0.39370078740157483"/>
  <pageSetup paperSize="9" orientation="portrait" r:id="rId1"/>
  <headerFooter scaleWithDoc="0" alignWithMargins="0">
    <oddHeader>&amp;L&amp;G</oddHeader>
    <oddFooter>&amp;C&amp;"Arial,Negrita"&amp;9Pecom Servicios Energía S.A.&amp;"Arial,Normal"
Parque Industrial Municipal, Lujan de Cuyo
Ruta Provincial 87 N°8400 Km 10 - 5509 – Perdriel -  Luján de Cuyo-  Mendoza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63"/>
  <sheetViews>
    <sheetView view="pageBreakPreview" topLeftCell="A10" zoomScaleNormal="100" zoomScaleSheetLayoutView="100" workbookViewId="0">
      <selection sqref="A1:G26"/>
    </sheetView>
  </sheetViews>
  <sheetFormatPr baseColWidth="10" defaultRowHeight="12.75" x14ac:dyDescent="0.2"/>
  <cols>
    <col min="1" max="1" width="18.5703125" customWidth="1"/>
    <col min="2" max="2" width="21.42578125" customWidth="1"/>
    <col min="4" max="4" width="11.42578125" customWidth="1"/>
    <col min="5" max="7" width="12.85546875" customWidth="1"/>
    <col min="9" max="9" width="14.28515625" bestFit="1" customWidth="1"/>
    <col min="11" max="11" width="5.85546875" customWidth="1"/>
    <col min="12" max="12" width="5" bestFit="1" customWidth="1"/>
  </cols>
  <sheetData>
    <row r="1" spans="1:7" ht="18" x14ac:dyDescent="0.25">
      <c r="A1" s="234"/>
      <c r="B1" s="733" t="s">
        <v>518</v>
      </c>
      <c r="C1" s="733"/>
      <c r="D1" s="733"/>
      <c r="E1" s="733"/>
      <c r="F1" s="733"/>
      <c r="G1" s="80"/>
    </row>
    <row r="2" spans="1:7" x14ac:dyDescent="0.2">
      <c r="A2" s="81"/>
      <c r="G2" s="82"/>
    </row>
    <row r="3" spans="1:7" x14ac:dyDescent="0.2">
      <c r="A3" s="81"/>
      <c r="G3" s="82"/>
    </row>
    <row r="4" spans="1:7" x14ac:dyDescent="0.2">
      <c r="A4" s="81"/>
      <c r="B4" s="734" t="str">
        <f>CONCATENATE("Reporte N° ",'Ingreso Info'!B12)</f>
        <v>Reporte N° -</v>
      </c>
      <c r="C4" s="734"/>
      <c r="D4" s="734"/>
      <c r="E4" s="259"/>
      <c r="G4" s="82"/>
    </row>
    <row r="5" spans="1:7" x14ac:dyDescent="0.2">
      <c r="A5" s="81"/>
      <c r="G5" s="82"/>
    </row>
    <row r="6" spans="1:7" x14ac:dyDescent="0.2">
      <c r="A6" s="81"/>
      <c r="G6" s="82"/>
    </row>
    <row r="7" spans="1:7" ht="13.5" thickBot="1" x14ac:dyDescent="0.25">
      <c r="A7" s="81"/>
      <c r="G7" s="82"/>
    </row>
    <row r="8" spans="1:7" ht="13.5" thickBot="1" x14ac:dyDescent="0.25">
      <c r="A8" s="260" t="s">
        <v>0</v>
      </c>
      <c r="B8" s="4" t="str">
        <f>'Ingreso Info'!B3</f>
        <v>Lindero Atravesado</v>
      </c>
      <c r="C8" s="5"/>
      <c r="D8" s="5"/>
      <c r="E8" s="5"/>
      <c r="G8" s="261" t="s">
        <v>222</v>
      </c>
    </row>
    <row r="9" spans="1:7" ht="13.5" thickBot="1" x14ac:dyDescent="0.25">
      <c r="A9" s="260" t="s">
        <v>1</v>
      </c>
      <c r="B9" s="183" t="str">
        <f>'Ingreso Info'!B4</f>
        <v>LA.s-399</v>
      </c>
      <c r="C9" s="5"/>
      <c r="D9" s="5"/>
      <c r="E9" s="232" t="s">
        <v>9</v>
      </c>
      <c r="F9" s="231">
        <f>'Ingreso Info'!B31</f>
        <v>1234</v>
      </c>
      <c r="G9" s="262">
        <f>'Ingreso Info'!B32</f>
        <v>1616</v>
      </c>
    </row>
    <row r="10" spans="1:7" ht="13.5" thickBot="1" x14ac:dyDescent="0.25">
      <c r="A10" s="260" t="s">
        <v>287</v>
      </c>
      <c r="B10" s="183" t="str">
        <f>'Ingreso Info'!B5</f>
        <v>Inyector</v>
      </c>
      <c r="C10" s="5"/>
      <c r="D10" s="5"/>
      <c r="E10" s="735" t="s">
        <v>221</v>
      </c>
      <c r="F10" s="736"/>
      <c r="G10" s="263">
        <f>'Ingreso Info'!B33</f>
        <v>170</v>
      </c>
    </row>
    <row r="11" spans="1:7" ht="13.5" thickBot="1" x14ac:dyDescent="0.25">
      <c r="A11" s="260" t="s">
        <v>36</v>
      </c>
      <c r="B11" s="182" t="str">
        <f>'Ingreso Info'!B7</f>
        <v>Selectiva</v>
      </c>
      <c r="C11" s="5"/>
      <c r="D11" s="5"/>
      <c r="E11" s="5"/>
      <c r="F11" s="179"/>
      <c r="G11" s="264"/>
    </row>
    <row r="12" spans="1:7" ht="13.5" thickBot="1" x14ac:dyDescent="0.25">
      <c r="A12" s="260" t="s">
        <v>4</v>
      </c>
      <c r="B12" s="181" t="str">
        <f>'Ingreso Info'!B8</f>
        <v>1 -2 -3 -4 -5</v>
      </c>
      <c r="C12" s="5"/>
      <c r="D12" s="5"/>
      <c r="E12" s="5"/>
      <c r="F12" s="5"/>
      <c r="G12" s="264"/>
    </row>
    <row r="13" spans="1:7" ht="13.5" thickBot="1" x14ac:dyDescent="0.25">
      <c r="A13" s="260" t="s">
        <v>5</v>
      </c>
      <c r="B13" s="182" t="str">
        <f>'Ingreso Info'!B9</f>
        <v>Bombeo Químico</v>
      </c>
      <c r="C13" s="5"/>
      <c r="D13" s="5"/>
      <c r="E13" s="232" t="s">
        <v>220</v>
      </c>
      <c r="F13" s="231">
        <f>'Ingreso Info'!B14</f>
        <v>100</v>
      </c>
      <c r="G13" s="82"/>
    </row>
    <row r="14" spans="1:7" ht="13.5" thickBot="1" x14ac:dyDescent="0.25">
      <c r="A14" s="260" t="s">
        <v>6</v>
      </c>
      <c r="B14" s="180">
        <f ca="1">'Ingreso Info'!B11</f>
        <v>45376</v>
      </c>
      <c r="C14" s="5"/>
      <c r="D14" s="5"/>
      <c r="E14" s="232" t="s">
        <v>285</v>
      </c>
      <c r="F14" s="636" t="s">
        <v>286</v>
      </c>
      <c r="G14" s="737"/>
    </row>
    <row r="15" spans="1:7" ht="13.5" thickBot="1" x14ac:dyDescent="0.25">
      <c r="A15" s="260" t="s">
        <v>219</v>
      </c>
      <c r="B15" s="180" t="str">
        <f>'Ingreso Info'!B13</f>
        <v>Sin equipo</v>
      </c>
      <c r="C15" s="5"/>
      <c r="D15" s="5"/>
      <c r="E15" s="5"/>
      <c r="F15" s="179"/>
      <c r="G15" s="264"/>
    </row>
    <row r="16" spans="1:7" x14ac:dyDescent="0.2">
      <c r="A16" s="265"/>
      <c r="G16" s="82"/>
    </row>
    <row r="17" spans="1:12" x14ac:dyDescent="0.2">
      <c r="A17" s="81"/>
      <c r="G17" s="82"/>
    </row>
    <row r="18" spans="1:12" ht="13.5" thickBot="1" x14ac:dyDescent="0.25">
      <c r="A18" s="266"/>
      <c r="F18" s="178"/>
      <c r="G18" s="264"/>
    </row>
    <row r="19" spans="1:12" ht="13.5" thickBot="1" x14ac:dyDescent="0.25">
      <c r="A19" s="267"/>
      <c r="B19" s="25" t="s">
        <v>12</v>
      </c>
      <c r="C19" s="25"/>
      <c r="D19" s="177" t="s">
        <v>218</v>
      </c>
      <c r="E19" s="177" t="s">
        <v>217</v>
      </c>
      <c r="F19" s="177" t="s">
        <v>191</v>
      </c>
      <c r="G19" s="268" t="s">
        <v>194</v>
      </c>
    </row>
    <row r="20" spans="1:12" ht="15" thickBot="1" x14ac:dyDescent="0.25">
      <c r="A20" s="269" t="s">
        <v>247</v>
      </c>
      <c r="B20" s="172"/>
      <c r="C20" s="211"/>
      <c r="D20" s="201"/>
      <c r="E20" s="171"/>
      <c r="F20" s="195"/>
      <c r="G20" s="270"/>
    </row>
    <row r="21" spans="1:12" ht="14.25" x14ac:dyDescent="0.2">
      <c r="A21" s="274" t="s">
        <v>199</v>
      </c>
      <c r="B21" s="176"/>
      <c r="C21" s="176"/>
      <c r="D21" s="196">
        <v>1</v>
      </c>
      <c r="E21" s="175">
        <v>13028.02</v>
      </c>
      <c r="F21" s="192"/>
      <c r="G21" s="271">
        <f>ROUND(D21*E21,2)</f>
        <v>13028.02</v>
      </c>
    </row>
    <row r="22" spans="1:12" ht="14.25" x14ac:dyDescent="0.2">
      <c r="A22" s="274" t="s">
        <v>216</v>
      </c>
      <c r="B22" s="170"/>
      <c r="C22" s="170"/>
      <c r="D22" s="197">
        <f>IF(F13-50&lt;0,0,F13-50)</f>
        <v>50</v>
      </c>
      <c r="E22" s="169">
        <v>9.98</v>
      </c>
      <c r="F22" s="193"/>
      <c r="G22" s="275">
        <f>ROUND(D22*E22,2)</f>
        <v>499</v>
      </c>
    </row>
    <row r="23" spans="1:12" ht="14.25" x14ac:dyDescent="0.2">
      <c r="A23" s="278" t="s">
        <v>200</v>
      </c>
      <c r="B23" s="170"/>
      <c r="C23" s="170"/>
      <c r="D23" s="197">
        <v>1</v>
      </c>
      <c r="E23" s="169">
        <v>4279.68</v>
      </c>
      <c r="F23" s="193"/>
      <c r="G23" s="275">
        <f>ROUND(D23*E23,2)</f>
        <v>4279.68</v>
      </c>
    </row>
    <row r="24" spans="1:12" ht="14.25" x14ac:dyDescent="0.2">
      <c r="A24" s="274" t="s">
        <v>216</v>
      </c>
      <c r="B24" s="170"/>
      <c r="C24" s="170"/>
      <c r="D24" s="197">
        <f>IF(F13-50&lt;0,0,F13-50)</f>
        <v>50</v>
      </c>
      <c r="E24" s="169">
        <v>9.98</v>
      </c>
      <c r="F24" s="193"/>
      <c r="G24" s="275">
        <f>ROUND(D24*E24,2)</f>
        <v>499</v>
      </c>
    </row>
    <row r="25" spans="1:12" ht="15" thickBot="1" x14ac:dyDescent="0.25">
      <c r="A25" s="272"/>
      <c r="B25" s="174"/>
      <c r="C25" s="174"/>
      <c r="D25" s="198"/>
      <c r="E25" s="173"/>
      <c r="F25" s="194"/>
      <c r="G25" s="273"/>
      <c r="I25" s="738" t="s">
        <v>303</v>
      </c>
      <c r="J25" s="739"/>
      <c r="K25" s="739"/>
      <c r="L25" s="739"/>
    </row>
    <row r="26" spans="1:12" ht="15" thickBot="1" x14ac:dyDescent="0.25">
      <c r="A26" s="269" t="s">
        <v>215</v>
      </c>
      <c r="B26" s="172"/>
      <c r="C26" s="315" t="s">
        <v>205</v>
      </c>
      <c r="D26" s="201" t="s">
        <v>206</v>
      </c>
      <c r="E26" s="171"/>
      <c r="F26" s="195"/>
      <c r="G26" s="270"/>
      <c r="I26" s="312" t="s">
        <v>153</v>
      </c>
      <c r="J26">
        <v>3000</v>
      </c>
      <c r="K26" s="45">
        <f>J26*4%</f>
        <v>120</v>
      </c>
      <c r="L26" s="49">
        <v>125</v>
      </c>
    </row>
    <row r="27" spans="1:12" ht="14.25" x14ac:dyDescent="0.2">
      <c r="A27" s="274" t="s">
        <v>198</v>
      </c>
      <c r="B27" s="170"/>
      <c r="C27" s="256">
        <f>IF(LEFT('Ingreso Info'!B9,5)="Sales",'Ingreso Info'!D27,0)</f>
        <v>0</v>
      </c>
      <c r="D27" s="210">
        <f>ROUND(C27*1.205*0.7,0)</f>
        <v>0</v>
      </c>
      <c r="E27" s="169">
        <v>1.97</v>
      </c>
      <c r="F27" s="193">
        <f>ROUND(D27*E27,2)</f>
        <v>0</v>
      </c>
      <c r="G27" s="275"/>
      <c r="I27" s="313">
        <f>'Ingreso Info'!D32</f>
        <v>7807</v>
      </c>
      <c r="J27">
        <v>4000</v>
      </c>
      <c r="K27">
        <f>J27*4%</f>
        <v>160</v>
      </c>
      <c r="L27" s="49">
        <v>150</v>
      </c>
    </row>
    <row r="28" spans="1:12" ht="14.25" x14ac:dyDescent="0.2">
      <c r="A28" s="278" t="s">
        <v>244</v>
      </c>
      <c r="B28" s="167"/>
      <c r="C28" s="256" t="e">
        <f>'Ingreso Info'!D25*'Ingreso Info'!E25+'Ingreso Info'!AC35</f>
        <v>#VALUE!</v>
      </c>
      <c r="D28" s="199" t="e">
        <f>ROUND(C28*1.04,0)</f>
        <v>#VALUE!</v>
      </c>
      <c r="E28" s="202">
        <v>4.37</v>
      </c>
      <c r="F28" s="193" t="e">
        <f>ROUND(D28*E28,2)</f>
        <v>#VALUE!</v>
      </c>
      <c r="G28" s="279"/>
      <c r="I28" s="74"/>
      <c r="J28">
        <v>5000</v>
      </c>
      <c r="K28">
        <f t="shared" ref="K28:K63" si="0">J28*4%</f>
        <v>200</v>
      </c>
      <c r="L28" s="49">
        <v>200</v>
      </c>
    </row>
    <row r="29" spans="1:12" ht="14.25" x14ac:dyDescent="0.2">
      <c r="A29" s="278" t="s">
        <v>245</v>
      </c>
      <c r="B29" s="167"/>
      <c r="C29" s="256" t="e">
        <f>'Ingreso Info'!D25*'Ingreso Info'!E25</f>
        <v>#VALUE!</v>
      </c>
      <c r="D29" s="199" t="e">
        <f>ROUND(C29*0.945,0)</f>
        <v>#VALUE!</v>
      </c>
      <c r="E29" s="202">
        <v>4.76</v>
      </c>
      <c r="F29" s="193" t="e">
        <f>ROUND(D29*E29,2)</f>
        <v>#VALUE!</v>
      </c>
      <c r="G29" s="279"/>
      <c r="I29" s="74"/>
      <c r="J29">
        <v>6000</v>
      </c>
      <c r="K29">
        <f t="shared" si="0"/>
        <v>240</v>
      </c>
      <c r="L29" s="49">
        <v>250</v>
      </c>
    </row>
    <row r="30" spans="1:12" ht="14.25" x14ac:dyDescent="0.2">
      <c r="A30" s="278" t="s">
        <v>246</v>
      </c>
      <c r="B30" s="168"/>
      <c r="C30" s="256"/>
      <c r="D30" s="199">
        <f>VLOOKUP(I27,J26:L63,3,1)+IF('Ingreso Info'!E27="IAB-7500",'Ingreso Info'!D27*0.08*1.063,0)+IF('Ingreso Info'!E30="Si",VLOOKUP(I27/2,J26:L63,3,1),0)</f>
        <v>300</v>
      </c>
      <c r="E30" s="203">
        <v>4.0599999999999996</v>
      </c>
      <c r="F30" s="193">
        <f>ROUND(D30*E30,2)</f>
        <v>1218</v>
      </c>
      <c r="G30" s="279"/>
      <c r="I30" s="74"/>
      <c r="J30">
        <v>7000</v>
      </c>
      <c r="K30">
        <f t="shared" si="0"/>
        <v>280</v>
      </c>
      <c r="L30" s="49">
        <v>300</v>
      </c>
    </row>
    <row r="31" spans="1:12" ht="14.25" x14ac:dyDescent="0.2">
      <c r="A31" s="278" t="s">
        <v>427</v>
      </c>
      <c r="B31" s="168"/>
      <c r="C31" s="256"/>
      <c r="D31" s="199">
        <f>ROUND(C31*0.933,0)</f>
        <v>0</v>
      </c>
      <c r="E31" s="203">
        <v>6.37</v>
      </c>
      <c r="F31" s="193">
        <f t="shared" ref="F31:F33" si="1">ROUND(D31*E31,2)</f>
        <v>0</v>
      </c>
      <c r="G31" s="279"/>
      <c r="I31" s="74"/>
      <c r="J31">
        <v>8000</v>
      </c>
      <c r="K31">
        <f t="shared" si="0"/>
        <v>320</v>
      </c>
      <c r="L31" s="49">
        <v>325</v>
      </c>
    </row>
    <row r="32" spans="1:12" ht="14.25" x14ac:dyDescent="0.2">
      <c r="A32" s="278" t="s">
        <v>250</v>
      </c>
      <c r="B32" s="167"/>
      <c r="C32" s="256">
        <f>'Ingreso Info'!D34/2*'Ingreso Info'!F34</f>
        <v>0</v>
      </c>
      <c r="D32" s="199">
        <f>ROUND(C32*1.24,0)</f>
        <v>0</v>
      </c>
      <c r="E32" s="203">
        <v>2.7</v>
      </c>
      <c r="F32" s="193">
        <f t="shared" si="1"/>
        <v>0</v>
      </c>
      <c r="G32" s="279"/>
      <c r="I32" s="74"/>
      <c r="J32">
        <v>9000</v>
      </c>
      <c r="K32">
        <f t="shared" si="0"/>
        <v>360</v>
      </c>
      <c r="L32" s="49">
        <v>375</v>
      </c>
    </row>
    <row r="33" spans="1:12" ht="14.25" x14ac:dyDescent="0.2">
      <c r="A33" s="278" t="s">
        <v>440</v>
      </c>
      <c r="B33" s="166"/>
      <c r="C33" s="256">
        <f>'Ingreso Info'!D34/2*5%</f>
        <v>0</v>
      </c>
      <c r="D33" s="199">
        <f>C33</f>
        <v>0</v>
      </c>
      <c r="E33" s="203">
        <v>2.2000000000000002</v>
      </c>
      <c r="F33" s="193">
        <f t="shared" si="1"/>
        <v>0</v>
      </c>
      <c r="G33" s="279"/>
      <c r="I33" s="74"/>
      <c r="J33">
        <v>10000</v>
      </c>
      <c r="K33">
        <f t="shared" si="0"/>
        <v>400</v>
      </c>
      <c r="L33" s="49">
        <v>400</v>
      </c>
    </row>
    <row r="34" spans="1:12" ht="14.25" x14ac:dyDescent="0.2">
      <c r="A34" s="278"/>
      <c r="B34" s="166"/>
      <c r="C34" s="256"/>
      <c r="D34" s="200"/>
      <c r="E34" s="204"/>
      <c r="F34" s="165"/>
      <c r="G34" s="279"/>
      <c r="I34" s="74"/>
      <c r="J34">
        <v>11000</v>
      </c>
      <c r="K34">
        <f t="shared" si="0"/>
        <v>440</v>
      </c>
      <c r="L34" s="49">
        <v>450</v>
      </c>
    </row>
    <row r="35" spans="1:12" ht="13.5" thickBot="1" x14ac:dyDescent="0.25">
      <c r="A35" s="280"/>
      <c r="B35" s="205"/>
      <c r="C35" s="316"/>
      <c r="D35" s="206"/>
      <c r="E35" s="207"/>
      <c r="F35" s="206"/>
      <c r="G35" s="281"/>
      <c r="I35" s="74"/>
      <c r="J35">
        <v>12000</v>
      </c>
      <c r="K35">
        <f t="shared" si="0"/>
        <v>480</v>
      </c>
      <c r="L35" s="49">
        <v>475</v>
      </c>
    </row>
    <row r="36" spans="1:12" ht="13.5" thickBot="1" x14ac:dyDescent="0.25">
      <c r="A36" s="282"/>
      <c r="B36" s="209"/>
      <c r="C36" s="209"/>
      <c r="D36" s="208"/>
      <c r="E36" s="208"/>
      <c r="F36" s="208"/>
      <c r="G36" s="283"/>
      <c r="I36" s="74"/>
      <c r="J36">
        <v>13000</v>
      </c>
      <c r="K36">
        <f t="shared" si="0"/>
        <v>520</v>
      </c>
      <c r="L36" s="49">
        <v>525</v>
      </c>
    </row>
    <row r="37" spans="1:12" ht="13.5" thickBot="1" x14ac:dyDescent="0.25">
      <c r="A37" s="284"/>
      <c r="B37" s="209"/>
      <c r="C37" s="209"/>
      <c r="D37" s="68"/>
      <c r="E37" s="164" t="s">
        <v>214</v>
      </c>
      <c r="F37" s="164" t="s">
        <v>191</v>
      </c>
      <c r="G37" s="285" t="s">
        <v>194</v>
      </c>
      <c r="I37" s="74"/>
      <c r="J37">
        <v>14000</v>
      </c>
      <c r="K37">
        <f t="shared" si="0"/>
        <v>560</v>
      </c>
      <c r="L37" s="49">
        <v>575</v>
      </c>
    </row>
    <row r="38" spans="1:12" ht="13.5" thickBot="1" x14ac:dyDescent="0.25">
      <c r="A38" s="286"/>
      <c r="B38" s="209"/>
      <c r="C38" s="209"/>
      <c r="E38" s="68"/>
      <c r="F38" s="163" t="e">
        <f>SUM(F27:F35)</f>
        <v>#VALUE!</v>
      </c>
      <c r="G38" s="287">
        <f>SUM(G21:G35)</f>
        <v>18305.7</v>
      </c>
      <c r="I38" s="74"/>
      <c r="J38">
        <v>15000</v>
      </c>
      <c r="K38">
        <f t="shared" si="0"/>
        <v>600</v>
      </c>
      <c r="L38" s="49">
        <v>600</v>
      </c>
    </row>
    <row r="39" spans="1:12" x14ac:dyDescent="0.2">
      <c r="A39" s="81"/>
      <c r="G39" s="82"/>
      <c r="I39" s="74"/>
      <c r="J39">
        <v>16000</v>
      </c>
      <c r="K39">
        <f t="shared" si="0"/>
        <v>640</v>
      </c>
      <c r="L39" s="49">
        <v>650</v>
      </c>
    </row>
    <row r="40" spans="1:12" x14ac:dyDescent="0.2">
      <c r="A40" s="81"/>
      <c r="G40" s="82"/>
      <c r="I40" s="74"/>
      <c r="J40">
        <v>17000</v>
      </c>
      <c r="K40">
        <f t="shared" si="0"/>
        <v>680</v>
      </c>
      <c r="L40" s="49">
        <v>675</v>
      </c>
    </row>
    <row r="41" spans="1:12" x14ac:dyDescent="0.2">
      <c r="A41" s="81"/>
      <c r="G41" s="82"/>
      <c r="I41" s="74"/>
      <c r="J41">
        <v>18000</v>
      </c>
      <c r="K41">
        <f t="shared" si="0"/>
        <v>720</v>
      </c>
      <c r="L41" s="49">
        <v>725</v>
      </c>
    </row>
    <row r="42" spans="1:12" x14ac:dyDescent="0.2">
      <c r="A42" s="81"/>
      <c r="G42" s="82"/>
      <c r="I42" s="74"/>
      <c r="J42">
        <v>19000</v>
      </c>
      <c r="K42">
        <f t="shared" si="0"/>
        <v>760</v>
      </c>
      <c r="L42" s="49">
        <v>750</v>
      </c>
    </row>
    <row r="43" spans="1:12" x14ac:dyDescent="0.2">
      <c r="A43" s="81"/>
      <c r="G43" s="82"/>
      <c r="I43" s="74"/>
      <c r="J43">
        <v>20000</v>
      </c>
      <c r="K43">
        <f t="shared" si="0"/>
        <v>800</v>
      </c>
      <c r="L43" s="49">
        <v>800</v>
      </c>
    </row>
    <row r="44" spans="1:12" x14ac:dyDescent="0.2">
      <c r="A44" s="81"/>
      <c r="G44" s="82"/>
      <c r="I44" s="74"/>
      <c r="J44">
        <v>21000</v>
      </c>
      <c r="K44">
        <f t="shared" si="0"/>
        <v>840</v>
      </c>
      <c r="L44" s="49">
        <v>850</v>
      </c>
    </row>
    <row r="45" spans="1:12" x14ac:dyDescent="0.2">
      <c r="A45" s="81"/>
      <c r="G45" s="82"/>
      <c r="I45" s="74"/>
      <c r="J45">
        <v>22000</v>
      </c>
      <c r="K45">
        <f t="shared" si="0"/>
        <v>880</v>
      </c>
      <c r="L45" s="49">
        <v>900</v>
      </c>
    </row>
    <row r="46" spans="1:12" x14ac:dyDescent="0.2">
      <c r="A46" s="81"/>
      <c r="G46" s="82"/>
      <c r="I46" s="74"/>
      <c r="J46">
        <v>23000</v>
      </c>
      <c r="K46">
        <f t="shared" si="0"/>
        <v>920</v>
      </c>
      <c r="L46" s="49">
        <v>925</v>
      </c>
    </row>
    <row r="47" spans="1:12" x14ac:dyDescent="0.2">
      <c r="A47" s="81"/>
      <c r="G47" s="82"/>
      <c r="I47" s="74"/>
      <c r="J47">
        <v>24000</v>
      </c>
      <c r="K47">
        <f t="shared" si="0"/>
        <v>960</v>
      </c>
      <c r="L47" s="49">
        <v>950</v>
      </c>
    </row>
    <row r="48" spans="1:12" x14ac:dyDescent="0.2">
      <c r="A48" s="81"/>
      <c r="G48" s="82"/>
      <c r="I48" s="74"/>
      <c r="J48">
        <v>25000</v>
      </c>
      <c r="K48">
        <f t="shared" si="0"/>
        <v>1000</v>
      </c>
      <c r="L48" s="49">
        <v>1000</v>
      </c>
    </row>
    <row r="49" spans="1:12" x14ac:dyDescent="0.2">
      <c r="A49" s="81"/>
      <c r="G49" s="82"/>
      <c r="I49" s="74"/>
      <c r="J49">
        <v>26000</v>
      </c>
      <c r="K49">
        <f t="shared" si="0"/>
        <v>1040</v>
      </c>
      <c r="L49" s="49">
        <v>1050</v>
      </c>
    </row>
    <row r="50" spans="1:12" x14ac:dyDescent="0.2">
      <c r="A50" s="81"/>
      <c r="G50" s="82"/>
      <c r="I50" s="74"/>
      <c r="J50">
        <v>27000</v>
      </c>
      <c r="K50">
        <f t="shared" si="0"/>
        <v>1080</v>
      </c>
      <c r="L50" s="49">
        <v>1075</v>
      </c>
    </row>
    <row r="51" spans="1:12" x14ac:dyDescent="0.2">
      <c r="A51" s="81"/>
      <c r="G51" s="82"/>
      <c r="I51" s="74"/>
      <c r="J51">
        <v>28000</v>
      </c>
      <c r="K51">
        <f t="shared" si="0"/>
        <v>1120</v>
      </c>
      <c r="L51" s="49">
        <v>1125</v>
      </c>
    </row>
    <row r="52" spans="1:12" x14ac:dyDescent="0.2">
      <c r="A52" s="81"/>
      <c r="G52" s="82"/>
      <c r="I52" s="74"/>
      <c r="J52">
        <v>29000</v>
      </c>
      <c r="K52">
        <f t="shared" si="0"/>
        <v>1160</v>
      </c>
      <c r="L52" s="49">
        <v>1150</v>
      </c>
    </row>
    <row r="53" spans="1:12" x14ac:dyDescent="0.2">
      <c r="A53" s="81"/>
      <c r="G53" s="82"/>
      <c r="I53" s="74"/>
      <c r="J53">
        <v>30000</v>
      </c>
      <c r="K53">
        <f t="shared" si="0"/>
        <v>1200</v>
      </c>
      <c r="L53" s="49">
        <v>1200</v>
      </c>
    </row>
    <row r="54" spans="1:12" x14ac:dyDescent="0.2">
      <c r="A54" s="81"/>
      <c r="G54" s="82"/>
      <c r="I54" s="74"/>
      <c r="J54">
        <v>31000</v>
      </c>
      <c r="K54">
        <f t="shared" si="0"/>
        <v>1240</v>
      </c>
      <c r="L54" s="49">
        <v>1250</v>
      </c>
    </row>
    <row r="55" spans="1:12" x14ac:dyDescent="0.2">
      <c r="A55" s="81"/>
      <c r="G55" s="82"/>
      <c r="I55" s="74"/>
      <c r="J55">
        <v>32000</v>
      </c>
      <c r="K55">
        <f t="shared" si="0"/>
        <v>1280</v>
      </c>
      <c r="L55" s="49">
        <v>1275</v>
      </c>
    </row>
    <row r="56" spans="1:12" x14ac:dyDescent="0.2">
      <c r="A56" s="288" t="s">
        <v>213</v>
      </c>
      <c r="F56" s="1" t="s">
        <v>212</v>
      </c>
      <c r="G56" s="82"/>
      <c r="I56" s="74"/>
      <c r="J56">
        <v>33000</v>
      </c>
      <c r="K56">
        <f t="shared" si="0"/>
        <v>1320</v>
      </c>
      <c r="L56" s="49">
        <v>1325</v>
      </c>
    </row>
    <row r="57" spans="1:12" x14ac:dyDescent="0.2">
      <c r="A57" s="289" t="s">
        <v>211</v>
      </c>
      <c r="B57" s="95"/>
      <c r="C57" s="95"/>
      <c r="D57" s="95"/>
      <c r="E57" s="95"/>
      <c r="F57" s="290" t="s">
        <v>210</v>
      </c>
      <c r="G57" s="96"/>
      <c r="I57" s="74"/>
      <c r="J57">
        <v>34000</v>
      </c>
      <c r="K57">
        <f t="shared" si="0"/>
        <v>1360</v>
      </c>
      <c r="L57" s="49">
        <v>1350</v>
      </c>
    </row>
    <row r="58" spans="1:12" x14ac:dyDescent="0.2">
      <c r="I58" s="74"/>
      <c r="J58">
        <v>35000</v>
      </c>
      <c r="K58">
        <f t="shared" si="0"/>
        <v>1400</v>
      </c>
      <c r="L58" s="49">
        <v>1400</v>
      </c>
    </row>
    <row r="59" spans="1:12" x14ac:dyDescent="0.2">
      <c r="I59" s="74"/>
      <c r="J59">
        <v>36000</v>
      </c>
      <c r="K59">
        <f t="shared" si="0"/>
        <v>1440</v>
      </c>
      <c r="L59" s="49">
        <v>1450</v>
      </c>
    </row>
    <row r="60" spans="1:12" x14ac:dyDescent="0.2">
      <c r="I60" s="74"/>
      <c r="J60">
        <v>37000</v>
      </c>
      <c r="K60">
        <f t="shared" si="0"/>
        <v>1480</v>
      </c>
      <c r="L60" s="49">
        <v>1475</v>
      </c>
    </row>
    <row r="61" spans="1:12" x14ac:dyDescent="0.2">
      <c r="I61" s="74"/>
      <c r="J61">
        <v>38000</v>
      </c>
      <c r="K61">
        <f t="shared" si="0"/>
        <v>1520</v>
      </c>
      <c r="L61" s="49">
        <v>1525</v>
      </c>
    </row>
    <row r="62" spans="1:12" ht="13.5" thickBot="1" x14ac:dyDescent="0.25">
      <c r="I62" s="75"/>
      <c r="J62">
        <v>39000</v>
      </c>
      <c r="K62">
        <f t="shared" si="0"/>
        <v>1560</v>
      </c>
      <c r="L62" s="49">
        <v>1550</v>
      </c>
    </row>
    <row r="63" spans="1:12" ht="13.5" thickBot="1" x14ac:dyDescent="0.25">
      <c r="J63" s="106">
        <v>40000</v>
      </c>
      <c r="K63">
        <f t="shared" si="0"/>
        <v>1600</v>
      </c>
      <c r="L63" s="107">
        <v>1600</v>
      </c>
    </row>
  </sheetData>
  <mergeCells count="5">
    <mergeCell ref="B1:F1"/>
    <mergeCell ref="B4:D4"/>
    <mergeCell ref="E10:F10"/>
    <mergeCell ref="F14:G14"/>
    <mergeCell ref="I25:L25"/>
  </mergeCells>
  <printOptions horizontalCentered="1" verticalCentered="1"/>
  <pageMargins left="0.19685039370078741" right="0.19685039370078741" top="0.39370078740157483" bottom="0.39370078740157483" header="0" footer="0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0de77e2-37bb-4c7a-ab4d-547915d99553" xsi:nil="true"/>
    <lcf76f155ced4ddcb4097134ff3c332f xmlns="730269a7-69c5-483f-a552-e74dab880ae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149471-A439-4B10-B7E7-72A94DEAA016}">
  <ds:schemaRefs>
    <ds:schemaRef ds:uri="http://purl.org/dc/dcmitype/"/>
    <ds:schemaRef ds:uri="http://purl.org/dc/terms/"/>
    <ds:schemaRef ds:uri="http://schemas.microsoft.com/office/infopath/2007/PartnerControls"/>
    <ds:schemaRef ds:uri="4b776626-c6ae-4676-ac32-2adf3fe515f7"/>
    <ds:schemaRef ds:uri="a3751dda-4faa-46de-895a-9b396a56835c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53A783A-0B25-4169-AD44-53EA2AFF1D44}"/>
</file>

<file path=customXml/itemProps3.xml><?xml version="1.0" encoding="utf-8"?>
<ds:datastoreItem xmlns:ds="http://schemas.openxmlformats.org/officeDocument/2006/customXml" ds:itemID="{8B42D864-ACFC-431B-944A-714A7DAB6A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9</vt:i4>
      </vt:variant>
    </vt:vector>
  </HeadingPairs>
  <TitlesOfParts>
    <vt:vector size="20" baseType="lpstr">
      <vt:lpstr>Ingreso Info</vt:lpstr>
      <vt:lpstr>Reporte</vt:lpstr>
      <vt:lpstr>Grafico</vt:lpstr>
      <vt:lpstr>Bombeo</vt:lpstr>
      <vt:lpstr>Programa</vt:lpstr>
      <vt:lpstr>Hoja de Carga</vt:lpstr>
      <vt:lpstr>Ticket</vt:lpstr>
      <vt:lpstr>Ticket Privadas</vt:lpstr>
      <vt:lpstr>Ticket 1</vt:lpstr>
      <vt:lpstr>Programa YPF 2</vt:lpstr>
      <vt:lpstr>Ticket 2</vt:lpstr>
      <vt:lpstr>Grafico!Área_de_impresión</vt:lpstr>
      <vt:lpstr>'Hoja de Carga'!Área_de_impresión</vt:lpstr>
      <vt:lpstr>Programa!Área_de_impresión</vt:lpstr>
      <vt:lpstr>'Programa YPF 2'!Área_de_impresión</vt:lpstr>
      <vt:lpstr>Reporte!Área_de_impresión</vt:lpstr>
      <vt:lpstr>Ticket!Área_de_impresión</vt:lpstr>
      <vt:lpstr>'Ticket 1'!Área_de_impresión</vt:lpstr>
      <vt:lpstr>'Ticket 2'!Área_de_impresión</vt:lpstr>
      <vt:lpstr>'Ticket Privadas'!Área_de_impresión</vt:lpstr>
    </vt:vector>
  </TitlesOfParts>
  <Company>Bolland y Cía.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versión 01</dc:title>
  <dc:creator>Javier Salcedo</dc:creator>
  <cp:lastModifiedBy>Salcedo Viani, Javier Emanuel</cp:lastModifiedBy>
  <cp:lastPrinted>2024-03-25T19:19:38Z</cp:lastPrinted>
  <dcterms:created xsi:type="dcterms:W3CDTF">2007-12-28T16:18:55Z</dcterms:created>
  <dcterms:modified xsi:type="dcterms:W3CDTF">2024-03-25T19:19:48Z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