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Legend" sheetId="2" r:id="rId5"/>
    <sheet state="visible" name="Map" sheetId="3" r:id="rId6"/>
  </sheets>
  <externalReferences>
    <externalReference r:id="rId7"/>
  </externalReferences>
  <definedNames/>
  <calcPr/>
  <extLst>
    <ext uri="GoogleSheetsCustomDataVersion2">
      <go:sheetsCustomData xmlns:go="http://customooxmlschemas.google.com/" r:id="rId8" roundtripDataChecksum="LFo0s4qIBoJgPrjCb39b1gwUMysA4Aw7Ztx9/GJf8AU="/>
    </ext>
  </extLst>
</workbook>
</file>

<file path=xl/sharedStrings.xml><?xml version="1.0" encoding="utf-8"?>
<sst xmlns="http://schemas.openxmlformats.org/spreadsheetml/2006/main" count="1424" uniqueCount="359">
  <si>
    <t>Baanvak</t>
  </si>
  <si>
    <t>Geocode</t>
  </si>
  <si>
    <t>Van</t>
  </si>
  <si>
    <t>Tot</t>
  </si>
  <si>
    <t>Emplacement</t>
  </si>
  <si>
    <t>Tranche 1 ERTMS</t>
  </si>
  <si>
    <t>ERTMS in 2031</t>
  </si>
  <si>
    <t>Baanvaklengt (km)</t>
  </si>
  <si>
    <t>Aantal sporen</t>
  </si>
  <si>
    <t>Type Baanvak</t>
  </si>
  <si>
    <t>Reizigers per dag</t>
  </si>
  <si>
    <t>Veen</t>
  </si>
  <si>
    <t>Zand</t>
  </si>
  <si>
    <t>Lichte zavel</t>
  </si>
  <si>
    <t>Zware zavel</t>
  </si>
  <si>
    <t>Lichte klei</t>
  </si>
  <si>
    <t>Zware klei</t>
  </si>
  <si>
    <t>Leem</t>
  </si>
  <si>
    <t>Zand combi</t>
  </si>
  <si>
    <t>Klei combi</t>
  </si>
  <si>
    <t>Stedelijk gebied</t>
  </si>
  <si>
    <t>Stedelijk/Voorstedelijk/Regionaal</t>
  </si>
  <si>
    <t>Treinbeveiligingssysteem</t>
  </si>
  <si>
    <t>Detectie systeem</t>
  </si>
  <si>
    <t>km spoor</t>
  </si>
  <si>
    <t>ATB bakens</t>
  </si>
  <si>
    <t>Assentellers</t>
  </si>
  <si>
    <t>Balises</t>
  </si>
  <si>
    <t>Bordsein</t>
  </si>
  <si>
    <t>Kruising</t>
  </si>
  <si>
    <t>Overweg</t>
  </si>
  <si>
    <t>Lichtsein</t>
  </si>
  <si>
    <t>Matrxisignaalgever</t>
  </si>
  <si>
    <t>Stations</t>
  </si>
  <si>
    <t>Wissels</t>
  </si>
  <si>
    <t>Spoorstroomloopsectie</t>
  </si>
  <si>
    <t>Spoorviaduct</t>
  </si>
  <si>
    <t>Viaduct</t>
  </si>
  <si>
    <t>Spoorbrug</t>
  </si>
  <si>
    <t>Verkeersbrug</t>
  </si>
  <si>
    <t>Spoortunnel</t>
  </si>
  <si>
    <t>Ecoduct</t>
  </si>
  <si>
    <t>Harlingen Haven (incl)</t>
  </si>
  <si>
    <t>Leeuwarden (excl)</t>
  </si>
  <si>
    <t>Nee</t>
  </si>
  <si>
    <t>Ja</t>
  </si>
  <si>
    <t>Een</t>
  </si>
  <si>
    <t>tertair</t>
  </si>
  <si>
    <t>0-1000</t>
  </si>
  <si>
    <t>Regionaal</t>
  </si>
  <si>
    <t>ATB-NG</t>
  </si>
  <si>
    <t>Stavoren(incl)</t>
  </si>
  <si>
    <t>Leeuwarden Station</t>
  </si>
  <si>
    <t>Twee</t>
  </si>
  <si>
    <t>secundair</t>
  </si>
  <si>
    <t>5000-10000</t>
  </si>
  <si>
    <t>Voorstedelijk</t>
  </si>
  <si>
    <t>ATB-EG</t>
  </si>
  <si>
    <t>Groningen (excl)</t>
  </si>
  <si>
    <t>Groningen Station</t>
  </si>
  <si>
    <t>Drie</t>
  </si>
  <si>
    <t>primair</t>
  </si>
  <si>
    <t>10000-25000</t>
  </si>
  <si>
    <t>Stedelijk</t>
  </si>
  <si>
    <t>6    600    200    201    7    803    815</t>
  </si>
  <si>
    <t>Groningen(Excl)</t>
  </si>
  <si>
    <t>Roodeschool(incl)/ Delftzijl (Incl)</t>
  </si>
  <si>
    <t>003    548    4    653    5    305    775    463    552</t>
  </si>
  <si>
    <t>Nieuweschans (incl)/ Veendam (incl)</t>
  </si>
  <si>
    <t>Meppel (excl)</t>
  </si>
  <si>
    <t>011    549    022    010    654    012    808</t>
  </si>
  <si>
    <t xml:space="preserve">502    013    014    602 </t>
  </si>
  <si>
    <t>Zwolle (excl)</t>
  </si>
  <si>
    <t>Meppel (incl)</t>
  </si>
  <si>
    <t>204    751    203    776    451    844    400</t>
  </si>
  <si>
    <t>Herfte aansluiting (ex)</t>
  </si>
  <si>
    <t>Emmen (inc)</t>
  </si>
  <si>
    <t>1000-5000</t>
  </si>
  <si>
    <t>Zwolle (ex)</t>
  </si>
  <si>
    <t>Kampen (inc)</t>
  </si>
  <si>
    <t>Wierden (ex)</t>
  </si>
  <si>
    <t>Deventer (ex)</t>
  </si>
  <si>
    <t>926    603    604</t>
  </si>
  <si>
    <t>Zwolle</t>
  </si>
  <si>
    <t>205    857</t>
  </si>
  <si>
    <t>Mariënberg (ex)</t>
  </si>
  <si>
    <t>Almelo (ex)</t>
  </si>
  <si>
    <t>606    025    543</t>
  </si>
  <si>
    <t>Almelo (inc)</t>
  </si>
  <si>
    <t>Hengelo (inc)</t>
  </si>
  <si>
    <t>Hengelo (ex)</t>
  </si>
  <si>
    <t>Enschede (inc)</t>
  </si>
  <si>
    <t>Oldenzaal (inc) - grens</t>
  </si>
  <si>
    <t>24    820    605    019</t>
  </si>
  <si>
    <t>Zutphen (ex)</t>
  </si>
  <si>
    <t>Deventer</t>
  </si>
  <si>
    <t>Zutphen</t>
  </si>
  <si>
    <t>031    861</t>
  </si>
  <si>
    <t>210    607</t>
  </si>
  <si>
    <t>Winterswijk (inc)</t>
  </si>
  <si>
    <t>Apeldoorn (ex)</t>
  </si>
  <si>
    <t>033    610    034</t>
  </si>
  <si>
    <t>Arnhem (ex)</t>
  </si>
  <si>
    <t>508    037    507    437    858</t>
  </si>
  <si>
    <t>Arnhem</t>
  </si>
  <si>
    <t>Vier</t>
  </si>
  <si>
    <t>041    510    511    512    044</t>
  </si>
  <si>
    <t>Nijmegen (ex)</t>
  </si>
  <si>
    <t>038    611</t>
  </si>
  <si>
    <t>Zevenaar (inc)</t>
  </si>
  <si>
    <t>039    779</t>
  </si>
  <si>
    <t>Zevenaar (ex)</t>
  </si>
  <si>
    <t>grens</t>
  </si>
  <si>
    <t>Winterswijk (ex)</t>
  </si>
  <si>
    <t>Nijmegen</t>
  </si>
  <si>
    <t>049    756    052    855</t>
  </si>
  <si>
    <t>Venlo (ex)</t>
  </si>
  <si>
    <t>516    517    056    780</t>
  </si>
  <si>
    <t>Venlo (inc)</t>
  </si>
  <si>
    <t>Venlo grens</t>
  </si>
  <si>
    <t>Duits</t>
  </si>
  <si>
    <t>Roermond (ex)</t>
  </si>
  <si>
    <t xml:space="preserve">062    519    059    518    057 </t>
  </si>
  <si>
    <t>Eindhoven (ex)</t>
  </si>
  <si>
    <t>Sittard (ex)</t>
  </si>
  <si>
    <t>Sittard</t>
  </si>
  <si>
    <t>Maastricht (ex)</t>
  </si>
  <si>
    <t>Heerlen (ex)</t>
  </si>
  <si>
    <t>070    521    067</t>
  </si>
  <si>
    <t xml:space="preserve">Maastricht </t>
  </si>
  <si>
    <t>504    065</t>
  </si>
  <si>
    <t>Heerlen</t>
  </si>
  <si>
    <t>Eijsden - grens</t>
  </si>
  <si>
    <t>Belgisch</t>
  </si>
  <si>
    <t>661    066    782    781</t>
  </si>
  <si>
    <t>Herzogenrath (ex)</t>
  </si>
  <si>
    <t>Landgraaf (ex)</t>
  </si>
  <si>
    <t>Kerkrade (inc)</t>
  </si>
  <si>
    <t>25000-50000</t>
  </si>
  <si>
    <t>Eindhoven</t>
  </si>
  <si>
    <t>Den Bosch (ex)</t>
  </si>
  <si>
    <t>117    513    666</t>
  </si>
  <si>
    <t>Utrecht (ex)</t>
  </si>
  <si>
    <t>Meteren (inc)</t>
  </si>
  <si>
    <t>054    617    053    515    051</t>
  </si>
  <si>
    <t>Den Bosch</t>
  </si>
  <si>
    <t>124    839</t>
  </si>
  <si>
    <t>Tilburg (ex)</t>
  </si>
  <si>
    <t xml:space="preserve">125    551    123 </t>
  </si>
  <si>
    <t>Boxtel (ex)</t>
  </si>
  <si>
    <t>Breda (ex)</t>
  </si>
  <si>
    <t>544    667</t>
  </si>
  <si>
    <t>Breda</t>
  </si>
  <si>
    <t xml:space="preserve">122    819    825 </t>
  </si>
  <si>
    <t>Roosendaal (ex)</t>
  </si>
  <si>
    <t>850    545</t>
  </si>
  <si>
    <t>Roosendaal</t>
  </si>
  <si>
    <t>Vlissingen (inc)</t>
  </si>
  <si>
    <t>Sloe</t>
  </si>
  <si>
    <t>Lage Zwaluwe (ex)</t>
  </si>
  <si>
    <t>119    625</t>
  </si>
  <si>
    <t>Dordrecht</t>
  </si>
  <si>
    <t>Dordrecht (ex)</t>
  </si>
  <si>
    <t>Geldermalsen (ex)</t>
  </si>
  <si>
    <t>043    042</t>
  </si>
  <si>
    <t>Elst (ex)</t>
  </si>
  <si>
    <t>&gt;50000</t>
  </si>
  <si>
    <t xml:space="preserve">924    116    663    664    163    </t>
  </si>
  <si>
    <t>Rotterdam (ex)</t>
  </si>
  <si>
    <t>Kijfhoek (incl)</t>
  </si>
  <si>
    <t>555    540    539</t>
  </si>
  <si>
    <t>Rotterdam</t>
  </si>
  <si>
    <t>115    479    478    475    474    950    476    470    469    952    950    468    467    951</t>
  </si>
  <si>
    <t>Hoek van Holland Strand (inc)</t>
  </si>
  <si>
    <t>-</t>
  </si>
  <si>
    <t>Den Haag HS (inc)</t>
  </si>
  <si>
    <t xml:space="preserve">536    564    560 </t>
  </si>
  <si>
    <t>Den Haag C</t>
  </si>
  <si>
    <t xml:space="preserve">561    563    104    534 </t>
  </si>
  <si>
    <t>Den Haag HS (ex)</t>
  </si>
  <si>
    <t>Leiden (inc)</t>
  </si>
  <si>
    <t>Den Haag C (ex)</t>
  </si>
  <si>
    <t>Gouda (ex)</t>
  </si>
  <si>
    <t>114    538    132</t>
  </si>
  <si>
    <t>537    106    624    105    533    101    532    100   134</t>
  </si>
  <si>
    <t>Gouda (inc)</t>
  </si>
  <si>
    <t>Harmelen aansluiting (ex)</t>
  </si>
  <si>
    <t>Breukelen (ex)</t>
  </si>
  <si>
    <t>102    623    837    103</t>
  </si>
  <si>
    <t>Leiden (ex)</t>
  </si>
  <si>
    <t>Woerden (ex)</t>
  </si>
  <si>
    <t>Alphen a/d Rijn (ex)</t>
  </si>
  <si>
    <t>Haarlem (ex)</t>
  </si>
  <si>
    <t>133    146    559</t>
  </si>
  <si>
    <t>Hoofddorp (ex)</t>
  </si>
  <si>
    <t>Haarlem</t>
  </si>
  <si>
    <t>Zandvoort (inc)</t>
  </si>
  <si>
    <t>082    556    804    076</t>
  </si>
  <si>
    <t>Uitgeest (ex)</t>
  </si>
  <si>
    <t xml:space="preserve">901    084 </t>
  </si>
  <si>
    <t>Amsterdam C (ex)</t>
  </si>
  <si>
    <t>620    075    522    078    524    139</t>
  </si>
  <si>
    <t>Alkmaar (inc)</t>
  </si>
  <si>
    <t>558    144    027</t>
  </si>
  <si>
    <t>Riekerpolder aansluiting (ex)</t>
  </si>
  <si>
    <t>Gaasperdammerweg aansluiting (ex)</t>
  </si>
  <si>
    <t>525   586    523    485    486    081    490    145</t>
  </si>
  <si>
    <t>Amsterdam C</t>
  </si>
  <si>
    <t>Riekepolder</t>
  </si>
  <si>
    <t>927    587    585    128    541    087    050</t>
  </si>
  <si>
    <t>Hilversum (ex)</t>
  </si>
  <si>
    <t>Hilversum</t>
  </si>
  <si>
    <t>088    509    092    940</t>
  </si>
  <si>
    <t>Amersfoort (ex)</t>
  </si>
  <si>
    <t>Weesp (ex)</t>
  </si>
  <si>
    <t>Lelystad (inc)</t>
  </si>
  <si>
    <t>Lelystad (ex)</t>
  </si>
  <si>
    <t>588   526    096    589</t>
  </si>
  <si>
    <t>Amsterdam Bijlmer ArenA (ex)</t>
  </si>
  <si>
    <t xml:space="preserve">535    080    621    097    529    098 </t>
  </si>
  <si>
    <t>Amsterdam Bijlmer ArenA (inc)</t>
  </si>
  <si>
    <t>094    531    546   547</t>
  </si>
  <si>
    <t>Utrecht</t>
  </si>
  <si>
    <t>093    530    090</t>
  </si>
  <si>
    <t>Utrecht Overvecht (ex)</t>
  </si>
  <si>
    <t>Baarn (ex)</t>
  </si>
  <si>
    <t>Den Dolder (ex)</t>
  </si>
  <si>
    <t>940    506    089    505</t>
  </si>
  <si>
    <t>Amersfoort</t>
  </si>
  <si>
    <t xml:space="preserve">020    612    021    608     023 </t>
  </si>
  <si>
    <t>Barneveild Neeord</t>
  </si>
  <si>
    <t>Ede-Wageningen (ex)</t>
  </si>
  <si>
    <t>035    562    108    613    036</t>
  </si>
  <si>
    <t>De Haar aansluiting (ex)</t>
  </si>
  <si>
    <t>Rhenen (inc)</t>
  </si>
  <si>
    <t>073    619    074</t>
  </si>
  <si>
    <t>Alkmaar (ex)</t>
  </si>
  <si>
    <t>Den Helder (inc)</t>
  </si>
  <si>
    <t>079    626    217</t>
  </si>
  <si>
    <t>Zaandam (ex)</t>
  </si>
  <si>
    <t>Enkhuizen (inc)</t>
  </si>
  <si>
    <t>Heerhugowaard (ex)</t>
  </si>
  <si>
    <t>Hoorn (ex)</t>
  </si>
  <si>
    <t>121    167</t>
  </si>
  <si>
    <t>Lage zwaluwe (ex)</t>
  </si>
  <si>
    <t>Kijfhoek (ex)</t>
  </si>
  <si>
    <t>Dordrecht (inc)</t>
  </si>
  <si>
    <t>Meteren (ex)</t>
  </si>
  <si>
    <t>Definition</t>
  </si>
  <si>
    <t>Explanation</t>
  </si>
  <si>
    <t>Source</t>
  </si>
  <si>
    <t>More information into the object</t>
  </si>
  <si>
    <t>Image of the object (if needed)</t>
  </si>
  <si>
    <t>Track Section</t>
  </si>
  <si>
    <t>This is what I define as a track section. This determination is based on the research previously performed by Arjen Lenten</t>
  </si>
  <si>
    <t>Template.xlsx</t>
  </si>
  <si>
    <t>Geocode(s) of the track section</t>
  </si>
  <si>
    <t>Railmaps</t>
  </si>
  <si>
    <t>From</t>
  </si>
  <si>
    <t>The starting point of the track section, including(incl) or excluding(excl) the emplacement</t>
  </si>
  <si>
    <t>To</t>
  </si>
  <si>
    <t>The ending point of the track section, including(incl) or excluding(excl) the emplacement</t>
  </si>
  <si>
    <t>Neede stations</t>
  </si>
  <si>
    <t>The first set of train track sections planned to have ERTMS</t>
  </si>
  <si>
    <t>Neeta</t>
  </si>
  <si>
    <t>Indicates whether or Neet a track section is planned to have ERTMS by 2031</t>
  </si>
  <si>
    <t>Waar komt ERTMS? | ERTMS NL</t>
  </si>
  <si>
    <t>Track length (m)</t>
  </si>
  <si>
    <t>The length in meters of the track</t>
  </si>
  <si>
    <t>Number of tracks</t>
  </si>
  <si>
    <t>The number of tracks, here the track type with the majority on the track is taken</t>
  </si>
  <si>
    <t>Spoorlijnen in Nederland - Wikipedia</t>
  </si>
  <si>
    <t>Type of track</t>
  </si>
  <si>
    <t>Type of track in terms of out of service.</t>
  </si>
  <si>
    <t>Baanvaktypering Presentatie RGO Nee.pptx (sharepoint.com)</t>
  </si>
  <si>
    <t>primair: out of service is possible in the weekend and during holidays, prolonged nights are also possible. secundair: keep the train service in the morning-evening rush hour on Monday till Thursday, prolonged nights are possible. tertair: Also on week days out of service is possible. prolonged nights are also possible</t>
  </si>
  <si>
    <t>Travelers per day</t>
  </si>
  <si>
    <t>Expected average travelers per day (progNeesis 2022) for 2030 on an average working day</t>
  </si>
  <si>
    <t>ReferentieprogNeeses en realisatie Reizigers (prorail.nl)</t>
  </si>
  <si>
    <t>Peat</t>
  </si>
  <si>
    <t>The percentage of peat of the track</t>
  </si>
  <si>
    <t xml:space="preserve">data (prorail.nl)  </t>
  </si>
  <si>
    <t>The percentages are calculated by counting the hectometer poles and dividng my the total number of hectometer poles in said section. This was manuel labor and may contain a small error margin</t>
  </si>
  <si>
    <t>Baanlichaam</t>
  </si>
  <si>
    <t>Sand</t>
  </si>
  <si>
    <t>The percentage of sand of the track</t>
  </si>
  <si>
    <t>data (prorail.nl)</t>
  </si>
  <si>
    <t>Loamy sand</t>
  </si>
  <si>
    <t>The percentage of loamy sand of the track</t>
  </si>
  <si>
    <t>Sandy clay loam</t>
  </si>
  <si>
    <t>The percentage ofsandy clay loam of the track</t>
  </si>
  <si>
    <t>Light clay</t>
  </si>
  <si>
    <t>The percentage of light clay of the track</t>
  </si>
  <si>
    <t>Heavy clay</t>
  </si>
  <si>
    <t>The percentage ofheavy clay of the track</t>
  </si>
  <si>
    <t>Loam</t>
  </si>
  <si>
    <t>The percentage of loam of the track</t>
  </si>
  <si>
    <t>Sand combination</t>
  </si>
  <si>
    <t>The percentage of sand combination of the track</t>
  </si>
  <si>
    <t>Clay combination</t>
  </si>
  <si>
    <t>The percentage of Stedelijk area of the track</t>
  </si>
  <si>
    <t>Stedelijk area</t>
  </si>
  <si>
    <t>The percentage of clay combination of the track</t>
  </si>
  <si>
    <t>Stedelijk/Regionaal/Voorstedelijk</t>
  </si>
  <si>
    <t>Indicates if a region is classified as Stedelijk/Regionaal/Voorstedelijk</t>
  </si>
  <si>
    <t>Map Division</t>
  </si>
  <si>
    <t>Safety System</t>
  </si>
  <si>
    <t>The safety system on the track, ATB-NG or ATB-VV</t>
  </si>
  <si>
    <t>Detection system</t>
  </si>
  <si>
    <t>The type of detection system, Spoorstroomloopsectie or Assentellers (the majority is taken)</t>
  </si>
  <si>
    <t>km track</t>
  </si>
  <si>
    <t>The total length of the track, contains every individual track including switches and side tracks</t>
  </si>
  <si>
    <t>ATB beacon</t>
  </si>
  <si>
    <t>Number of atb beacons (both NG and VV)</t>
  </si>
  <si>
    <t>At a stop signal, the Drie beacons emit different signals. As soon as the train passes these beacons, the braking curve monitoring determines whether the train can still stop before the signal. This depends on the train's speed and the braking applied. If the speed is too high or if there is insufficient braking, the system intervenes by bringing the train to a stop.</t>
  </si>
  <si>
    <t>Number of Assentellers</t>
  </si>
  <si>
    <t>An EAK (Electronic Connection Box) counts the number of axles of a passing train. EAK stands for Elektrik AnschlußKaste. Each counting point is controlled by an EAK. This is located directly (within a maximum of 7 meters) next to the counting point</t>
  </si>
  <si>
    <t>Balise</t>
  </si>
  <si>
    <t xml:space="preserve">Number of balises </t>
  </si>
  <si>
    <t>The ETCS balises transmit information from the ETCS system to a passing train. The balises are placed on a sleeper or mounting bracket between the Twee rails and are activated by an antenna mounted under an ETCS-equipped train. Activation occurs as soon as an ETCS-equipped train passes over the balise. Upon activation, the balise sends information to the ETCS equipment on the train, which processes this information.</t>
  </si>
  <si>
    <t>Board signal</t>
  </si>
  <si>
    <t>Number of board signal</t>
  </si>
  <si>
    <t>This category includes various signals and signs such as stopsein (stop signal), afsluitlantaarn (closure lantern), baken voorsein (distant signal beacon), baken vervoersein (transport signal beacon), rijden na opdracht (drive after order), stopbord (stop sign), rangeergrens (shunting limit), treinlengtebord (train length sign), treinlengtebord enkel (single train length sign), treinlengtebord dubbel (double train length sign), verkenbord (scouting sign), stroomafnemers neerlaten (lower pantographs), stroomafnemers neerzijn (pantographs lowered), stroomafnemers opzetten (raise pantographs), einde ET (end ET), fluitbord (whistle sign), facultatief fluitbord (optional whistle sign), rijden op zicht (drive by sight), omschakel (switch), verkeerd spoor (wrong track), ATB inschakel (ATB activation), ATB code (ATB code), ATB uitschakel (ATB deactivation), blokbord (block sign), einde beveiliging (end of protection), begin ETCS cabineseingeving (start ETCS cab signaling), eind ETCS cabineseingeving (end ETCS cab signaling), GSM-R omschakelbord (GSM-R switch sign), afsluitbord (closure sign), einde elektrische tractie links wissel (end electric traction left switch), einde elektrische tractie rechts wissel (end electric traction right switch), tekstbord (text sign), and onbekend (unkNeewn type).</t>
  </si>
  <si>
    <t>Crossing</t>
  </si>
  <si>
    <t xml:space="preserve">Number of crossings </t>
  </si>
  <si>
    <t>A crossing is an intersection of Twee track branches crossing each other at Een level. We kNeew Twee versions of an intersection: the loose intersection and the enclosed intersection. We speak of an enclosed intersection if the back sides of the diagrams touch or overlap. This means that there is Nee section of track between the switches and the crossing. We speak of a loose intersection if the back sides of the diagrams do Neet overlap, in other words if there is a section of track between the existing switches and the intersection.</t>
  </si>
  <si>
    <t>Level Crossing</t>
  </si>
  <si>
    <t>Number of level crossings</t>
  </si>
  <si>
    <t>A level crossing is an area in which Een or more tracks cross a road or street at level.</t>
  </si>
  <si>
    <t>Light signal</t>
  </si>
  <si>
    <t>Number of light signals</t>
  </si>
  <si>
    <t>The ATB-Code system includes several types of signals such as Automatisch Sein Niet-Permissief (automatic Neen-permissive signal), Automatisch Sein Permissief (automatic permissive signal), Bediend Sein (controlled signal), Eind Rangeer Lamp (end shunting lamp), and H (stop for the signal). It also encompasses Herhalingssein (repeater signal), which precedes a Vorsignal or a main signal and displays their signal aspect earlier, Heuvelsein (hump signal), Heuvelseinpaal (hump signal post), L, Middenvoetbrugsein (middle footbridge signal), Overwegsein (level crossing signal), signal lights for track occupancy, Stopplaatssein (blue light stop signal), Stopplaatssein dubbel (double blue light stop signal), Technisch Sein (technical signal), vertrekbevelsein (departure order signal), vertreklicht (departure light), vertreklicht dubbel (double departure light), vertreklicht dubbel afteller (double departure light with countdown), vertreklicht enkel afteller (single departure light with countdown), and Voorsein (distant signal), which is a light signal that is both technically coupled with and located ahead of a main signal and canNeet display ‘STOP’ (red). Additionally, there are afgekruist lichtsein (crossed-out light signal, out of service) and unkNeewn types.</t>
  </si>
  <si>
    <t>Matrix signals</t>
  </si>
  <si>
    <t>Number of matrix signal</t>
  </si>
  <si>
    <t>a light box on which LEDs form symbols with the aim of conveying information to the operator</t>
  </si>
  <si>
    <t>Number of stations</t>
  </si>
  <si>
    <r>
      <rPr>
        <rFont val="Aptos Narrow"/>
        <color theme="1"/>
      </rPr>
      <t xml:space="preserve">
</t>
    </r>
    <r>
      <rPr>
        <rFont val="Arial"/>
        <color theme="1"/>
      </rPr>
      <t>The station refers to those places and buildings where the train stops and passengers get in, get out or transfer.</t>
    </r>
  </si>
  <si>
    <t>Switches</t>
  </si>
  <si>
    <t>Number of switchess</t>
  </si>
  <si>
    <t>A switch is an infrastructure object that creates a physical branch in the railway neTweerk. There are different types of switches where a distinction is made in, among other things, the operation, angular ratio and deflection. Geographical acquisition: The bill of exchange can be seen as a collection of sub-objects that together form the bill of exchange. The individual sub-objects are recorded as separate objects, each with its own accuracy. The main object switch is recorded as a point object that is defined as the position of the tongue movement for Neermal switches and the position of the cross piece for (half-) English switches. The Z coordinate describes the top of the rail, and Neet ground level! There are attributes that apply to the entire bill of exchange and these are included at the highest level under “bill of exchange” and they can be inherited by the child objects. In addition, there are also attributes that only apply to a sub-object. These are then only recorded for the relevant sub-object. The following sub-objects of the bill of exchange must be recorded, each with its own geographical location:
Alternating/crossing leg
Tongue movement
Cross piece
Bill of exchange counter
Changeover connection box
Free bar
Mathematical point The switch has a relationship to the switch heating box associated with the switch. In the case of a linked switch, Twee switches whose movement of the setter is linked to each other, there is also a relationship to the other linked switch. There are 3 types of switches (Neermal, half-English and English switches), which are modeled separately in IMSpoor.</t>
  </si>
  <si>
    <t>Track current sections</t>
  </si>
  <si>
    <t>Number of current sections</t>
  </si>
  <si>
    <t>A track Spoorstroomloopsectie is an electrical Spoorstroomloopsectie in a railway used for train detection.</t>
  </si>
  <si>
    <t>Railway Viaduct</t>
  </si>
  <si>
    <t>Number of railway viaducts</t>
  </si>
  <si>
    <t>A viaducts over which trains pass</t>
  </si>
  <si>
    <t>Number of viaducts</t>
  </si>
  <si>
    <t>A viaduct under which trains pass</t>
  </si>
  <si>
    <t>Railway Bridge</t>
  </si>
  <si>
    <t>Number of railway bridges</t>
  </si>
  <si>
    <t>Bridge over which trains pass</t>
  </si>
  <si>
    <t>Traffic Bridge</t>
  </si>
  <si>
    <t>Number of traffic bridges</t>
  </si>
  <si>
    <t>Bridge under which trains pass</t>
  </si>
  <si>
    <t>Railway tunnel</t>
  </si>
  <si>
    <t>Number of tunnels</t>
  </si>
  <si>
    <t>A tunnel through which trains pass</t>
  </si>
  <si>
    <t>Number of ecoducts</t>
  </si>
  <si>
    <t>An ecoduct or wildlife crossing is a viaduct where (usually) the top layer is reserved to allow wild animals to cross a road.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</si>
</sst>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theme="1"/>
      <name val="Aptos Narrow"/>
      <scheme val="minor"/>
    </font>
    <font>
      <b/>
      <sz val="10.0"/>
      <color theme="1"/>
      <name val="Arial"/>
    </font>
    <font>
      <color theme="1"/>
      <name val="Aptos Narrow"/>
    </font>
    <font>
      <sz val="10.0"/>
      <color theme="1"/>
      <name val="Arial"/>
    </font>
    <font>
      <color theme="1"/>
      <name val="Arial"/>
    </font>
    <font>
      <sz val="10.0"/>
      <color theme="10"/>
      <name val="Arial"/>
    </font>
    <font>
      <u/>
      <sz val="10.0"/>
      <color rgb="FF0000FF"/>
      <name val="Arial"/>
    </font>
    <font>
      <u/>
      <sz val="10.0"/>
      <color theme="10"/>
      <name val="Arial"/>
    </font>
    <font>
      <sz val="10.0"/>
      <color rgb="FF1F1F1F"/>
      <name val="Arial"/>
    </font>
    <font>
      <u/>
      <sz val="10.0"/>
      <color theme="10"/>
      <name val="Arial"/>
    </font>
    <font>
      <u/>
      <sz val="10.0"/>
      <color rgb="FF467886"/>
      <name val="Arial"/>
    </font>
    <font>
      <u/>
      <color rgb="FF0000FF"/>
      <name val="Arial"/>
    </font>
    <font>
      <u/>
      <sz val="10.0"/>
      <color rgb="FF0000FF"/>
      <name val="Arial"/>
    </font>
    <font>
      <b/>
      <color theme="1"/>
      <name val="Arial"/>
    </font>
  </fonts>
  <fills count="4">
    <fill>
      <patternFill patternType="none"/>
    </fill>
    <fill>
      <patternFill patternType="lightGray"/>
    </fill>
    <fill>
      <patternFill patternType="solid">
        <fgColor rgb="FFD9F2D0"/>
        <bgColor rgb="FFD9F2D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1" xfId="0" applyFont="1" applyNumberFormat="1"/>
    <xf borderId="0" fillId="0" fontId="2" numFmtId="0" xfId="0" applyAlignment="1" applyFont="1">
      <alignment readingOrder="0"/>
    </xf>
    <xf borderId="0" fillId="0" fontId="4" numFmtId="0" xfId="0" applyAlignment="1" applyFont="1">
      <alignment readingOrder="0"/>
    </xf>
    <xf borderId="0" fillId="0" fontId="2" numFmtId="3" xfId="0" applyFont="1" applyNumberFormat="1"/>
    <xf borderId="0" fillId="0" fontId="3" numFmtId="9" xfId="0" applyFont="1" applyNumberFormat="1"/>
    <xf borderId="0" fillId="0" fontId="3" numFmtId="3" xfId="0" applyFont="1" applyNumberFormat="1"/>
    <xf borderId="0" fillId="0" fontId="2" numFmtId="3" xfId="0" applyAlignment="1" applyFont="1" applyNumberFormat="1">
      <alignment readingOrder="0"/>
    </xf>
    <xf borderId="0" fillId="0" fontId="4" numFmtId="0" xfId="0" applyFont="1"/>
    <xf borderId="0" fillId="0" fontId="4" numFmtId="3" xfId="0" applyFont="1" applyNumberFormat="1"/>
    <xf borderId="0" fillId="0" fontId="2" numFmtId="1" xfId="0" applyFont="1" applyNumberFormat="1"/>
    <xf borderId="1" fillId="2" fontId="3" numFmtId="0" xfId="0" applyBorder="1" applyFont="1"/>
    <xf borderId="0" fillId="0" fontId="1" numFmtId="0" xfId="0" applyAlignment="1" applyFont="1">
      <alignment shrinkToFit="0" wrapText="1"/>
    </xf>
    <xf borderId="0" fillId="0" fontId="2" numFmtId="0" xfId="0" applyAlignment="1" applyFont="1">
      <alignment shrinkToFit="0" wrapText="1"/>
    </xf>
    <xf borderId="0" fillId="0" fontId="5"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shrinkToFit="0" wrapText="1"/>
    </xf>
    <xf borderId="0" fillId="3" fontId="8" numFmtId="0" xfId="0" applyFill="1" applyFont="1"/>
    <xf borderId="0" fillId="0" fontId="9" numFmtId="0" xfId="0" applyAlignment="1" applyFont="1">
      <alignment readingOrder="0" shrinkToFit="0" wrapText="1"/>
    </xf>
    <xf borderId="0" fillId="0" fontId="4" numFmtId="0" xfId="0" applyAlignment="1" applyFont="1">
      <alignment readingOrder="0" shrinkToFit="0" wrapText="1"/>
    </xf>
    <xf borderId="0" fillId="0" fontId="10" numFmtId="0" xfId="0" applyAlignment="1" applyFont="1">
      <alignment shrinkToFit="0" wrapText="1"/>
    </xf>
    <xf borderId="0" fillId="0" fontId="11" numFmtId="0" xfId="0" applyFont="1"/>
    <xf borderId="0" fillId="0" fontId="1" numFmtId="0" xfId="0" applyAlignment="1" applyFont="1">
      <alignment readingOrder="0" shrinkToFit="0" wrapText="1"/>
    </xf>
    <xf borderId="0" fillId="0" fontId="12" numFmtId="0" xfId="0" applyAlignment="1" applyFont="1">
      <alignment shrinkToFit="0" wrapText="1"/>
    </xf>
    <xf borderId="0" fillId="0" fontId="3" numFmtId="0" xfId="0" applyAlignment="1" applyFont="1">
      <alignment shrinkToFit="0" wrapText="1"/>
    </xf>
    <xf borderId="0" fillId="0" fontId="13"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12.jpg"/><Relationship Id="rId4" Type="http://schemas.openxmlformats.org/officeDocument/2006/relationships/image" Target="../media/image10.png"/><Relationship Id="rId11" Type="http://schemas.openxmlformats.org/officeDocument/2006/relationships/image" Target="../media/image5.png"/><Relationship Id="rId10" Type="http://schemas.openxmlformats.org/officeDocument/2006/relationships/image" Target="../media/image7.jpg"/><Relationship Id="rId9" Type="http://schemas.openxmlformats.org/officeDocument/2006/relationships/image" Target="../media/image2.png"/><Relationship Id="rId5" Type="http://schemas.openxmlformats.org/officeDocument/2006/relationships/image" Target="../media/image4.jpg"/><Relationship Id="rId6" Type="http://schemas.openxmlformats.org/officeDocument/2006/relationships/image" Target="../media/image8.png"/><Relationship Id="rId7" Type="http://schemas.openxmlformats.org/officeDocument/2006/relationships/image" Target="../media/image9.jpg"/><Relationship Id="rId8" Type="http://schemas.openxmlformats.org/officeDocument/2006/relationships/image" Target="../media/image11.jp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32</xdr:row>
      <xdr:rowOff>38100</xdr:rowOff>
    </xdr:from>
    <xdr:ext cx="1190625" cy="6572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13</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14</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15</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16</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17</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18</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19</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20</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21</xdr:row>
      <xdr:rowOff>0</xdr:rowOff>
    </xdr:from>
    <xdr:ext cx="104775" cy="152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26</xdr:row>
      <xdr:rowOff>0</xdr:rowOff>
    </xdr:from>
    <xdr:ext cx="266700" cy="152400"/>
    <xdr:pic>
      <xdr:nvPicPr>
        <xdr:cNvPr id="0" name="image12.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27</xdr:row>
      <xdr:rowOff>0</xdr:rowOff>
    </xdr:from>
    <xdr:ext cx="161925" cy="152400"/>
    <xdr:pic>
      <xdr:nvPicPr>
        <xdr:cNvPr id="0" name="image10.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28</xdr:row>
      <xdr:rowOff>0</xdr:rowOff>
    </xdr:from>
    <xdr:ext cx="228600" cy="152400"/>
    <xdr:pic>
      <xdr:nvPicPr>
        <xdr:cNvPr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29</xdr:row>
      <xdr:rowOff>0</xdr:rowOff>
    </xdr:from>
    <xdr:ext cx="228600" cy="152400"/>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30</xdr:row>
      <xdr:rowOff>0</xdr:rowOff>
    </xdr:from>
    <xdr:ext cx="228600" cy="152400"/>
    <xdr:pic>
      <xdr:nvPicPr>
        <xdr:cNvPr id="0" name="image9.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31</xdr:row>
      <xdr:rowOff>0</xdr:rowOff>
    </xdr:from>
    <xdr:ext cx="1676400" cy="1257300"/>
    <xdr:pic>
      <xdr:nvPicPr>
        <xdr:cNvPr id="0" name="image11.jp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33</xdr:row>
      <xdr:rowOff>0</xdr:rowOff>
    </xdr:from>
    <xdr:ext cx="1657350" cy="1038225"/>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35</xdr:row>
      <xdr:rowOff>0</xdr:rowOff>
    </xdr:from>
    <xdr:ext cx="114300" cy="152400"/>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36</xdr:row>
      <xdr:rowOff>0</xdr:rowOff>
    </xdr:from>
    <xdr:ext cx="638175" cy="895350"/>
    <xdr:pic>
      <xdr:nvPicPr>
        <xdr:cNvPr id="0" name="image5.pn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43850" cy="8162925"/>
    <xdr:pic>
      <xdr:nvPicPr>
        <xdr:cNvPr id="0" name="image6.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va.vanHalen\AppData\Local\Microsoft\Windows\INetCache\Content.Outlook\DONW2R01\Analyse%20baanvakken%20v_24_Huidige%20Assets%20(00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jst van baanvakken en empl"/>
      <sheetName val="Definities"/>
      <sheetName val="Cockpit"/>
      <sheetName val="Kaar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maps.prorail.nl/portal/sharing/rest/content/items/e2581030c47541f2951f62ccff28d5f3/data" TargetMode="External"/><Relationship Id="rId10" Type="http://schemas.openxmlformats.org/officeDocument/2006/relationships/hyperlink" Target="https://maps.prorail.nl/portal/sharing/rest/content/items/e2581030c47541f2951f62ccff28d5f3/data" TargetMode="External"/><Relationship Id="rId13" Type="http://schemas.openxmlformats.org/officeDocument/2006/relationships/hyperlink" Target="https://maps.prorail.nl/portal/sharing/rest/content/items/e2581030c47541f2951f62ccff28d5f3/data" TargetMode="External"/><Relationship Id="rId12" Type="http://schemas.openxmlformats.org/officeDocument/2006/relationships/hyperlink" Target="https://maps.prorail.nl/portal/sharing/rest/content/items/e2581030c47541f2951f62ccff28d5f3/data" TargetMode="External"/><Relationship Id="rId1" Type="http://schemas.openxmlformats.org/officeDocument/2006/relationships/hyperlink" Target="https://prorailbv.sharepoint.com/sites/ProgERTMSPublicatie/Overleggen%20%20Intern/Forms/AllItems.aspx?id=%2Fsites%2FProgERTMSPublicatie%2FOverleggen%20%20Intern%2FSturingstafels%2FMigratie%2D%20en%20planningstafel%2F01%20Vergaderstukken%20%28Migratie%2D%20en%20planningstafel%29%2F2024%2F04%2D22%2D2024%2F3%2E1%20DEF%5Fschriftelijke%20terugkoppeling%20stuurgroep%2Epdf&amp;parent=%2Fsites%2FProgERTMSPublicatie%2FOverleggen%20%20Intern%2FSturingstafels%2FMigratie%2D%20en%20planningstafel%2F01%20Vergaderstukken%20%28Migratie%2D%20en%20planningstafel%29%2F2024%2F04%2D22%2D2024" TargetMode="External"/><Relationship Id="rId2" Type="http://schemas.openxmlformats.org/officeDocument/2006/relationships/hyperlink" Target="https://www.ertms.nl/over-ertms/waar/default.aspx" TargetMode="External"/><Relationship Id="rId3" Type="http://schemas.openxmlformats.org/officeDocument/2006/relationships/hyperlink" Target="https://nl.wikipedia.org/wiki/Spoorlijnen_in_Nederland" TargetMode="External"/><Relationship Id="rId4" Type="http://schemas.openxmlformats.org/officeDocument/2006/relationships/hyperlink" Target="https://prorailbv.sharepoint.com/:p:/r/teams/D-003122-ENL-Arcadis-Sweco-Nexusrail/_layouts/15/Doc.aspx?sourcedoc=%7B2063356B-4F2E-457C-B0E3-FB241BF44C85%7D&amp;file=Baanvaktypering%20Presentatie%20RGO%20NO.pptx&amp;action=edit&amp;mobileredirect=true&amp;DefaultItemOpen=1" TargetMode="External"/><Relationship Id="rId9" Type="http://schemas.openxmlformats.org/officeDocument/2006/relationships/hyperlink" Target="https://maps.prorail.nl/portal/sharing/rest/content/items/e2581030c47541f2951f62ccff28d5f3/data" TargetMode="External"/><Relationship Id="rId15" Type="http://schemas.openxmlformats.org/officeDocument/2006/relationships/hyperlink" Target="https://maps.prorail.nl/portal/sharing/rest/content/items/e2581030c47541f2951f62ccff28d5f3/data" TargetMode="External"/><Relationship Id="rId14" Type="http://schemas.openxmlformats.org/officeDocument/2006/relationships/hyperlink" Target="https://maps.prorail.nl/portal/sharing/rest/content/items/e2581030c47541f2951f62ccff28d5f3/data" TargetMode="External"/><Relationship Id="rId17" Type="http://schemas.openxmlformats.org/officeDocument/2006/relationships/hyperlink" Target="https://www.researchgate.net/figure/Map-division-in-urban-suburban-and-rural-areas-in-the-Netherlands-based-on-population_fig1_325341482" TargetMode="External"/><Relationship Id="rId16" Type="http://schemas.openxmlformats.org/officeDocument/2006/relationships/hyperlink" Target="https://maps.prorail.nl/portal/sharing/rest/content/items/e2581030c47541f2951f62ccff28d5f3/data" TargetMode="External"/><Relationship Id="rId5" Type="http://schemas.openxmlformats.org/officeDocument/2006/relationships/hyperlink" Target="https://geoinfo.prorail.nl/portal/apps/webappviewer/index.html?id=68047d091e5545eab57d1f4e6bb7540e" TargetMode="External"/><Relationship Id="rId6" Type="http://schemas.openxmlformats.org/officeDocument/2006/relationships/hyperlink" Target="https://maps.prorail.nl/portal/sharing/rest/content/items/e2581030c47541f2951f62ccff28d5f3/data" TargetMode="External"/><Relationship Id="rId18" Type="http://schemas.openxmlformats.org/officeDocument/2006/relationships/drawing" Target="../drawings/drawing2.xml"/><Relationship Id="rId7" Type="http://schemas.openxmlformats.org/officeDocument/2006/relationships/hyperlink" Target="https://prorailbv.sharepoint.com/:p:/r/teams/T2016_0088/_layouts/15/Doc.aspx?sourcedoc=%7BC833F5FC-1421-44D2-A505-E2132E17FDBC%7D&amp;file=Baanlichaam_risicokaartNL_sheets.pptx&amp;action=edit&amp;mobileredirect=true&amp;DefaultItemOpen=1" TargetMode="External"/><Relationship Id="rId8" Type="http://schemas.openxmlformats.org/officeDocument/2006/relationships/hyperlink" Target="https://maps.prorail.nl/portal/sharing/rest/content/items/e2581030c47541f2951f62ccff28d5f3/da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5.57"/>
    <col customWidth="1" min="2" max="2" width="12.0"/>
    <col customWidth="1" min="3" max="3" width="27.29"/>
    <col customWidth="1" min="4" max="4" width="32.86"/>
    <col customWidth="1" min="5" max="5" width="13.57"/>
    <col customWidth="1" min="6" max="6" width="16.57"/>
    <col customWidth="1" min="7" max="7" width="14.86"/>
    <col customWidth="1" min="8" max="8" width="16.86"/>
    <col customWidth="1" min="9" max="9" width="19.14"/>
    <col customWidth="1" min="10" max="10" width="16.57"/>
    <col customWidth="1" min="11" max="11" width="19.14"/>
    <col customWidth="1" min="12" max="14" width="14.57"/>
    <col customWidth="1" min="15" max="15" width="18.57"/>
    <col customWidth="1" min="16" max="18" width="14.57"/>
    <col customWidth="1" min="19" max="21" width="20.57"/>
    <col customWidth="1" min="22" max="23" width="15.86"/>
    <col customWidth="1" min="24" max="24" width="19.43"/>
    <col customWidth="1" min="25" max="25" width="17.43"/>
    <col customWidth="1" min="26" max="26" width="12.14"/>
    <col customWidth="1" min="27" max="27" width="13.71"/>
    <col customWidth="1" min="28" max="28" width="8.71"/>
    <col customWidth="1" min="29" max="29" width="14.14"/>
    <col customWidth="1" min="30" max="30" width="9.43"/>
    <col customWidth="1" min="31" max="31" width="15.86"/>
    <col customWidth="1" min="32" max="32" width="12.86"/>
    <col customWidth="1" min="33" max="33" width="12.57"/>
    <col customWidth="1" min="34" max="34" width="10.14"/>
    <col customWidth="1" min="35" max="35" width="12.57"/>
    <col customWidth="1" min="36" max="36" width="21.43"/>
    <col customWidth="1" min="37" max="37" width="17.43"/>
    <col customWidth="1" min="38" max="40" width="16.43"/>
    <col customWidth="1" min="41" max="41" width="11.29"/>
    <col customWidth="1" min="42" max="42" width="15.86"/>
  </cols>
  <sheetData>
    <row r="1" ht="12.0" customHeight="1">
      <c r="A1" s="1" t="s">
        <v>0</v>
      </c>
      <c r="B1" s="2" t="s">
        <v>1</v>
      </c>
      <c r="C1" s="1" t="s">
        <v>2</v>
      </c>
      <c r="D1" s="1" t="s">
        <v>3</v>
      </c>
      <c r="E1" s="2"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2" t="s">
        <v>33</v>
      </c>
      <c r="AI1" s="1" t="s">
        <v>34</v>
      </c>
      <c r="AJ1" s="1" t="s">
        <v>35</v>
      </c>
      <c r="AK1" s="1" t="s">
        <v>36</v>
      </c>
      <c r="AL1" s="2" t="s">
        <v>37</v>
      </c>
      <c r="AM1" s="1" t="s">
        <v>38</v>
      </c>
      <c r="AN1" s="1" t="s">
        <v>39</v>
      </c>
      <c r="AO1" s="1" t="s">
        <v>40</v>
      </c>
      <c r="AP1" s="2" t="s">
        <v>41</v>
      </c>
    </row>
    <row r="2" ht="12.0" customHeight="1">
      <c r="A2" s="3">
        <v>1.0</v>
      </c>
      <c r="B2" s="4">
        <v>1.0</v>
      </c>
      <c r="C2" s="3" t="s">
        <v>42</v>
      </c>
      <c r="D2" s="3" t="s">
        <v>43</v>
      </c>
      <c r="E2" s="5" t="s">
        <v>44</v>
      </c>
      <c r="F2" s="6" t="s">
        <v>45</v>
      </c>
      <c r="G2" s="5" t="s">
        <v>45</v>
      </c>
      <c r="H2" s="7">
        <v>25.225</v>
      </c>
      <c r="I2" s="6" t="s">
        <v>46</v>
      </c>
      <c r="J2" s="5" t="s">
        <v>47</v>
      </c>
      <c r="K2" s="3" t="s">
        <v>48</v>
      </c>
      <c r="L2" s="8">
        <v>0.0</v>
      </c>
      <c r="M2" s="8">
        <v>0.0</v>
      </c>
      <c r="N2" s="8">
        <v>0.0</v>
      </c>
      <c r="O2" s="8">
        <f> 8/25</f>
        <v>0.32</v>
      </c>
      <c r="P2" s="8">
        <f>(12/25)</f>
        <v>0.48</v>
      </c>
      <c r="Q2" s="8">
        <f> (5/25)</f>
        <v>0.2</v>
      </c>
      <c r="R2" s="8">
        <v>0.0</v>
      </c>
      <c r="S2" s="8">
        <v>0.0</v>
      </c>
      <c r="T2" s="8">
        <v>0.0</v>
      </c>
      <c r="U2" s="8">
        <v>0.0</v>
      </c>
      <c r="V2" s="5" t="s">
        <v>49</v>
      </c>
      <c r="W2" s="9" t="s">
        <v>50</v>
      </c>
      <c r="X2" s="10" t="s">
        <v>26</v>
      </c>
      <c r="Y2" s="7">
        <v>28.845</v>
      </c>
      <c r="Z2" s="3">
        <v>58.0</v>
      </c>
      <c r="AA2" s="3">
        <v>65.0</v>
      </c>
      <c r="AB2" s="3">
        <v>0.0</v>
      </c>
      <c r="AC2" s="4">
        <v>58.0</v>
      </c>
      <c r="AD2" s="3">
        <v>0.0</v>
      </c>
      <c r="AE2" s="4">
        <v>22.0</v>
      </c>
      <c r="AF2" s="4">
        <v>24.0</v>
      </c>
      <c r="AG2" s="4">
        <v>2.0</v>
      </c>
      <c r="AH2" s="3">
        <v>5.0</v>
      </c>
      <c r="AI2" s="3">
        <v>6.0</v>
      </c>
      <c r="AJ2" s="3">
        <v>18.0</v>
      </c>
      <c r="AK2" s="4">
        <v>6.0</v>
      </c>
      <c r="AL2" s="4">
        <v>2.0</v>
      </c>
      <c r="AM2" s="4">
        <v>8.0</v>
      </c>
      <c r="AN2" s="4">
        <v>0.0</v>
      </c>
      <c r="AO2" s="3">
        <v>0.0</v>
      </c>
      <c r="AP2" s="4">
        <v>0.0</v>
      </c>
    </row>
    <row r="3" ht="12.0" customHeight="1">
      <c r="A3" s="3">
        <v>2.0</v>
      </c>
      <c r="B3" s="4">
        <v>8.0</v>
      </c>
      <c r="C3" s="3" t="s">
        <v>43</v>
      </c>
      <c r="D3" s="3" t="s">
        <v>51</v>
      </c>
      <c r="E3" s="5" t="s">
        <v>44</v>
      </c>
      <c r="F3" s="6" t="s">
        <v>44</v>
      </c>
      <c r="G3" s="5" t="s">
        <v>45</v>
      </c>
      <c r="H3" s="7">
        <v>48.007</v>
      </c>
      <c r="I3" s="6" t="s">
        <v>46</v>
      </c>
      <c r="J3" s="5" t="s">
        <v>47</v>
      </c>
      <c r="K3" s="3" t="s">
        <v>48</v>
      </c>
      <c r="L3" s="8">
        <v>0.0</v>
      </c>
      <c r="M3" s="8">
        <v>0.0</v>
      </c>
      <c r="N3" s="8">
        <f>6/50</f>
        <v>0.12</v>
      </c>
      <c r="O3" s="8">
        <f>9/50</f>
        <v>0.18</v>
      </c>
      <c r="P3" s="8">
        <f>13/50</f>
        <v>0.26</v>
      </c>
      <c r="Q3" s="8">
        <f>23/50</f>
        <v>0.46</v>
      </c>
      <c r="R3" s="8">
        <v>0.0</v>
      </c>
      <c r="S3" s="8">
        <v>0.0</v>
      </c>
      <c r="T3" s="8">
        <v>0.0</v>
      </c>
      <c r="U3" s="8">
        <v>0.0</v>
      </c>
      <c r="V3" s="5" t="s">
        <v>49</v>
      </c>
      <c r="W3" s="9" t="s">
        <v>50</v>
      </c>
      <c r="X3" s="10" t="s">
        <v>26</v>
      </c>
      <c r="Y3" s="7">
        <v>50.494</v>
      </c>
      <c r="Z3" s="3">
        <v>86.0</v>
      </c>
      <c r="AA3" s="3">
        <v>170.0</v>
      </c>
      <c r="AB3" s="3">
        <v>0.0</v>
      </c>
      <c r="AC3" s="4">
        <v>124.0</v>
      </c>
      <c r="AD3" s="3">
        <v>0.0</v>
      </c>
      <c r="AE3" s="4">
        <v>45.0</v>
      </c>
      <c r="AF3" s="4">
        <v>37.0</v>
      </c>
      <c r="AG3" s="4">
        <v>2.0</v>
      </c>
      <c r="AH3" s="3">
        <v>8.0</v>
      </c>
      <c r="AI3" s="3">
        <v>11.0</v>
      </c>
      <c r="AJ3" s="3">
        <v>4.0</v>
      </c>
      <c r="AK3" s="4">
        <v>5.0</v>
      </c>
      <c r="AL3" s="4">
        <v>2.0</v>
      </c>
      <c r="AM3" s="4">
        <v>20.0</v>
      </c>
      <c r="AN3" s="4">
        <v>0.0</v>
      </c>
      <c r="AO3" s="3">
        <v>0.0</v>
      </c>
      <c r="AP3" s="4">
        <v>0.0</v>
      </c>
    </row>
    <row r="4" ht="12.0" customHeight="1">
      <c r="A4" s="3">
        <v>3.0</v>
      </c>
      <c r="B4" s="4">
        <v>550.0</v>
      </c>
      <c r="C4" s="3" t="s">
        <v>52</v>
      </c>
      <c r="E4" s="5" t="s">
        <v>45</v>
      </c>
      <c r="F4" s="6" t="s">
        <v>44</v>
      </c>
      <c r="G4" s="5" t="s">
        <v>45</v>
      </c>
      <c r="H4" s="7">
        <v>2.004</v>
      </c>
      <c r="I4" s="6" t="s">
        <v>53</v>
      </c>
      <c r="J4" s="5" t="s">
        <v>54</v>
      </c>
      <c r="K4" s="3" t="s">
        <v>55</v>
      </c>
      <c r="L4" s="8">
        <v>0.0</v>
      </c>
      <c r="M4" s="8">
        <v>0.0</v>
      </c>
      <c r="N4" s="8">
        <v>0.0</v>
      </c>
      <c r="O4" s="8">
        <v>0.0</v>
      </c>
      <c r="P4" s="8">
        <v>0.0</v>
      </c>
      <c r="Q4" s="8">
        <v>0.0</v>
      </c>
      <c r="R4" s="8">
        <v>0.0</v>
      </c>
      <c r="S4" s="8">
        <v>0.0</v>
      </c>
      <c r="T4" s="8">
        <v>0.0</v>
      </c>
      <c r="U4" s="8">
        <v>1.0</v>
      </c>
      <c r="V4" s="6" t="s">
        <v>56</v>
      </c>
      <c r="W4" s="9" t="s">
        <v>57</v>
      </c>
      <c r="X4" s="10" t="s">
        <v>35</v>
      </c>
      <c r="Y4" s="7">
        <v>19.67</v>
      </c>
      <c r="Z4" s="3">
        <v>84.0</v>
      </c>
      <c r="AA4" s="3">
        <v>7.0</v>
      </c>
      <c r="AB4" s="3">
        <v>0.0</v>
      </c>
      <c r="AC4" s="4">
        <v>71.0</v>
      </c>
      <c r="AD4" s="3">
        <v>0.0</v>
      </c>
      <c r="AE4" s="4">
        <v>9.0</v>
      </c>
      <c r="AF4" s="4">
        <v>48.0</v>
      </c>
      <c r="AG4" s="4">
        <v>0.0</v>
      </c>
      <c r="AH4" s="3">
        <v>1.0</v>
      </c>
      <c r="AI4" s="4">
        <v>64.0</v>
      </c>
      <c r="AJ4" s="3">
        <v>61.0</v>
      </c>
      <c r="AK4" s="4">
        <v>1.0</v>
      </c>
      <c r="AL4" s="4">
        <v>1.0</v>
      </c>
      <c r="AM4" s="4">
        <v>1.0</v>
      </c>
      <c r="AN4" s="4">
        <v>1.0</v>
      </c>
      <c r="AO4" s="4">
        <v>0.0</v>
      </c>
      <c r="AP4" s="4">
        <v>0.0</v>
      </c>
    </row>
    <row r="5" ht="12.0" customHeight="1">
      <c r="A5" s="3">
        <v>4.0</v>
      </c>
      <c r="B5" s="3">
        <v>2.0</v>
      </c>
      <c r="C5" s="3" t="s">
        <v>43</v>
      </c>
      <c r="D5" s="3" t="s">
        <v>58</v>
      </c>
      <c r="E5" s="5" t="s">
        <v>44</v>
      </c>
      <c r="F5" s="6" t="s">
        <v>44</v>
      </c>
      <c r="G5" s="5" t="s">
        <v>45</v>
      </c>
      <c r="H5" s="7">
        <v>52.36</v>
      </c>
      <c r="I5" s="6" t="s">
        <v>53</v>
      </c>
      <c r="J5" s="5" t="s">
        <v>54</v>
      </c>
      <c r="K5" s="3" t="s">
        <v>55</v>
      </c>
      <c r="L5" s="8">
        <f>6/52</f>
        <v>0.1153846154</v>
      </c>
      <c r="M5" s="8">
        <f>16/52</f>
        <v>0.3076923077</v>
      </c>
      <c r="N5" s="8">
        <f>1/52</f>
        <v>0.01923076923</v>
      </c>
      <c r="O5" s="8">
        <f>1.5/52</f>
        <v>0.02884615385</v>
      </c>
      <c r="P5" s="8">
        <f>21/52</f>
        <v>0.4038461538</v>
      </c>
      <c r="Q5" s="8">
        <f>2/52</f>
        <v>0.03846153846</v>
      </c>
      <c r="R5" s="8">
        <v>0.0</v>
      </c>
      <c r="S5" s="8">
        <v>0.0</v>
      </c>
      <c r="T5" s="8">
        <f>4/52</f>
        <v>0.07692307692</v>
      </c>
      <c r="U5" s="8">
        <v>0.0</v>
      </c>
      <c r="V5" s="5" t="s">
        <v>49</v>
      </c>
      <c r="W5" s="9" t="s">
        <v>50</v>
      </c>
      <c r="X5" s="10" t="s">
        <v>35</v>
      </c>
      <c r="Y5" s="7">
        <v>78.589</v>
      </c>
      <c r="Z5" s="3">
        <v>198.0</v>
      </c>
      <c r="AA5" s="3">
        <v>21.0</v>
      </c>
      <c r="AB5" s="3">
        <v>0.0</v>
      </c>
      <c r="AC5" s="3">
        <v>178.0</v>
      </c>
      <c r="AD5" s="3">
        <v>0.0</v>
      </c>
      <c r="AE5" s="3">
        <v>38.0</v>
      </c>
      <c r="AF5" s="3">
        <v>105.0</v>
      </c>
      <c r="AG5" s="3">
        <v>24.0</v>
      </c>
      <c r="AH5" s="3">
        <v>7.0</v>
      </c>
      <c r="AI5" s="3">
        <v>17.0</v>
      </c>
      <c r="AJ5" s="3">
        <v>265.0</v>
      </c>
      <c r="AK5" s="11">
        <v>7.0</v>
      </c>
      <c r="AL5" s="11">
        <v>5.0</v>
      </c>
      <c r="AM5" s="11">
        <v>13.0</v>
      </c>
      <c r="AN5" s="11">
        <v>3.0</v>
      </c>
      <c r="AO5" s="11">
        <v>0.0</v>
      </c>
      <c r="AP5" s="4">
        <v>0.0</v>
      </c>
    </row>
    <row r="6" ht="12.0" customHeight="1">
      <c r="A6" s="3">
        <v>5.0</v>
      </c>
      <c r="B6" s="4">
        <v>501.0</v>
      </c>
      <c r="C6" s="3" t="s">
        <v>59</v>
      </c>
      <c r="E6" s="5" t="s">
        <v>45</v>
      </c>
      <c r="F6" s="6" t="s">
        <v>44</v>
      </c>
      <c r="G6" s="5" t="s">
        <v>45</v>
      </c>
      <c r="H6" s="7">
        <v>4.545</v>
      </c>
      <c r="I6" s="6" t="s">
        <v>60</v>
      </c>
      <c r="J6" s="5" t="s">
        <v>61</v>
      </c>
      <c r="K6" s="3" t="s">
        <v>62</v>
      </c>
      <c r="L6" s="8">
        <v>0.0</v>
      </c>
      <c r="M6" s="8">
        <v>0.0</v>
      </c>
      <c r="N6" s="8">
        <v>0.0</v>
      </c>
      <c r="O6" s="8">
        <v>0.0</v>
      </c>
      <c r="P6" s="8">
        <v>0.0</v>
      </c>
      <c r="Q6" s="8">
        <v>0.0</v>
      </c>
      <c r="R6" s="8">
        <v>0.0</v>
      </c>
      <c r="S6" s="8">
        <v>0.0</v>
      </c>
      <c r="T6" s="8">
        <v>0.0</v>
      </c>
      <c r="U6" s="8">
        <v>1.0</v>
      </c>
      <c r="V6" s="6" t="s">
        <v>63</v>
      </c>
      <c r="W6" s="9" t="s">
        <v>57</v>
      </c>
      <c r="X6" s="10" t="s">
        <v>35</v>
      </c>
      <c r="Y6" s="7">
        <v>32.134</v>
      </c>
      <c r="Z6" s="3">
        <f>82+14</f>
        <v>96</v>
      </c>
      <c r="AA6" s="3">
        <v>19.0</v>
      </c>
      <c r="AB6" s="3">
        <v>0.0</v>
      </c>
      <c r="AC6" s="4">
        <v>70.0</v>
      </c>
      <c r="AD6" s="3">
        <v>0.0</v>
      </c>
      <c r="AE6" s="4">
        <v>1.0</v>
      </c>
      <c r="AF6" s="4">
        <v>46.0</v>
      </c>
      <c r="AG6" s="4">
        <v>4.0</v>
      </c>
      <c r="AH6" s="3">
        <v>1.0</v>
      </c>
      <c r="AI6" s="3">
        <v>32.0</v>
      </c>
      <c r="AJ6" s="3">
        <v>63.0</v>
      </c>
      <c r="AK6" s="4">
        <v>1.0</v>
      </c>
      <c r="AL6" s="4">
        <v>1.0</v>
      </c>
      <c r="AM6" s="4">
        <v>1.0</v>
      </c>
      <c r="AN6" s="4">
        <v>1.0</v>
      </c>
      <c r="AO6" s="11">
        <v>0.0</v>
      </c>
      <c r="AP6" s="4">
        <v>0.0</v>
      </c>
    </row>
    <row r="7" ht="12.0" customHeight="1">
      <c r="A7" s="3">
        <v>6.0</v>
      </c>
      <c r="B7" s="11" t="s">
        <v>64</v>
      </c>
      <c r="C7" s="3" t="s">
        <v>65</v>
      </c>
      <c r="D7" s="3" t="s">
        <v>66</v>
      </c>
      <c r="E7" s="5" t="s">
        <v>44</v>
      </c>
      <c r="F7" s="6" t="s">
        <v>44</v>
      </c>
      <c r="G7" s="5" t="s">
        <v>45</v>
      </c>
      <c r="H7" s="7">
        <v>77.668</v>
      </c>
      <c r="I7" s="6" t="s">
        <v>46</v>
      </c>
      <c r="J7" s="5" t="s">
        <v>61</v>
      </c>
      <c r="K7" s="3" t="s">
        <v>48</v>
      </c>
      <c r="L7" s="8">
        <v>0.0</v>
      </c>
      <c r="M7" s="8">
        <f>5/73</f>
        <v>0.06849315068</v>
      </c>
      <c r="N7" s="8">
        <f>20.5/73</f>
        <v>0.2808219178</v>
      </c>
      <c r="O7" s="8">
        <f>12/73</f>
        <v>0.1643835616</v>
      </c>
      <c r="P7" s="8">
        <f>22/73</f>
        <v>0.301369863</v>
      </c>
      <c r="Q7" s="8">
        <f>6/73</f>
        <v>0.08219178082</v>
      </c>
      <c r="R7" s="8">
        <v>0.0</v>
      </c>
      <c r="S7" s="8">
        <v>0.0</v>
      </c>
      <c r="T7" s="8">
        <f>8/73</f>
        <v>0.1095890411</v>
      </c>
      <c r="U7" s="8">
        <v>0.0</v>
      </c>
      <c r="V7" s="5" t="s">
        <v>49</v>
      </c>
      <c r="W7" s="9" t="s">
        <v>50</v>
      </c>
      <c r="X7" s="10" t="s">
        <v>26</v>
      </c>
      <c r="Y7" s="7">
        <v>101.094</v>
      </c>
      <c r="Z7" s="3">
        <v>276.0</v>
      </c>
      <c r="AA7" s="3">
        <v>360.0</v>
      </c>
      <c r="AB7" s="3">
        <v>0.0</v>
      </c>
      <c r="AC7" s="4">
        <v>271.0</v>
      </c>
      <c r="AD7" s="3">
        <v>2.0</v>
      </c>
      <c r="AE7" s="4">
        <v>160.0</v>
      </c>
      <c r="AF7" s="4">
        <v>161.0</v>
      </c>
      <c r="AG7" s="4">
        <v>19.0</v>
      </c>
      <c r="AH7" s="3">
        <v>16.0</v>
      </c>
      <c r="AI7" s="3">
        <v>89.0</v>
      </c>
      <c r="AJ7" s="3">
        <v>50.0</v>
      </c>
      <c r="AK7" s="4">
        <v>10.0</v>
      </c>
      <c r="AL7" s="4">
        <v>5.0</v>
      </c>
      <c r="AM7" s="4">
        <v>21.0</v>
      </c>
      <c r="AN7" s="4">
        <v>3.0</v>
      </c>
      <c r="AO7" s="11">
        <v>0.0</v>
      </c>
      <c r="AP7" s="4">
        <v>0.0</v>
      </c>
    </row>
    <row r="8" ht="12.0" customHeight="1">
      <c r="A8" s="3">
        <v>7.0</v>
      </c>
      <c r="B8" s="3" t="s">
        <v>67</v>
      </c>
      <c r="C8" s="3" t="s">
        <v>65</v>
      </c>
      <c r="D8" s="3" t="s">
        <v>68</v>
      </c>
      <c r="E8" s="5" t="s">
        <v>44</v>
      </c>
      <c r="F8" s="6" t="s">
        <v>44</v>
      </c>
      <c r="G8" s="5" t="s">
        <v>45</v>
      </c>
      <c r="H8" s="7">
        <v>84.606</v>
      </c>
      <c r="I8" s="6" t="s">
        <v>53</v>
      </c>
      <c r="J8" s="5" t="s">
        <v>61</v>
      </c>
      <c r="K8" s="3" t="s">
        <v>48</v>
      </c>
      <c r="L8" s="8">
        <f>15/79</f>
        <v>0.1898734177</v>
      </c>
      <c r="M8" s="8">
        <f>37/79</f>
        <v>0.4683544304</v>
      </c>
      <c r="N8" s="8">
        <f>6/79</f>
        <v>0.07594936709</v>
      </c>
      <c r="O8" s="8">
        <v>0.0</v>
      </c>
      <c r="P8" s="8">
        <f>8/79</f>
        <v>0.1012658228</v>
      </c>
      <c r="Q8" s="8">
        <f>11/79</f>
        <v>0.1392405063</v>
      </c>
      <c r="R8" s="8">
        <v>0.0</v>
      </c>
      <c r="S8" s="8">
        <f>2/79</f>
        <v>0.0253164557</v>
      </c>
      <c r="T8" s="8">
        <v>0.0</v>
      </c>
      <c r="U8" s="8">
        <v>0.0</v>
      </c>
      <c r="V8" s="5" t="s">
        <v>49</v>
      </c>
      <c r="W8" s="9" t="s">
        <v>50</v>
      </c>
      <c r="X8" s="10" t="s">
        <v>26</v>
      </c>
      <c r="Y8" s="7">
        <v>87.647</v>
      </c>
      <c r="Z8" s="3">
        <f>235+42</f>
        <v>277</v>
      </c>
      <c r="AA8" s="3">
        <v>442.0</v>
      </c>
      <c r="AB8" s="3">
        <v>10.0</v>
      </c>
      <c r="AC8" s="4">
        <v>296.0</v>
      </c>
      <c r="AD8" s="3">
        <v>1.0</v>
      </c>
      <c r="AE8" s="4">
        <v>110.0</v>
      </c>
      <c r="AF8" s="4">
        <v>168.0</v>
      </c>
      <c r="AG8" s="4">
        <v>42.0</v>
      </c>
      <c r="AH8" s="4">
        <v>15.0</v>
      </c>
      <c r="AI8" s="3">
        <v>145.0</v>
      </c>
      <c r="AJ8" s="3">
        <v>0.0</v>
      </c>
      <c r="AK8" s="4">
        <v>16.0</v>
      </c>
      <c r="AL8" s="4">
        <v>2.0</v>
      </c>
      <c r="AM8" s="4">
        <v>27.0</v>
      </c>
      <c r="AN8" s="4">
        <v>0.0</v>
      </c>
      <c r="AO8" s="11">
        <v>0.0</v>
      </c>
      <c r="AP8" s="4">
        <v>0.0</v>
      </c>
    </row>
    <row r="9" ht="12.0" customHeight="1">
      <c r="A9" s="3">
        <v>8.0</v>
      </c>
      <c r="B9" s="3">
        <v>9.0</v>
      </c>
      <c r="C9" s="3" t="s">
        <v>69</v>
      </c>
      <c r="D9" s="3" t="s">
        <v>43</v>
      </c>
      <c r="E9" s="5" t="s">
        <v>44</v>
      </c>
      <c r="F9" s="6" t="s">
        <v>44</v>
      </c>
      <c r="G9" s="5" t="s">
        <v>44</v>
      </c>
      <c r="H9" s="7">
        <v>64.24</v>
      </c>
      <c r="I9" s="6" t="s">
        <v>53</v>
      </c>
      <c r="J9" s="5" t="s">
        <v>54</v>
      </c>
      <c r="K9" s="3" t="s">
        <v>55</v>
      </c>
      <c r="L9" s="8">
        <f>18/65</f>
        <v>0.2769230769</v>
      </c>
      <c r="M9" s="8">
        <f>29/65</f>
        <v>0.4461538462</v>
      </c>
      <c r="N9" s="8">
        <v>0.0</v>
      </c>
      <c r="O9" s="8">
        <f>2/65</f>
        <v>0.03076923077</v>
      </c>
      <c r="P9" s="8">
        <f>7/65</f>
        <v>0.1076923077</v>
      </c>
      <c r="Q9" s="8">
        <f>9/65</f>
        <v>0.1384615385</v>
      </c>
      <c r="R9" s="8">
        <v>0.0</v>
      </c>
      <c r="S9" s="8">
        <v>0.0</v>
      </c>
      <c r="T9" s="8">
        <v>0.0</v>
      </c>
      <c r="U9" s="8">
        <v>0.0</v>
      </c>
      <c r="V9" s="6" t="s">
        <v>49</v>
      </c>
      <c r="W9" s="9" t="s">
        <v>57</v>
      </c>
      <c r="X9" s="10" t="s">
        <v>35</v>
      </c>
      <c r="Y9" s="9">
        <v>133.44</v>
      </c>
      <c r="Z9" s="3">
        <v>105.0</v>
      </c>
      <c r="AA9" s="3">
        <v>0.0</v>
      </c>
      <c r="AB9" s="3">
        <v>0.0</v>
      </c>
      <c r="AC9" s="4">
        <v>275.0</v>
      </c>
      <c r="AD9" s="3">
        <v>0.0</v>
      </c>
      <c r="AE9" s="4">
        <v>32.0</v>
      </c>
      <c r="AF9" s="4">
        <v>157.0</v>
      </c>
      <c r="AG9" s="4">
        <v>40.0</v>
      </c>
      <c r="AH9" s="3">
        <v>6.0</v>
      </c>
      <c r="AI9" s="3">
        <v>28.0</v>
      </c>
      <c r="AJ9" s="3">
        <v>11.0</v>
      </c>
      <c r="AK9" s="4">
        <v>11.0</v>
      </c>
      <c r="AL9" s="4">
        <v>8.0</v>
      </c>
      <c r="AM9" s="4">
        <v>16.0</v>
      </c>
      <c r="AN9" s="4">
        <v>2.0</v>
      </c>
      <c r="AO9" s="11">
        <v>0.0</v>
      </c>
      <c r="AP9" s="4">
        <v>0.0</v>
      </c>
    </row>
    <row r="10" ht="12.0" customHeight="1">
      <c r="A10" s="3">
        <v>9.0</v>
      </c>
      <c r="B10" s="3" t="s">
        <v>70</v>
      </c>
      <c r="C10" s="3" t="s">
        <v>69</v>
      </c>
      <c r="D10" s="3" t="s">
        <v>58</v>
      </c>
      <c r="E10" s="5" t="s">
        <v>44</v>
      </c>
      <c r="F10" s="6" t="s">
        <v>44</v>
      </c>
      <c r="G10" s="5" t="s">
        <v>44</v>
      </c>
      <c r="H10" s="7">
        <v>77.206</v>
      </c>
      <c r="I10" s="6" t="s">
        <v>53</v>
      </c>
      <c r="J10" s="5" t="s">
        <v>61</v>
      </c>
      <c r="K10" s="3" t="s">
        <v>62</v>
      </c>
      <c r="L10" s="8">
        <f>3/75</f>
        <v>0.04</v>
      </c>
      <c r="M10" s="8">
        <v>0.96</v>
      </c>
      <c r="N10" s="8">
        <v>0.0</v>
      </c>
      <c r="O10" s="8">
        <v>0.0</v>
      </c>
      <c r="P10" s="8">
        <v>0.0</v>
      </c>
      <c r="Q10" s="8">
        <v>0.0</v>
      </c>
      <c r="R10" s="8">
        <v>0.0</v>
      </c>
      <c r="S10" s="8">
        <v>0.0</v>
      </c>
      <c r="T10" s="8">
        <v>0.0</v>
      </c>
      <c r="U10" s="8">
        <v>0.0</v>
      </c>
      <c r="V10" s="6" t="s">
        <v>49</v>
      </c>
      <c r="W10" s="9" t="s">
        <v>57</v>
      </c>
      <c r="X10" s="10" t="s">
        <v>35</v>
      </c>
      <c r="Y10" s="7">
        <v>159.98</v>
      </c>
      <c r="Z10" s="3">
        <f>166+7</f>
        <v>173</v>
      </c>
      <c r="AA10" s="3">
        <v>9.0</v>
      </c>
      <c r="AB10" s="3">
        <v>0.0</v>
      </c>
      <c r="AC10" s="4">
        <v>327.0</v>
      </c>
      <c r="AD10" s="3">
        <v>2.0</v>
      </c>
      <c r="AE10" s="4">
        <v>64.0</v>
      </c>
      <c r="AF10" s="4">
        <v>235.0</v>
      </c>
      <c r="AG10" s="4">
        <v>52.0</v>
      </c>
      <c r="AH10" s="3">
        <v>4.0</v>
      </c>
      <c r="AI10" s="3">
        <v>131.0</v>
      </c>
      <c r="AJ10" s="3">
        <v>463.0</v>
      </c>
      <c r="AK10" s="4">
        <v>11.0</v>
      </c>
      <c r="AL10" s="4">
        <v>7.0</v>
      </c>
      <c r="AM10" s="4">
        <v>13.0</v>
      </c>
      <c r="AN10" s="4">
        <v>1.0</v>
      </c>
      <c r="AO10" s="11">
        <v>0.0</v>
      </c>
      <c r="AP10" s="4">
        <v>0.0</v>
      </c>
    </row>
    <row r="11" ht="12.0" customHeight="1">
      <c r="A11" s="3">
        <v>10.0</v>
      </c>
      <c r="B11" s="3" t="s">
        <v>71</v>
      </c>
      <c r="C11" s="3" t="s">
        <v>72</v>
      </c>
      <c r="D11" s="3" t="s">
        <v>73</v>
      </c>
      <c r="E11" s="5" t="s">
        <v>44</v>
      </c>
      <c r="F11" s="6" t="s">
        <v>44</v>
      </c>
      <c r="G11" s="5" t="s">
        <v>44</v>
      </c>
      <c r="H11" s="7">
        <v>26.844</v>
      </c>
      <c r="I11" s="6" t="s">
        <v>53</v>
      </c>
      <c r="J11" s="5" t="s">
        <v>61</v>
      </c>
      <c r="K11" s="3" t="s">
        <v>62</v>
      </c>
      <c r="L11" s="8">
        <v>0.0</v>
      </c>
      <c r="M11" s="8">
        <f>23/25</f>
        <v>0.92</v>
      </c>
      <c r="N11" s="8">
        <f>1/25</f>
        <v>0.04</v>
      </c>
      <c r="O11" s="8">
        <v>0.0</v>
      </c>
      <c r="P11" s="8">
        <v>0.0</v>
      </c>
      <c r="Q11" s="8">
        <v>0.0</v>
      </c>
      <c r="R11" s="8">
        <v>0.0</v>
      </c>
      <c r="S11" s="8">
        <v>0.0</v>
      </c>
      <c r="T11" s="8">
        <f>1/25</f>
        <v>0.04</v>
      </c>
      <c r="U11" s="8">
        <v>0.0</v>
      </c>
      <c r="V11" s="6" t="s">
        <v>49</v>
      </c>
      <c r="W11" s="9" t="s">
        <v>57</v>
      </c>
      <c r="X11" s="10" t="s">
        <v>35</v>
      </c>
      <c r="Y11" s="7">
        <v>59.851</v>
      </c>
      <c r="Z11" s="3">
        <v>30.0</v>
      </c>
      <c r="AA11" s="3">
        <v>0.0</v>
      </c>
      <c r="AB11" s="3">
        <v>0.0</v>
      </c>
      <c r="AC11" s="4">
        <v>101.0</v>
      </c>
      <c r="AD11" s="3">
        <v>1.0</v>
      </c>
      <c r="AE11" s="4">
        <v>15.0</v>
      </c>
      <c r="AF11" s="4">
        <v>107.0</v>
      </c>
      <c r="AG11" s="4">
        <v>30.0</v>
      </c>
      <c r="AH11" s="3">
        <v>1.0</v>
      </c>
      <c r="AI11" s="3">
        <v>28.0</v>
      </c>
      <c r="AJ11" s="3">
        <v>196.0</v>
      </c>
      <c r="AK11" s="4">
        <v>7.0</v>
      </c>
      <c r="AL11" s="4">
        <v>4.0</v>
      </c>
      <c r="AM11" s="4">
        <v>11.0</v>
      </c>
      <c r="AN11" s="4">
        <v>2.0</v>
      </c>
      <c r="AO11" s="11">
        <v>1.0</v>
      </c>
      <c r="AP11" s="4">
        <v>0.0</v>
      </c>
    </row>
    <row r="12" ht="12.0" customHeight="1">
      <c r="A12" s="3">
        <f t="shared" ref="A12:A84" si="1">A11+1</f>
        <v>11</v>
      </c>
      <c r="B12" s="11" t="s">
        <v>74</v>
      </c>
      <c r="C12" s="3" t="s">
        <v>75</v>
      </c>
      <c r="D12" s="3" t="s">
        <v>76</v>
      </c>
      <c r="E12" s="6" t="s">
        <v>44</v>
      </c>
      <c r="F12" s="6" t="s">
        <v>44</v>
      </c>
      <c r="G12" s="6" t="s">
        <v>44</v>
      </c>
      <c r="H12" s="7">
        <v>84.012</v>
      </c>
      <c r="I12" s="6" t="s">
        <v>46</v>
      </c>
      <c r="J12" s="6" t="s">
        <v>61</v>
      </c>
      <c r="K12" s="11" t="s">
        <v>77</v>
      </c>
      <c r="L12" s="8">
        <f>10/86</f>
        <v>0.1162790698</v>
      </c>
      <c r="M12" s="8">
        <f>72/86</f>
        <v>0.8372093023</v>
      </c>
      <c r="N12" s="8">
        <f>2/86</f>
        <v>0.02325581395</v>
      </c>
      <c r="O12" s="8">
        <f>1/86</f>
        <v>0.01162790698</v>
      </c>
      <c r="P12" s="8">
        <v>0.0</v>
      </c>
      <c r="Q12" s="8">
        <v>0.0</v>
      </c>
      <c r="R12" s="8">
        <v>0.0</v>
      </c>
      <c r="S12" s="8">
        <v>0.0</v>
      </c>
      <c r="T12" s="8">
        <f>1/86</f>
        <v>0.01162790698</v>
      </c>
      <c r="U12" s="8">
        <v>0.0</v>
      </c>
      <c r="V12" s="6" t="s">
        <v>49</v>
      </c>
      <c r="W12" s="7" t="s">
        <v>57</v>
      </c>
      <c r="X12" s="10" t="s">
        <v>35</v>
      </c>
      <c r="Y12" s="7">
        <v>102.921</v>
      </c>
      <c r="Z12" s="11">
        <v>177.0</v>
      </c>
      <c r="AA12" s="11">
        <v>12.0</v>
      </c>
      <c r="AB12" s="11">
        <v>5.0</v>
      </c>
      <c r="AC12" s="11">
        <v>182.0</v>
      </c>
      <c r="AD12" s="11">
        <v>0.0</v>
      </c>
      <c r="AE12" s="11">
        <v>112.0</v>
      </c>
      <c r="AF12" s="11">
        <v>144.0</v>
      </c>
      <c r="AG12" s="11">
        <v>24.0</v>
      </c>
      <c r="AH12" s="11">
        <v>11.0</v>
      </c>
      <c r="AI12" s="11">
        <v>80.0</v>
      </c>
      <c r="AJ12" s="11">
        <v>391.0</v>
      </c>
      <c r="AK12" s="11">
        <v>1.0</v>
      </c>
      <c r="AL12" s="11">
        <v>2.0</v>
      </c>
      <c r="AM12" s="11">
        <v>15.0</v>
      </c>
      <c r="AN12" s="11">
        <v>2.0</v>
      </c>
      <c r="AO12" s="11">
        <v>0.0</v>
      </c>
      <c r="AP12" s="4">
        <v>0.0</v>
      </c>
    </row>
    <row r="13" ht="12.0" customHeight="1">
      <c r="A13" s="3">
        <f t="shared" si="1"/>
        <v>12</v>
      </c>
      <c r="B13" s="11">
        <v>15.0</v>
      </c>
      <c r="C13" s="3" t="s">
        <v>78</v>
      </c>
      <c r="D13" s="3" t="s">
        <v>79</v>
      </c>
      <c r="E13" s="6" t="s">
        <v>44</v>
      </c>
      <c r="F13" s="6" t="s">
        <v>44</v>
      </c>
      <c r="G13" s="6" t="s">
        <v>44</v>
      </c>
      <c r="H13" s="7">
        <v>12.609</v>
      </c>
      <c r="I13" s="6" t="s">
        <v>46</v>
      </c>
      <c r="J13" s="6" t="s">
        <v>47</v>
      </c>
      <c r="K13" s="11" t="s">
        <v>77</v>
      </c>
      <c r="L13" s="8">
        <f>3.9/13</f>
        <v>0.3</v>
      </c>
      <c r="M13" s="8">
        <v>0.0</v>
      </c>
      <c r="N13" s="8">
        <f>1/13</f>
        <v>0.07692307692</v>
      </c>
      <c r="O13" s="8">
        <v>0.0</v>
      </c>
      <c r="P13" s="8">
        <v>0.0</v>
      </c>
      <c r="Q13" s="8">
        <f>4/13</f>
        <v>0.3076923077</v>
      </c>
      <c r="R13" s="8">
        <v>0.0</v>
      </c>
      <c r="S13" s="8">
        <v>0.0</v>
      </c>
      <c r="T13" s="8">
        <f>4/13</f>
        <v>0.3076923077</v>
      </c>
      <c r="U13" s="8">
        <v>0.0</v>
      </c>
      <c r="V13" s="6" t="s">
        <v>56</v>
      </c>
      <c r="W13" s="7" t="s">
        <v>50</v>
      </c>
      <c r="X13" s="10" t="s">
        <v>26</v>
      </c>
      <c r="Y13" s="7">
        <v>15.202</v>
      </c>
      <c r="Z13" s="3">
        <f>14 </f>
        <v>14</v>
      </c>
      <c r="AA13" s="11">
        <v>32.0</v>
      </c>
      <c r="AB13" s="11">
        <v>0.0</v>
      </c>
      <c r="AC13" s="11">
        <v>22.0</v>
      </c>
      <c r="AD13" s="11">
        <v>0.0</v>
      </c>
      <c r="AE13" s="11">
        <v>8.0</v>
      </c>
      <c r="AF13" s="11">
        <v>4.0</v>
      </c>
      <c r="AG13" s="11">
        <v>0.0</v>
      </c>
      <c r="AH13" s="11">
        <v>2.0</v>
      </c>
      <c r="AI13" s="11">
        <v>0.0</v>
      </c>
      <c r="AJ13" s="11">
        <v>0.0</v>
      </c>
      <c r="AK13" s="11">
        <v>4.0</v>
      </c>
      <c r="AL13" s="11">
        <v>1.0</v>
      </c>
      <c r="AM13" s="11">
        <v>4.0</v>
      </c>
      <c r="AN13" s="11">
        <v>0.0</v>
      </c>
      <c r="AO13" s="11">
        <v>0.0</v>
      </c>
      <c r="AP13" s="4">
        <v>0.0</v>
      </c>
    </row>
    <row r="14" ht="12.0" customHeight="1">
      <c r="A14" s="3">
        <f t="shared" si="1"/>
        <v>13</v>
      </c>
      <c r="B14" s="11">
        <v>206.0</v>
      </c>
      <c r="C14" s="3" t="s">
        <v>78</v>
      </c>
      <c r="D14" s="3" t="s">
        <v>80</v>
      </c>
      <c r="E14" s="6" t="s">
        <v>44</v>
      </c>
      <c r="F14" s="6" t="s">
        <v>44</v>
      </c>
      <c r="G14" s="6" t="s">
        <v>44</v>
      </c>
      <c r="H14" s="7">
        <v>37.818</v>
      </c>
      <c r="I14" s="6" t="s">
        <v>46</v>
      </c>
      <c r="J14" s="6" t="s">
        <v>47</v>
      </c>
      <c r="K14" s="11" t="s">
        <v>55</v>
      </c>
      <c r="L14" s="8">
        <v>0.0</v>
      </c>
      <c r="M14" s="8">
        <f>30/40</f>
        <v>0.75</v>
      </c>
      <c r="N14" s="8">
        <f>2.75/40</f>
        <v>0.06875</v>
      </c>
      <c r="O14" s="8">
        <v>0.0</v>
      </c>
      <c r="P14" s="8">
        <v>0.0</v>
      </c>
      <c r="Q14" s="8">
        <f>7/40</f>
        <v>0.175</v>
      </c>
      <c r="R14" s="8">
        <v>0.0</v>
      </c>
      <c r="S14" s="8">
        <v>0.0</v>
      </c>
      <c r="T14" s="8">
        <v>0.0</v>
      </c>
      <c r="U14" s="8">
        <v>0.0</v>
      </c>
      <c r="V14" s="6" t="s">
        <v>49</v>
      </c>
      <c r="W14" s="7" t="s">
        <v>50</v>
      </c>
      <c r="X14" s="10" t="s">
        <v>26</v>
      </c>
      <c r="Y14" s="7">
        <v>40.966</v>
      </c>
      <c r="Z14" s="11">
        <v>87.0</v>
      </c>
      <c r="AA14" s="11">
        <v>86.0</v>
      </c>
      <c r="AB14" s="11">
        <v>0.0</v>
      </c>
      <c r="AC14" s="11">
        <v>87.0</v>
      </c>
      <c r="AD14" s="11">
        <v>0.0</v>
      </c>
      <c r="AE14" s="11">
        <v>29.0</v>
      </c>
      <c r="AF14" s="11">
        <v>40.0</v>
      </c>
      <c r="AG14" s="11">
        <v>7.0</v>
      </c>
      <c r="AH14" s="11">
        <v>3.0</v>
      </c>
      <c r="AI14" s="11">
        <v>6.0</v>
      </c>
      <c r="AJ14" s="11">
        <v>9.0</v>
      </c>
      <c r="AK14" s="11">
        <v>13.0</v>
      </c>
      <c r="AL14" s="11">
        <v>1.0</v>
      </c>
      <c r="AM14" s="11">
        <v>6.0</v>
      </c>
      <c r="AN14" s="11">
        <v>5.0</v>
      </c>
      <c r="AO14" s="11">
        <v>1.0</v>
      </c>
      <c r="AP14" s="4">
        <v>0.0</v>
      </c>
    </row>
    <row r="15" ht="12.0" customHeight="1">
      <c r="A15" s="3">
        <f t="shared" si="1"/>
        <v>14</v>
      </c>
      <c r="B15" s="11">
        <v>18.0</v>
      </c>
      <c r="C15" s="3" t="s">
        <v>78</v>
      </c>
      <c r="D15" s="3" t="s">
        <v>81</v>
      </c>
      <c r="E15" s="6" t="s">
        <v>44</v>
      </c>
      <c r="F15" s="6" t="s">
        <v>44</v>
      </c>
      <c r="G15" s="6" t="s">
        <v>44</v>
      </c>
      <c r="H15" s="7">
        <v>27.752</v>
      </c>
      <c r="I15" s="6" t="s">
        <v>53</v>
      </c>
      <c r="J15" s="6" t="s">
        <v>54</v>
      </c>
      <c r="K15" s="11" t="s">
        <v>55</v>
      </c>
      <c r="L15" s="8">
        <v>0.0</v>
      </c>
      <c r="M15" s="8">
        <v>0.0</v>
      </c>
      <c r="N15" s="8">
        <v>0.0</v>
      </c>
      <c r="O15" s="8">
        <v>0.0</v>
      </c>
      <c r="P15" s="8">
        <v>0.0</v>
      </c>
      <c r="Q15" s="8">
        <v>0.0</v>
      </c>
      <c r="R15" s="8">
        <v>0.0</v>
      </c>
      <c r="S15" s="8">
        <v>0.0</v>
      </c>
      <c r="T15" s="8">
        <v>0.5</v>
      </c>
      <c r="U15" s="8">
        <v>0.5</v>
      </c>
      <c r="V15" s="6" t="s">
        <v>49</v>
      </c>
      <c r="W15" s="7" t="s">
        <v>57</v>
      </c>
      <c r="X15" s="10" t="s">
        <v>35</v>
      </c>
      <c r="Y15" s="7">
        <v>48.216</v>
      </c>
      <c r="Z15" s="11">
        <v>12.0</v>
      </c>
      <c r="AA15" s="11">
        <v>0.0</v>
      </c>
      <c r="AB15" s="11">
        <v>0.0</v>
      </c>
      <c r="AC15" s="11">
        <v>61.0</v>
      </c>
      <c r="AD15" s="11">
        <v>0.0</v>
      </c>
      <c r="AE15" s="11">
        <v>31.0</v>
      </c>
      <c r="AF15" s="11">
        <v>43.0</v>
      </c>
      <c r="AG15" s="11">
        <v>6.0</v>
      </c>
      <c r="AH15" s="11">
        <v>2.0</v>
      </c>
      <c r="AI15" s="11">
        <v>3.0</v>
      </c>
      <c r="AJ15" s="11">
        <v>105.0</v>
      </c>
      <c r="AK15" s="11">
        <v>3.0</v>
      </c>
      <c r="AL15" s="11">
        <v>0.0</v>
      </c>
      <c r="AM15" s="11">
        <v>3.0</v>
      </c>
      <c r="AN15" s="11">
        <v>0.0</v>
      </c>
      <c r="AO15" s="11">
        <v>0.0</v>
      </c>
      <c r="AP15" s="4">
        <v>0.0</v>
      </c>
    </row>
    <row r="16" ht="12.0" customHeight="1">
      <c r="A16" s="3">
        <f t="shared" si="1"/>
        <v>15</v>
      </c>
      <c r="B16" s="11" t="s">
        <v>82</v>
      </c>
      <c r="C16" s="3" t="s">
        <v>83</v>
      </c>
      <c r="E16" s="6" t="s">
        <v>45</v>
      </c>
      <c r="F16" s="6" t="s">
        <v>44</v>
      </c>
      <c r="G16" s="6" t="s">
        <v>44</v>
      </c>
      <c r="H16" s="7">
        <v>7.597</v>
      </c>
      <c r="I16" s="6" t="s">
        <v>53</v>
      </c>
      <c r="J16" s="6" t="s">
        <v>61</v>
      </c>
      <c r="K16" s="11" t="s">
        <v>62</v>
      </c>
      <c r="L16" s="8">
        <v>0.01</v>
      </c>
      <c r="M16" s="8">
        <v>0.99</v>
      </c>
      <c r="N16" s="8">
        <v>0.0</v>
      </c>
      <c r="O16" s="8">
        <v>0.0</v>
      </c>
      <c r="P16" s="8">
        <v>0.0</v>
      </c>
      <c r="Q16" s="8">
        <v>0.0</v>
      </c>
      <c r="R16" s="8">
        <v>0.0</v>
      </c>
      <c r="S16" s="8">
        <v>0.0</v>
      </c>
      <c r="T16" s="8">
        <v>0.0</v>
      </c>
      <c r="U16" s="8">
        <v>0.0</v>
      </c>
      <c r="V16" s="6" t="s">
        <v>63</v>
      </c>
      <c r="W16" s="7" t="s">
        <v>57</v>
      </c>
      <c r="X16" s="10" t="s">
        <v>35</v>
      </c>
      <c r="Y16" s="7">
        <v>61.07</v>
      </c>
      <c r="Z16" s="11">
        <v>7.0</v>
      </c>
      <c r="AA16" s="11">
        <v>221.0</v>
      </c>
      <c r="AB16" s="11">
        <v>12.0</v>
      </c>
      <c r="AC16" s="11">
        <v>78.0</v>
      </c>
      <c r="AD16" s="11">
        <v>4.0</v>
      </c>
      <c r="AE16" s="11">
        <v>11.0</v>
      </c>
      <c r="AF16" s="11">
        <v>134.0</v>
      </c>
      <c r="AG16" s="11">
        <v>18.0</v>
      </c>
      <c r="AH16" s="11">
        <v>1.0</v>
      </c>
      <c r="AI16" s="11">
        <v>87.0</v>
      </c>
      <c r="AJ16" s="11">
        <v>114.0</v>
      </c>
      <c r="AK16" s="11">
        <v>4.0</v>
      </c>
      <c r="AL16" s="11">
        <v>1.0</v>
      </c>
      <c r="AM16" s="11">
        <v>2.0</v>
      </c>
      <c r="AN16" s="11">
        <v>2.0</v>
      </c>
      <c r="AO16" s="11">
        <v>0.0</v>
      </c>
      <c r="AP16" s="4">
        <v>0.0</v>
      </c>
    </row>
    <row r="17" ht="12.0" customHeight="1">
      <c r="A17" s="3">
        <f t="shared" si="1"/>
        <v>16</v>
      </c>
      <c r="B17" s="11" t="s">
        <v>84</v>
      </c>
      <c r="C17" s="3" t="s">
        <v>85</v>
      </c>
      <c r="D17" s="3" t="s">
        <v>86</v>
      </c>
      <c r="E17" s="6" t="s">
        <v>44</v>
      </c>
      <c r="F17" s="6" t="s">
        <v>44</v>
      </c>
      <c r="G17" s="6" t="s">
        <v>44</v>
      </c>
      <c r="H17" s="7">
        <v>17.404</v>
      </c>
      <c r="I17" s="6" t="s">
        <v>46</v>
      </c>
      <c r="J17" s="6" t="s">
        <v>47</v>
      </c>
      <c r="K17" s="11" t="s">
        <v>48</v>
      </c>
      <c r="L17" s="8">
        <v>0.0</v>
      </c>
      <c r="M17" s="8">
        <f>13.5/15</f>
        <v>0.9</v>
      </c>
      <c r="N17" s="8">
        <f>0.5/15</f>
        <v>0.03333333333</v>
      </c>
      <c r="O17" s="8">
        <f>1/15</f>
        <v>0.06666666667</v>
      </c>
      <c r="P17" s="8">
        <v>0.0</v>
      </c>
      <c r="Q17" s="8">
        <v>0.0</v>
      </c>
      <c r="R17" s="8">
        <v>0.0</v>
      </c>
      <c r="S17" s="8">
        <v>0.0</v>
      </c>
      <c r="T17" s="8">
        <v>0.0</v>
      </c>
      <c r="U17" s="8">
        <v>0.0</v>
      </c>
      <c r="V17" s="6" t="s">
        <v>49</v>
      </c>
      <c r="W17" s="7" t="s">
        <v>50</v>
      </c>
      <c r="X17" s="10" t="s">
        <v>26</v>
      </c>
      <c r="Y17" s="7">
        <v>18.702</v>
      </c>
      <c r="Z17" s="11">
        <v>53.0</v>
      </c>
      <c r="AA17" s="11">
        <v>79.0</v>
      </c>
      <c r="AB17" s="11">
        <v>0.0</v>
      </c>
      <c r="AC17" s="11">
        <v>85.0</v>
      </c>
      <c r="AD17" s="11">
        <v>0.0</v>
      </c>
      <c r="AE17" s="11">
        <v>31.0</v>
      </c>
      <c r="AF17" s="11">
        <v>24.0</v>
      </c>
      <c r="AG17" s="11">
        <v>2.0</v>
      </c>
      <c r="AH17" s="11">
        <v>3.0</v>
      </c>
      <c r="AI17" s="11">
        <v>8.0</v>
      </c>
      <c r="AJ17" s="11">
        <v>19.0</v>
      </c>
      <c r="AK17" s="11">
        <v>3.0</v>
      </c>
      <c r="AL17" s="11">
        <v>0.0</v>
      </c>
      <c r="AM17" s="11">
        <v>11.0</v>
      </c>
      <c r="AN17" s="11">
        <v>1.0</v>
      </c>
      <c r="AO17" s="11">
        <v>1.0</v>
      </c>
      <c r="AP17" s="4">
        <v>0.0</v>
      </c>
    </row>
    <row r="18" ht="12.0" customHeight="1">
      <c r="A18" s="3">
        <f t="shared" si="1"/>
        <v>17</v>
      </c>
      <c r="B18" s="11" t="s">
        <v>87</v>
      </c>
      <c r="C18" s="3" t="s">
        <v>88</v>
      </c>
      <c r="D18" s="3" t="s">
        <v>89</v>
      </c>
      <c r="E18" s="6" t="s">
        <v>44</v>
      </c>
      <c r="F18" s="6" t="s">
        <v>44</v>
      </c>
      <c r="G18" s="6" t="s">
        <v>44</v>
      </c>
      <c r="H18" s="7">
        <v>17.251</v>
      </c>
      <c r="I18" s="6" t="s">
        <v>53</v>
      </c>
      <c r="J18" s="6" t="s">
        <v>61</v>
      </c>
      <c r="K18" s="11" t="s">
        <v>62</v>
      </c>
      <c r="L18" s="8">
        <v>0.0</v>
      </c>
      <c r="M18" s="8">
        <f>14/15</f>
        <v>0.9333333333</v>
      </c>
      <c r="N18" s="8">
        <v>0.0</v>
      </c>
      <c r="O18" s="8">
        <v>0.0</v>
      </c>
      <c r="P18" s="8">
        <v>0.0</v>
      </c>
      <c r="Q18" s="8">
        <v>0.0</v>
      </c>
      <c r="R18" s="8">
        <f>1/15</f>
        <v>0.06666666667</v>
      </c>
      <c r="S18" s="8">
        <v>0.0</v>
      </c>
      <c r="T18" s="8">
        <v>0.0</v>
      </c>
      <c r="U18" s="8">
        <v>0.0</v>
      </c>
      <c r="V18" s="6" t="s">
        <v>56</v>
      </c>
      <c r="W18" s="7" t="s">
        <v>57</v>
      </c>
      <c r="X18" s="10" t="s">
        <v>35</v>
      </c>
      <c r="Y18" s="7">
        <v>63.153</v>
      </c>
      <c r="Z18" s="11">
        <v>173.0</v>
      </c>
      <c r="AA18" s="11">
        <v>89.0</v>
      </c>
      <c r="AB18" s="11">
        <v>0.0</v>
      </c>
      <c r="AC18" s="11">
        <v>131.0</v>
      </c>
      <c r="AD18" s="11">
        <v>7.0</v>
      </c>
      <c r="AE18" s="11">
        <v>45.0</v>
      </c>
      <c r="AF18" s="11">
        <v>139.0</v>
      </c>
      <c r="AG18" s="11">
        <v>15.0</v>
      </c>
      <c r="AH18" s="11">
        <v>4.0</v>
      </c>
      <c r="AI18" s="11">
        <v>109.0</v>
      </c>
      <c r="AJ18" s="11">
        <v>256.0</v>
      </c>
      <c r="AK18" s="11">
        <v>16.0</v>
      </c>
      <c r="AL18" s="11">
        <v>0.0</v>
      </c>
      <c r="AM18" s="11">
        <v>5.0</v>
      </c>
      <c r="AN18" s="11">
        <v>4.0</v>
      </c>
      <c r="AO18" s="11">
        <v>0.0</v>
      </c>
      <c r="AP18" s="4">
        <v>0.0</v>
      </c>
    </row>
    <row r="19" ht="12.0" customHeight="1">
      <c r="A19" s="3">
        <f t="shared" si="1"/>
        <v>18</v>
      </c>
      <c r="B19" s="11">
        <v>28.0</v>
      </c>
      <c r="C19" s="3" t="s">
        <v>90</v>
      </c>
      <c r="D19" s="3" t="s">
        <v>91</v>
      </c>
      <c r="E19" s="6" t="s">
        <v>44</v>
      </c>
      <c r="F19" s="6" t="s">
        <v>44</v>
      </c>
      <c r="G19" s="6" t="s">
        <v>44</v>
      </c>
      <c r="H19" s="7">
        <v>13.033</v>
      </c>
      <c r="I19" s="6" t="s">
        <v>46</v>
      </c>
      <c r="J19" s="6" t="s">
        <v>54</v>
      </c>
      <c r="K19" s="11" t="s">
        <v>62</v>
      </c>
      <c r="L19" s="8">
        <v>0.0</v>
      </c>
      <c r="M19" s="8">
        <f>17/20</f>
        <v>0.85</v>
      </c>
      <c r="N19" s="8">
        <v>0.0</v>
      </c>
      <c r="O19" s="8">
        <v>0.0</v>
      </c>
      <c r="P19" s="8">
        <v>0.0</v>
      </c>
      <c r="Q19" s="8">
        <v>0.0</v>
      </c>
      <c r="R19" s="8">
        <f>3/20</f>
        <v>0.15</v>
      </c>
      <c r="S19" s="8">
        <v>0.0</v>
      </c>
      <c r="T19" s="8">
        <v>0.0</v>
      </c>
      <c r="U19" s="8">
        <v>0.0</v>
      </c>
      <c r="V19" s="6" t="s">
        <v>63</v>
      </c>
      <c r="W19" s="7" t="s">
        <v>57</v>
      </c>
      <c r="X19" s="10" t="s">
        <v>35</v>
      </c>
      <c r="Y19" s="7">
        <v>27.34</v>
      </c>
      <c r="Z19" s="11">
        <v>6.0</v>
      </c>
      <c r="AA19" s="11">
        <v>41.0</v>
      </c>
      <c r="AB19" s="11">
        <v>0.0</v>
      </c>
      <c r="AC19" s="11">
        <v>59.0</v>
      </c>
      <c r="AD19" s="11">
        <v>0.0</v>
      </c>
      <c r="AE19" s="11">
        <v>21.0</v>
      </c>
      <c r="AF19" s="11">
        <v>44.0</v>
      </c>
      <c r="AG19" s="11">
        <v>4.0</v>
      </c>
      <c r="AH19" s="11">
        <v>4.0</v>
      </c>
      <c r="AI19" s="11">
        <v>18.0</v>
      </c>
      <c r="AJ19" s="11">
        <v>71.0</v>
      </c>
      <c r="AK19" s="11">
        <v>5.0</v>
      </c>
      <c r="AL19" s="11">
        <v>1.0</v>
      </c>
      <c r="AM19" s="11">
        <v>0.0</v>
      </c>
      <c r="AN19" s="11">
        <v>0.0</v>
      </c>
      <c r="AO19" s="11">
        <v>0.0</v>
      </c>
      <c r="AP19" s="4">
        <v>0.0</v>
      </c>
    </row>
    <row r="20" ht="12.0" customHeight="1">
      <c r="A20" s="3">
        <f t="shared" si="1"/>
        <v>19</v>
      </c>
      <c r="B20" s="11">
        <v>26.0</v>
      </c>
      <c r="C20" s="3" t="s">
        <v>90</v>
      </c>
      <c r="D20" s="3" t="s">
        <v>92</v>
      </c>
      <c r="E20" s="6" t="s">
        <v>44</v>
      </c>
      <c r="F20" s="6" t="s">
        <v>44</v>
      </c>
      <c r="G20" s="6" t="s">
        <v>44</v>
      </c>
      <c r="H20" s="7">
        <v>17.412</v>
      </c>
      <c r="I20" s="6" t="s">
        <v>53</v>
      </c>
      <c r="J20" s="6" t="s">
        <v>61</v>
      </c>
      <c r="K20" s="11" t="s">
        <v>77</v>
      </c>
      <c r="L20" s="8">
        <v>0.0</v>
      </c>
      <c r="M20" s="8">
        <f>12.5/15</f>
        <v>0.8333333333</v>
      </c>
      <c r="N20" s="8">
        <v>0.0</v>
      </c>
      <c r="O20" s="8">
        <v>0.0</v>
      </c>
      <c r="P20" s="8">
        <v>0.0</v>
      </c>
      <c r="Q20" s="8">
        <v>0.0</v>
      </c>
      <c r="R20" s="8">
        <f>2.5/15</f>
        <v>0.1666666667</v>
      </c>
      <c r="S20" s="8">
        <v>0.0</v>
      </c>
      <c r="T20" s="8">
        <v>0.0</v>
      </c>
      <c r="U20" s="8">
        <v>0.0</v>
      </c>
      <c r="V20" s="6" t="s">
        <v>56</v>
      </c>
      <c r="W20" s="7" t="s">
        <v>57</v>
      </c>
      <c r="X20" s="10" t="s">
        <v>35</v>
      </c>
      <c r="Y20" s="7">
        <v>38.806</v>
      </c>
      <c r="Z20" s="11">
        <v>37.0</v>
      </c>
      <c r="AA20" s="11">
        <v>50.0</v>
      </c>
      <c r="AB20" s="11">
        <v>24.0</v>
      </c>
      <c r="AC20" s="11">
        <v>68.0</v>
      </c>
      <c r="AD20" s="11">
        <v>0.0</v>
      </c>
      <c r="AE20" s="11">
        <v>19.0</v>
      </c>
      <c r="AF20" s="11">
        <v>56.0</v>
      </c>
      <c r="AG20" s="11">
        <v>15.0</v>
      </c>
      <c r="AH20" s="11">
        <v>2.0</v>
      </c>
      <c r="AI20" s="11">
        <v>11.0</v>
      </c>
      <c r="AJ20" s="11">
        <v>123.0</v>
      </c>
      <c r="AK20" s="11">
        <v>8.0</v>
      </c>
      <c r="AL20" s="11">
        <v>0.0</v>
      </c>
      <c r="AM20" s="11">
        <v>2.0</v>
      </c>
      <c r="AN20" s="11">
        <v>1.0</v>
      </c>
      <c r="AO20" s="11">
        <v>0.0</v>
      </c>
      <c r="AP20" s="4">
        <v>0.0</v>
      </c>
    </row>
    <row r="21" ht="12.0" customHeight="1">
      <c r="A21" s="3">
        <f t="shared" si="1"/>
        <v>20</v>
      </c>
      <c r="B21" s="11" t="s">
        <v>93</v>
      </c>
      <c r="C21" s="3" t="s">
        <v>81</v>
      </c>
      <c r="D21" s="3" t="s">
        <v>86</v>
      </c>
      <c r="E21" s="6" t="s">
        <v>44</v>
      </c>
      <c r="F21" s="6" t="s">
        <v>44</v>
      </c>
      <c r="G21" s="6" t="s">
        <v>44</v>
      </c>
      <c r="H21" s="7">
        <v>34.391</v>
      </c>
      <c r="I21" s="6" t="s">
        <v>53</v>
      </c>
      <c r="J21" s="6" t="s">
        <v>61</v>
      </c>
      <c r="K21" s="11" t="s">
        <v>62</v>
      </c>
      <c r="L21" s="8">
        <v>0.0</v>
      </c>
      <c r="M21" s="8">
        <f>33/35</f>
        <v>0.9428571429</v>
      </c>
      <c r="N21" s="8">
        <f>2/35</f>
        <v>0.05714285714</v>
      </c>
      <c r="O21" s="8">
        <v>0.0</v>
      </c>
      <c r="P21" s="8">
        <v>0.0</v>
      </c>
      <c r="Q21" s="8">
        <v>0.0</v>
      </c>
      <c r="R21" s="8">
        <v>0.0</v>
      </c>
      <c r="S21" s="8">
        <v>0.0</v>
      </c>
      <c r="T21" s="8">
        <v>0.0</v>
      </c>
      <c r="U21" s="8">
        <v>0.0</v>
      </c>
      <c r="V21" s="6" t="s">
        <v>49</v>
      </c>
      <c r="W21" s="7" t="s">
        <v>57</v>
      </c>
      <c r="X21" s="10" t="s">
        <v>35</v>
      </c>
      <c r="Y21" s="7">
        <v>71.845</v>
      </c>
      <c r="Z21" s="11">
        <v>49.0</v>
      </c>
      <c r="AA21" s="11">
        <v>9.0</v>
      </c>
      <c r="AB21" s="11">
        <v>0.0</v>
      </c>
      <c r="AC21" s="11">
        <v>149.0</v>
      </c>
      <c r="AD21" s="11">
        <v>0.0</v>
      </c>
      <c r="AE21" s="11">
        <v>33.0</v>
      </c>
      <c r="AF21" s="11">
        <v>115.0</v>
      </c>
      <c r="AG21" s="11">
        <v>26.0</v>
      </c>
      <c r="AH21" s="11">
        <v>4.0</v>
      </c>
      <c r="AI21" s="11">
        <v>19.0</v>
      </c>
      <c r="AJ21" s="11">
        <v>259.0</v>
      </c>
      <c r="AK21" s="11">
        <v>15.0</v>
      </c>
      <c r="AL21" s="11">
        <v>0.0</v>
      </c>
      <c r="AM21" s="11">
        <v>4.0</v>
      </c>
      <c r="AN21" s="11">
        <v>0.0</v>
      </c>
      <c r="AO21" s="11">
        <v>0.0</v>
      </c>
      <c r="AP21" s="4">
        <v>0.0</v>
      </c>
    </row>
    <row r="22" ht="12.0" customHeight="1">
      <c r="A22" s="3">
        <f t="shared" si="1"/>
        <v>21</v>
      </c>
      <c r="B22" s="11">
        <v>30.0</v>
      </c>
      <c r="C22" s="3" t="s">
        <v>81</v>
      </c>
      <c r="D22" s="3" t="s">
        <v>94</v>
      </c>
      <c r="E22" s="6" t="s">
        <v>44</v>
      </c>
      <c r="F22" s="6" t="s">
        <v>44</v>
      </c>
      <c r="G22" s="6" t="s">
        <v>44</v>
      </c>
      <c r="H22" s="7">
        <v>10.741</v>
      </c>
      <c r="I22" s="6" t="s">
        <v>53</v>
      </c>
      <c r="J22" s="6" t="s">
        <v>54</v>
      </c>
      <c r="K22" s="11" t="s">
        <v>55</v>
      </c>
      <c r="L22" s="8">
        <v>0.0</v>
      </c>
      <c r="M22" s="8">
        <f>9/10</f>
        <v>0.9</v>
      </c>
      <c r="N22" s="8">
        <v>0.0</v>
      </c>
      <c r="O22" s="8">
        <f>1/10</f>
        <v>0.1</v>
      </c>
      <c r="P22" s="8">
        <v>0.0</v>
      </c>
      <c r="Q22" s="8">
        <v>0.0</v>
      </c>
      <c r="R22" s="8">
        <v>0.0</v>
      </c>
      <c r="S22" s="8">
        <v>0.0</v>
      </c>
      <c r="T22" s="8">
        <v>0.0</v>
      </c>
      <c r="U22" s="8">
        <v>0.0</v>
      </c>
      <c r="V22" s="6" t="s">
        <v>49</v>
      </c>
      <c r="W22" s="7" t="s">
        <v>57</v>
      </c>
      <c r="X22" s="10" t="s">
        <v>35</v>
      </c>
      <c r="Y22" s="7">
        <v>21.481</v>
      </c>
      <c r="Z22" s="11">
        <v>12.0</v>
      </c>
      <c r="AA22" s="11">
        <v>0.0</v>
      </c>
      <c r="AB22" s="11">
        <v>0.0</v>
      </c>
      <c r="AC22" s="11">
        <v>51.0</v>
      </c>
      <c r="AD22" s="11">
        <v>0.0</v>
      </c>
      <c r="AE22" s="11">
        <v>12.0</v>
      </c>
      <c r="AF22" s="11">
        <v>18.0</v>
      </c>
      <c r="AG22" s="11">
        <v>7.0</v>
      </c>
      <c r="AH22" s="11">
        <v>0.0</v>
      </c>
      <c r="AI22" s="11">
        <v>0.0</v>
      </c>
      <c r="AJ22" s="11">
        <v>84.0</v>
      </c>
      <c r="AK22" s="11">
        <v>3.0</v>
      </c>
      <c r="AL22" s="11">
        <v>0.0</v>
      </c>
      <c r="AM22" s="11">
        <v>4.0</v>
      </c>
      <c r="AN22" s="11">
        <v>0.0</v>
      </c>
      <c r="AO22" s="11">
        <v>0.0</v>
      </c>
      <c r="AP22" s="4">
        <v>0.0</v>
      </c>
    </row>
    <row r="23" ht="12.0" customHeight="1">
      <c r="A23" s="3">
        <f t="shared" si="1"/>
        <v>22</v>
      </c>
      <c r="B23" s="11">
        <v>503.0</v>
      </c>
      <c r="C23" s="3" t="s">
        <v>95</v>
      </c>
      <c r="E23" s="6" t="s">
        <v>45</v>
      </c>
      <c r="F23" s="6" t="s">
        <v>44</v>
      </c>
      <c r="G23" s="6" t="s">
        <v>44</v>
      </c>
      <c r="H23" s="7">
        <v>3.812</v>
      </c>
      <c r="I23" s="6" t="s">
        <v>53</v>
      </c>
      <c r="J23" s="6" t="s">
        <v>61</v>
      </c>
      <c r="K23" s="11" t="s">
        <v>62</v>
      </c>
      <c r="L23" s="8">
        <v>0.0</v>
      </c>
      <c r="M23" s="8">
        <v>1.0</v>
      </c>
      <c r="N23" s="8">
        <v>0.0</v>
      </c>
      <c r="O23" s="8">
        <v>0.0</v>
      </c>
      <c r="P23" s="8">
        <v>0.0</v>
      </c>
      <c r="Q23" s="8">
        <v>0.0</v>
      </c>
      <c r="R23" s="8">
        <v>0.0</v>
      </c>
      <c r="S23" s="8">
        <v>0.0</v>
      </c>
      <c r="T23" s="8">
        <v>0.0</v>
      </c>
      <c r="U23" s="8">
        <v>0.0</v>
      </c>
      <c r="V23" s="6" t="s">
        <v>63</v>
      </c>
      <c r="W23" s="7" t="s">
        <v>57</v>
      </c>
      <c r="X23" s="10" t="s">
        <v>35</v>
      </c>
      <c r="Y23" s="7">
        <v>21.993</v>
      </c>
      <c r="Z23" s="11">
        <v>108.0</v>
      </c>
      <c r="AA23" s="11">
        <v>0.0</v>
      </c>
      <c r="AB23" s="11">
        <v>0.0</v>
      </c>
      <c r="AC23" s="11">
        <v>43.0</v>
      </c>
      <c r="AD23" s="11">
        <v>4.0</v>
      </c>
      <c r="AE23" s="11">
        <v>1.0</v>
      </c>
      <c r="AF23" s="11">
        <v>55.0</v>
      </c>
      <c r="AG23" s="11">
        <v>9.0</v>
      </c>
      <c r="AH23" s="11">
        <v>1.0</v>
      </c>
      <c r="AI23" s="11">
        <v>44.0</v>
      </c>
      <c r="AJ23" s="11">
        <v>65.0</v>
      </c>
      <c r="AK23" s="11">
        <v>10.0</v>
      </c>
      <c r="AL23" s="11">
        <v>0.0</v>
      </c>
      <c r="AM23" s="11">
        <v>2.0</v>
      </c>
      <c r="AN23" s="11">
        <v>0.0</v>
      </c>
      <c r="AO23" s="11">
        <v>0.0</v>
      </c>
      <c r="AP23" s="4">
        <v>0.0</v>
      </c>
    </row>
    <row r="24" ht="12.0" customHeight="1">
      <c r="A24" s="3">
        <f t="shared" si="1"/>
        <v>23</v>
      </c>
      <c r="B24" s="11">
        <v>609.0</v>
      </c>
      <c r="C24" s="3" t="s">
        <v>96</v>
      </c>
      <c r="E24" s="6" t="s">
        <v>45</v>
      </c>
      <c r="F24" s="6" t="s">
        <v>44</v>
      </c>
      <c r="G24" s="6" t="s">
        <v>44</v>
      </c>
      <c r="H24" s="7">
        <v>3.507</v>
      </c>
      <c r="I24" s="6" t="s">
        <v>53</v>
      </c>
      <c r="J24" s="6" t="s">
        <v>54</v>
      </c>
      <c r="K24" s="11" t="s">
        <v>55</v>
      </c>
      <c r="L24" s="8">
        <v>0.0</v>
      </c>
      <c r="M24" s="8">
        <v>0.0</v>
      </c>
      <c r="N24" s="8">
        <v>0.0</v>
      </c>
      <c r="O24" s="8">
        <v>0.0</v>
      </c>
      <c r="P24" s="8">
        <v>0.0</v>
      </c>
      <c r="Q24" s="8">
        <v>0.0</v>
      </c>
      <c r="R24" s="8">
        <v>0.0</v>
      </c>
      <c r="S24" s="8">
        <v>0.0</v>
      </c>
      <c r="T24" s="8">
        <v>1.0</v>
      </c>
      <c r="U24" s="8">
        <v>0.0</v>
      </c>
      <c r="V24" s="6" t="s">
        <v>63</v>
      </c>
      <c r="W24" s="7" t="s">
        <v>57</v>
      </c>
      <c r="X24" s="10" t="s">
        <v>35</v>
      </c>
      <c r="Y24" s="7">
        <v>20.585</v>
      </c>
      <c r="Z24" s="11">
        <v>82.0</v>
      </c>
      <c r="AA24" s="11">
        <v>227.0</v>
      </c>
      <c r="AB24" s="11">
        <v>0.0</v>
      </c>
      <c r="AC24" s="11">
        <v>41.0</v>
      </c>
      <c r="AD24" s="11">
        <v>3.0</v>
      </c>
      <c r="AE24" s="11">
        <v>22.0</v>
      </c>
      <c r="AF24" s="11">
        <v>76.0</v>
      </c>
      <c r="AG24" s="11">
        <v>14.0</v>
      </c>
      <c r="AH24" s="11">
        <v>1.0</v>
      </c>
      <c r="AI24" s="11">
        <v>67.0</v>
      </c>
      <c r="AJ24" s="11">
        <v>96.0</v>
      </c>
      <c r="AK24" s="11">
        <v>4.0</v>
      </c>
      <c r="AL24" s="11">
        <v>0.0</v>
      </c>
      <c r="AM24" s="11">
        <v>3.0</v>
      </c>
      <c r="AN24" s="11">
        <v>0.0</v>
      </c>
      <c r="AO24" s="11">
        <v>0.0</v>
      </c>
      <c r="AP24" s="4">
        <v>0.0</v>
      </c>
    </row>
    <row r="25" ht="12.0" customHeight="1">
      <c r="A25" s="3">
        <f t="shared" si="1"/>
        <v>24</v>
      </c>
      <c r="B25" s="11" t="s">
        <v>97</v>
      </c>
      <c r="C25" s="3" t="s">
        <v>94</v>
      </c>
      <c r="D25" s="3" t="s">
        <v>90</v>
      </c>
      <c r="E25" s="6" t="s">
        <v>44</v>
      </c>
      <c r="F25" s="6" t="s">
        <v>44</v>
      </c>
      <c r="G25" s="6" t="s">
        <v>44</v>
      </c>
      <c r="H25" s="7">
        <v>42.153</v>
      </c>
      <c r="I25" s="6" t="s">
        <v>46</v>
      </c>
      <c r="J25" s="6" t="s">
        <v>47</v>
      </c>
      <c r="K25" s="11" t="s">
        <v>77</v>
      </c>
      <c r="L25" s="8">
        <v>0.0</v>
      </c>
      <c r="M25" s="8">
        <f>35/45</f>
        <v>0.7777777778</v>
      </c>
      <c r="N25" s="8">
        <f>7/45</f>
        <v>0.1555555556</v>
      </c>
      <c r="O25" s="8">
        <f>3/45</f>
        <v>0.06666666667</v>
      </c>
      <c r="P25" s="8">
        <v>0.0</v>
      </c>
      <c r="Q25" s="8">
        <v>0.0</v>
      </c>
      <c r="R25" s="8">
        <v>0.0</v>
      </c>
      <c r="S25" s="8">
        <v>0.0</v>
      </c>
      <c r="T25" s="8">
        <v>0.0</v>
      </c>
      <c r="U25" s="8">
        <v>0.0</v>
      </c>
      <c r="V25" s="6" t="s">
        <v>63</v>
      </c>
      <c r="W25" s="7" t="s">
        <v>50</v>
      </c>
      <c r="X25" s="10" t="s">
        <v>26</v>
      </c>
      <c r="Y25" s="7">
        <v>46.613</v>
      </c>
      <c r="Z25" s="11">
        <f>118 +12</f>
        <v>130</v>
      </c>
      <c r="AA25" s="11">
        <v>120.0</v>
      </c>
      <c r="AB25" s="11">
        <v>0.0</v>
      </c>
      <c r="AC25" s="11">
        <v>130.0</v>
      </c>
      <c r="AD25" s="11">
        <v>0.0</v>
      </c>
      <c r="AE25" s="11">
        <v>41.0</v>
      </c>
      <c r="AF25" s="11">
        <v>56.0</v>
      </c>
      <c r="AG25" s="11">
        <v>9.0</v>
      </c>
      <c r="AH25" s="11">
        <v>4.0</v>
      </c>
      <c r="AI25" s="11">
        <v>13.0</v>
      </c>
      <c r="AJ25" s="11">
        <v>74.0</v>
      </c>
      <c r="AK25" s="11">
        <v>4.0</v>
      </c>
      <c r="AL25" s="11">
        <v>0.0</v>
      </c>
      <c r="AM25" s="11">
        <v>5.0</v>
      </c>
      <c r="AN25" s="11">
        <v>1.0</v>
      </c>
      <c r="AO25" s="11">
        <v>0.0</v>
      </c>
      <c r="AP25" s="4">
        <v>0.0</v>
      </c>
    </row>
    <row r="26" ht="12.0" customHeight="1">
      <c r="A26" s="3">
        <f t="shared" si="1"/>
        <v>25</v>
      </c>
      <c r="B26" s="11" t="s">
        <v>98</v>
      </c>
      <c r="C26" s="3" t="s">
        <v>94</v>
      </c>
      <c r="D26" s="3" t="s">
        <v>99</v>
      </c>
      <c r="E26" s="6" t="s">
        <v>44</v>
      </c>
      <c r="F26" s="6" t="s">
        <v>44</v>
      </c>
      <c r="G26" s="6" t="s">
        <v>44</v>
      </c>
      <c r="H26" s="7">
        <v>42.666</v>
      </c>
      <c r="I26" s="6" t="s">
        <v>46</v>
      </c>
      <c r="J26" s="6" t="s">
        <v>54</v>
      </c>
      <c r="K26" s="11" t="s">
        <v>77</v>
      </c>
      <c r="L26" s="8">
        <f>1/45</f>
        <v>0.02222222222</v>
      </c>
      <c r="M26" s="8">
        <f>43/45</f>
        <v>0.9555555556</v>
      </c>
      <c r="N26" s="8">
        <f>1/45</f>
        <v>0.02222222222</v>
      </c>
      <c r="O26" s="8">
        <v>0.0</v>
      </c>
      <c r="P26" s="8">
        <v>0.0</v>
      </c>
      <c r="Q26" s="8">
        <v>0.0</v>
      </c>
      <c r="R26" s="8">
        <v>0.0</v>
      </c>
      <c r="S26" s="8">
        <v>0.0</v>
      </c>
      <c r="T26" s="8">
        <v>0.0</v>
      </c>
      <c r="U26" s="8">
        <v>0.0</v>
      </c>
      <c r="V26" s="6" t="s">
        <v>49</v>
      </c>
      <c r="W26" s="7" t="s">
        <v>50</v>
      </c>
      <c r="X26" s="10" t="s">
        <v>26</v>
      </c>
      <c r="Y26" s="7">
        <v>47.002</v>
      </c>
      <c r="Z26" s="11">
        <v>86.0</v>
      </c>
      <c r="AA26" s="11">
        <v>170.0</v>
      </c>
      <c r="AB26" s="11">
        <v>0.0</v>
      </c>
      <c r="AC26" s="11">
        <v>132.0</v>
      </c>
      <c r="AD26" s="11">
        <v>0.0</v>
      </c>
      <c r="AE26" s="11">
        <v>70.0</v>
      </c>
      <c r="AF26" s="11">
        <v>40.0</v>
      </c>
      <c r="AG26" s="11">
        <v>2.0</v>
      </c>
      <c r="AH26" s="11">
        <v>5.0</v>
      </c>
      <c r="AI26" s="11">
        <v>16.0</v>
      </c>
      <c r="AJ26" s="11">
        <v>60.0</v>
      </c>
      <c r="AK26" s="11">
        <v>4.0</v>
      </c>
      <c r="AL26" s="11">
        <v>1.0</v>
      </c>
      <c r="AM26" s="11">
        <v>5.0</v>
      </c>
      <c r="AN26" s="11">
        <v>1.0</v>
      </c>
      <c r="AO26" s="11">
        <v>0.0</v>
      </c>
      <c r="AP26" s="4">
        <v>0.0</v>
      </c>
    </row>
    <row r="27" ht="12.0" customHeight="1">
      <c r="A27" s="3">
        <f t="shared" si="1"/>
        <v>26</v>
      </c>
      <c r="B27" s="11">
        <v>208.0</v>
      </c>
      <c r="C27" s="3" t="s">
        <v>94</v>
      </c>
      <c r="D27" s="3" t="s">
        <v>100</v>
      </c>
      <c r="E27" s="6" t="s">
        <v>44</v>
      </c>
      <c r="F27" s="6" t="s">
        <v>44</v>
      </c>
      <c r="G27" s="6" t="s">
        <v>44</v>
      </c>
      <c r="H27" s="7">
        <v>15.306</v>
      </c>
      <c r="I27" s="6" t="s">
        <v>46</v>
      </c>
      <c r="J27" s="6" t="s">
        <v>54</v>
      </c>
      <c r="K27" s="11" t="s">
        <v>77</v>
      </c>
      <c r="L27" s="8">
        <v>0.0</v>
      </c>
      <c r="M27" s="8">
        <f>12/15</f>
        <v>0.8</v>
      </c>
      <c r="N27" s="8">
        <f>2/15</f>
        <v>0.1333333333</v>
      </c>
      <c r="O27" s="8">
        <f>1/15</f>
        <v>0.06666666667</v>
      </c>
      <c r="P27" s="8">
        <v>0.0</v>
      </c>
      <c r="Q27" s="8">
        <v>0.0</v>
      </c>
      <c r="R27" s="8">
        <v>0.0</v>
      </c>
      <c r="S27" s="8">
        <v>0.0</v>
      </c>
      <c r="T27" s="8">
        <v>0.0</v>
      </c>
      <c r="U27" s="8">
        <v>0.0</v>
      </c>
      <c r="V27" s="6" t="s">
        <v>49</v>
      </c>
      <c r="W27" s="7" t="s">
        <v>50</v>
      </c>
      <c r="X27" s="10" t="s">
        <v>26</v>
      </c>
      <c r="Y27" s="7">
        <v>16.144</v>
      </c>
      <c r="Z27" s="11">
        <v>42.0</v>
      </c>
      <c r="AA27" s="11">
        <v>83.0</v>
      </c>
      <c r="AB27" s="11">
        <v>0.0</v>
      </c>
      <c r="AC27" s="11">
        <v>40.0</v>
      </c>
      <c r="AD27" s="11">
        <v>0.0</v>
      </c>
      <c r="AE27" s="11">
        <v>19.0</v>
      </c>
      <c r="AF27" s="11">
        <v>19.0</v>
      </c>
      <c r="AG27" s="11">
        <v>6.0</v>
      </c>
      <c r="AH27" s="11">
        <v>3.0</v>
      </c>
      <c r="AI27" s="11">
        <v>2.0</v>
      </c>
      <c r="AJ27" s="11">
        <v>21.0</v>
      </c>
      <c r="AK27" s="11">
        <v>1.0</v>
      </c>
      <c r="AL27" s="11">
        <v>0.0</v>
      </c>
      <c r="AM27" s="11">
        <v>2.0</v>
      </c>
      <c r="AN27" s="11">
        <v>0.0</v>
      </c>
      <c r="AO27" s="11">
        <v>0.0</v>
      </c>
      <c r="AP27" s="4">
        <v>0.0</v>
      </c>
    </row>
    <row r="28" ht="12.0" customHeight="1">
      <c r="A28" s="3">
        <f t="shared" si="1"/>
        <v>27</v>
      </c>
      <c r="B28" s="11" t="s">
        <v>101</v>
      </c>
      <c r="C28" s="3" t="s">
        <v>94</v>
      </c>
      <c r="D28" s="3" t="s">
        <v>102</v>
      </c>
      <c r="E28" s="6" t="s">
        <v>44</v>
      </c>
      <c r="F28" s="6" t="s">
        <v>44</v>
      </c>
      <c r="G28" s="6" t="s">
        <v>44</v>
      </c>
      <c r="H28" s="7">
        <v>26.21</v>
      </c>
      <c r="I28" s="6" t="s">
        <v>53</v>
      </c>
      <c r="J28" s="6" t="s">
        <v>54</v>
      </c>
      <c r="K28" s="11" t="s">
        <v>62</v>
      </c>
      <c r="L28" s="8">
        <v>0.0</v>
      </c>
      <c r="M28" s="8">
        <f>21/27</f>
        <v>0.7777777778</v>
      </c>
      <c r="N28" s="8">
        <f>2/27</f>
        <v>0.07407407407</v>
      </c>
      <c r="O28" s="8">
        <f>4/27</f>
        <v>0.1481481481</v>
      </c>
      <c r="P28" s="8">
        <v>0.0</v>
      </c>
      <c r="Q28" s="8">
        <v>0.0</v>
      </c>
      <c r="R28" s="8">
        <v>0.0</v>
      </c>
      <c r="S28" s="8">
        <v>0.0</v>
      </c>
      <c r="T28" s="8">
        <v>0.0</v>
      </c>
      <c r="U28" s="8">
        <v>0.0</v>
      </c>
      <c r="V28" s="6" t="s">
        <v>49</v>
      </c>
      <c r="W28" s="7" t="s">
        <v>57</v>
      </c>
      <c r="X28" s="10" t="s">
        <v>35</v>
      </c>
      <c r="Y28" s="7">
        <v>54.298</v>
      </c>
      <c r="Z28" s="11">
        <v>21.0</v>
      </c>
      <c r="AA28" s="11">
        <v>0.0</v>
      </c>
      <c r="AB28" s="11">
        <v>0.0</v>
      </c>
      <c r="AC28" s="11">
        <v>169.0</v>
      </c>
      <c r="AD28" s="11">
        <v>0.0</v>
      </c>
      <c r="AE28" s="11">
        <v>42.0</v>
      </c>
      <c r="AF28" s="11">
        <v>91.0</v>
      </c>
      <c r="AG28" s="11">
        <v>21.0</v>
      </c>
      <c r="AH28" s="11">
        <v>5.0</v>
      </c>
      <c r="AI28" s="11">
        <v>9.0</v>
      </c>
      <c r="AJ28" s="11">
        <v>272.0</v>
      </c>
      <c r="AK28" s="11">
        <v>6.0</v>
      </c>
      <c r="AL28" s="11">
        <v>1.0</v>
      </c>
      <c r="AM28" s="11">
        <v>3.0</v>
      </c>
      <c r="AN28" s="11">
        <v>0.0</v>
      </c>
      <c r="AO28" s="11">
        <v>0.0</v>
      </c>
      <c r="AP28" s="4">
        <v>0.0</v>
      </c>
    </row>
    <row r="29" ht="12.0" customHeight="1">
      <c r="A29" s="3">
        <f t="shared" si="1"/>
        <v>28</v>
      </c>
      <c r="B29" s="11" t="s">
        <v>103</v>
      </c>
      <c r="C29" s="3" t="s">
        <v>104</v>
      </c>
      <c r="E29" s="6" t="s">
        <v>45</v>
      </c>
      <c r="F29" s="6" t="s">
        <v>44</v>
      </c>
      <c r="G29" s="6" t="s">
        <v>44</v>
      </c>
      <c r="H29" s="7">
        <v>5.208</v>
      </c>
      <c r="I29" s="6" t="s">
        <v>105</v>
      </c>
      <c r="J29" s="6" t="s">
        <v>61</v>
      </c>
      <c r="K29" s="11" t="s">
        <v>62</v>
      </c>
      <c r="L29" s="8">
        <v>0.0</v>
      </c>
      <c r="M29" s="8">
        <v>1.0</v>
      </c>
      <c r="N29" s="8">
        <v>0.0</v>
      </c>
      <c r="O29" s="8">
        <v>0.0</v>
      </c>
      <c r="P29" s="8">
        <v>0.0</v>
      </c>
      <c r="Q29" s="8">
        <v>0.0</v>
      </c>
      <c r="R29" s="8">
        <v>0.0</v>
      </c>
      <c r="S29" s="8">
        <v>0.0</v>
      </c>
      <c r="T29" s="8">
        <v>0.0</v>
      </c>
      <c r="U29" s="8">
        <v>0.0</v>
      </c>
      <c r="V29" s="6" t="s">
        <v>63</v>
      </c>
      <c r="W29" s="7" t="s">
        <v>57</v>
      </c>
      <c r="X29" s="10" t="s">
        <v>35</v>
      </c>
      <c r="Y29" s="7">
        <v>33.255</v>
      </c>
      <c r="Z29" s="11">
        <v>154.0</v>
      </c>
      <c r="AA29" s="11">
        <v>16.0</v>
      </c>
      <c r="AB29" s="11">
        <v>0.0</v>
      </c>
      <c r="AC29" s="11">
        <v>180.0</v>
      </c>
      <c r="AD29" s="11">
        <v>2.0</v>
      </c>
      <c r="AE29" s="11">
        <v>33.0</v>
      </c>
      <c r="AF29" s="11">
        <v>107.0</v>
      </c>
      <c r="AG29" s="11">
        <v>51.0</v>
      </c>
      <c r="AH29" s="11">
        <v>2.0</v>
      </c>
      <c r="AI29" s="11">
        <v>145.0</v>
      </c>
      <c r="AJ29" s="11">
        <v>125.0</v>
      </c>
      <c r="AK29" s="11">
        <v>9.0</v>
      </c>
      <c r="AL29" s="11">
        <v>0.0</v>
      </c>
      <c r="AM29" s="11">
        <v>1.0</v>
      </c>
      <c r="AN29" s="11">
        <v>1.0</v>
      </c>
      <c r="AO29" s="11">
        <v>1.0</v>
      </c>
      <c r="AP29" s="4">
        <v>0.0</v>
      </c>
    </row>
    <row r="30" ht="12.0" customHeight="1">
      <c r="A30" s="3">
        <f t="shared" si="1"/>
        <v>29</v>
      </c>
      <c r="B30" s="11" t="s">
        <v>106</v>
      </c>
      <c r="C30" s="3" t="s">
        <v>102</v>
      </c>
      <c r="D30" s="3" t="s">
        <v>107</v>
      </c>
      <c r="E30" s="6" t="s">
        <v>44</v>
      </c>
      <c r="F30" s="6" t="s">
        <v>44</v>
      </c>
      <c r="G30" s="6" t="s">
        <v>44</v>
      </c>
      <c r="H30" s="7">
        <v>17.612</v>
      </c>
      <c r="I30" s="6" t="s">
        <v>53</v>
      </c>
      <c r="J30" s="6" t="s">
        <v>61</v>
      </c>
      <c r="K30" s="11" t="s">
        <v>62</v>
      </c>
      <c r="L30" s="8">
        <v>0.0</v>
      </c>
      <c r="M30" s="8">
        <f>3/16</f>
        <v>0.1875</v>
      </c>
      <c r="N30" s="8">
        <f>1/16</f>
        <v>0.0625</v>
      </c>
      <c r="O30" s="8">
        <f>8/16</f>
        <v>0.5</v>
      </c>
      <c r="P30" s="8">
        <v>0.0</v>
      </c>
      <c r="Q30" s="8">
        <f>4/16</f>
        <v>0.25</v>
      </c>
      <c r="R30" s="8">
        <v>0.0</v>
      </c>
      <c r="S30" s="8">
        <v>0.0</v>
      </c>
      <c r="T30" s="8">
        <v>0.0</v>
      </c>
      <c r="U30" s="8">
        <v>0.0</v>
      </c>
      <c r="V30" s="6" t="s">
        <v>56</v>
      </c>
      <c r="W30" s="7" t="s">
        <v>57</v>
      </c>
      <c r="X30" s="10" t="s">
        <v>35</v>
      </c>
      <c r="Y30" s="7">
        <v>45.416</v>
      </c>
      <c r="Z30" s="11">
        <v>34.0</v>
      </c>
      <c r="AA30" s="11">
        <v>0.0</v>
      </c>
      <c r="AB30" s="11">
        <v>136.0</v>
      </c>
      <c r="AC30" s="11">
        <v>91.0</v>
      </c>
      <c r="AD30" s="11">
        <v>0.0</v>
      </c>
      <c r="AE30" s="11">
        <v>13.0</v>
      </c>
      <c r="AF30" s="11">
        <v>65.0</v>
      </c>
      <c r="AG30" s="11">
        <v>34.0</v>
      </c>
      <c r="AH30" s="11">
        <v>3.0</v>
      </c>
      <c r="AI30" s="11">
        <v>19.0</v>
      </c>
      <c r="AJ30" s="11">
        <v>106.0</v>
      </c>
      <c r="AK30" s="11">
        <v>11.0</v>
      </c>
      <c r="AL30" s="11">
        <v>3.0</v>
      </c>
      <c r="AM30" s="11">
        <v>7.0</v>
      </c>
      <c r="AN30" s="11">
        <v>2.0</v>
      </c>
      <c r="AO30" s="11">
        <v>0.0</v>
      </c>
      <c r="AP30" s="4">
        <v>0.0</v>
      </c>
    </row>
    <row r="31" ht="12.0" customHeight="1">
      <c r="A31" s="3">
        <f t="shared" si="1"/>
        <v>30</v>
      </c>
      <c r="B31" s="11" t="s">
        <v>108</v>
      </c>
      <c r="C31" s="3" t="s">
        <v>102</v>
      </c>
      <c r="D31" s="3" t="s">
        <v>109</v>
      </c>
      <c r="E31" s="6" t="s">
        <v>44</v>
      </c>
      <c r="F31" s="6" t="s">
        <v>44</v>
      </c>
      <c r="G31" s="6" t="s">
        <v>44</v>
      </c>
      <c r="H31" s="7">
        <v>12.111</v>
      </c>
      <c r="I31" s="6" t="s">
        <v>53</v>
      </c>
      <c r="J31" s="6" t="s">
        <v>54</v>
      </c>
      <c r="K31" s="11" t="s">
        <v>62</v>
      </c>
      <c r="L31" s="8">
        <v>0.0</v>
      </c>
      <c r="M31" s="8">
        <v>0.0</v>
      </c>
      <c r="N31" s="8">
        <f>5/13</f>
        <v>0.3846153846</v>
      </c>
      <c r="O31" s="8">
        <f>3/13</f>
        <v>0.2307692308</v>
      </c>
      <c r="P31" s="8">
        <f>1/13</f>
        <v>0.07692307692</v>
      </c>
      <c r="Q31" s="8">
        <f>2/13</f>
        <v>0.1538461538</v>
      </c>
      <c r="R31" s="8">
        <v>0.0</v>
      </c>
      <c r="S31" s="8">
        <v>0.0</v>
      </c>
      <c r="T31" s="8">
        <f>2/13</f>
        <v>0.1538461538</v>
      </c>
      <c r="U31" s="8">
        <v>0.0</v>
      </c>
      <c r="V31" s="6" t="s">
        <v>56</v>
      </c>
      <c r="W31" s="7" t="s">
        <v>57</v>
      </c>
      <c r="X31" s="10" t="s">
        <v>35</v>
      </c>
      <c r="Y31" s="7">
        <v>35.025</v>
      </c>
      <c r="Z31" s="11">
        <v>39.0</v>
      </c>
      <c r="AA31" s="11">
        <v>0.0</v>
      </c>
      <c r="AB31" s="11">
        <v>124.0</v>
      </c>
      <c r="AC31" s="11">
        <v>62.0</v>
      </c>
      <c r="AD31" s="11">
        <v>0.0</v>
      </c>
      <c r="AE31" s="11">
        <v>10.0</v>
      </c>
      <c r="AF31" s="11">
        <v>46.0</v>
      </c>
      <c r="AG31" s="11">
        <v>25.0</v>
      </c>
      <c r="AH31" s="11">
        <v>3.0</v>
      </c>
      <c r="AI31" s="11">
        <v>12.0</v>
      </c>
      <c r="AJ31" s="11">
        <v>102.0</v>
      </c>
      <c r="AK31" s="11">
        <v>7.0</v>
      </c>
      <c r="AL31" s="11">
        <v>0.0</v>
      </c>
      <c r="AM31" s="11">
        <v>2.0</v>
      </c>
      <c r="AN31" s="11">
        <v>0.0</v>
      </c>
      <c r="AO31" s="11">
        <v>1.0</v>
      </c>
      <c r="AP31" s="4">
        <v>0.0</v>
      </c>
    </row>
    <row r="32" ht="12.0" customHeight="1">
      <c r="A32" s="3">
        <f t="shared" si="1"/>
        <v>31</v>
      </c>
      <c r="B32" s="11" t="s">
        <v>110</v>
      </c>
      <c r="C32" s="3" t="s">
        <v>111</v>
      </c>
      <c r="D32" s="3" t="s">
        <v>112</v>
      </c>
      <c r="E32" s="6" t="s">
        <v>44</v>
      </c>
      <c r="F32" s="6" t="s">
        <v>44</v>
      </c>
      <c r="G32" s="6" t="s">
        <v>44</v>
      </c>
      <c r="H32" s="7">
        <v>16.273</v>
      </c>
      <c r="I32" s="6" t="s">
        <v>53</v>
      </c>
      <c r="J32" s="6" t="s">
        <v>61</v>
      </c>
      <c r="K32" s="11" t="s">
        <v>77</v>
      </c>
      <c r="L32" s="8">
        <v>0.0</v>
      </c>
      <c r="M32" s="8">
        <f>1/4</f>
        <v>0.25</v>
      </c>
      <c r="N32" s="8">
        <v>0.25</v>
      </c>
      <c r="O32" s="8">
        <v>0.5</v>
      </c>
      <c r="P32" s="8">
        <v>0.0</v>
      </c>
      <c r="Q32" s="8">
        <v>0.0</v>
      </c>
      <c r="R32" s="8">
        <v>0.0</v>
      </c>
      <c r="S32" s="8">
        <v>0.0</v>
      </c>
      <c r="T32" s="8">
        <v>0.0</v>
      </c>
      <c r="U32" s="8">
        <v>0.0</v>
      </c>
      <c r="V32" s="6" t="s">
        <v>49</v>
      </c>
      <c r="W32" s="7" t="s">
        <v>57</v>
      </c>
      <c r="X32" s="10" t="s">
        <v>35</v>
      </c>
      <c r="Y32" s="7">
        <v>13.571</v>
      </c>
      <c r="Z32" s="11">
        <v>0.0</v>
      </c>
      <c r="AA32" s="11">
        <v>2.0</v>
      </c>
      <c r="AB32" s="11">
        <v>120.0</v>
      </c>
      <c r="AC32" s="11">
        <v>43.0</v>
      </c>
      <c r="AD32" s="11">
        <v>0.0</v>
      </c>
      <c r="AE32" s="11">
        <v>10.0</v>
      </c>
      <c r="AF32" s="11">
        <v>62.0</v>
      </c>
      <c r="AG32" s="11">
        <v>0.0</v>
      </c>
      <c r="AH32" s="11">
        <v>2.0</v>
      </c>
      <c r="AI32" s="11">
        <v>67.0</v>
      </c>
      <c r="AJ32" s="11">
        <v>72.0</v>
      </c>
      <c r="AK32" s="11">
        <v>2.0</v>
      </c>
      <c r="AL32" s="11">
        <v>1.0</v>
      </c>
      <c r="AM32" s="11">
        <v>0.0</v>
      </c>
      <c r="AN32" s="11">
        <v>1.0</v>
      </c>
      <c r="AO32" s="11">
        <v>0.0</v>
      </c>
      <c r="AP32" s="4">
        <v>0.0</v>
      </c>
    </row>
    <row r="33" ht="12.0" customHeight="1">
      <c r="A33" s="3">
        <f t="shared" si="1"/>
        <v>32</v>
      </c>
      <c r="B33" s="11">
        <v>212.0</v>
      </c>
      <c r="C33" s="11" t="s">
        <v>111</v>
      </c>
      <c r="D33" s="3" t="s">
        <v>113</v>
      </c>
      <c r="E33" s="6" t="s">
        <v>44</v>
      </c>
      <c r="F33" s="6" t="s">
        <v>44</v>
      </c>
      <c r="G33" s="6" t="s">
        <v>44</v>
      </c>
      <c r="H33" s="7">
        <v>48.435</v>
      </c>
      <c r="I33" s="6" t="s">
        <v>46</v>
      </c>
      <c r="J33" s="6" t="s">
        <v>54</v>
      </c>
      <c r="K33" s="11" t="s">
        <v>77</v>
      </c>
      <c r="L33" s="8">
        <v>0.0</v>
      </c>
      <c r="M33" s="8">
        <f>45/50</f>
        <v>0.9</v>
      </c>
      <c r="N33" s="8">
        <v>0.0</v>
      </c>
      <c r="O33" s="8">
        <f>5/50</f>
        <v>0.1</v>
      </c>
      <c r="P33" s="8">
        <v>0.0</v>
      </c>
      <c r="Q33" s="8">
        <v>0.0</v>
      </c>
      <c r="R33" s="8">
        <v>0.0</v>
      </c>
      <c r="S33" s="8">
        <v>0.0</v>
      </c>
      <c r="T33" s="8">
        <v>0.0</v>
      </c>
      <c r="U33" s="8">
        <v>0.0</v>
      </c>
      <c r="V33" s="6" t="s">
        <v>49</v>
      </c>
      <c r="W33" s="7" t="s">
        <v>50</v>
      </c>
      <c r="X33" s="10" t="s">
        <v>35</v>
      </c>
      <c r="Y33" s="7">
        <v>51.229</v>
      </c>
      <c r="Z33" s="11">
        <v>148.0</v>
      </c>
      <c r="AA33" s="11">
        <v>15.0</v>
      </c>
      <c r="AB33" s="11">
        <v>0.0</v>
      </c>
      <c r="AC33" s="11">
        <v>220.0</v>
      </c>
      <c r="AD33" s="11">
        <v>0.0</v>
      </c>
      <c r="AE33" s="11">
        <v>70.0</v>
      </c>
      <c r="AF33" s="11">
        <v>70.0</v>
      </c>
      <c r="AG33" s="11">
        <v>8.0</v>
      </c>
      <c r="AH33" s="11">
        <v>8.0</v>
      </c>
      <c r="AI33" s="11">
        <v>13.0</v>
      </c>
      <c r="AJ33" s="11">
        <v>101.0</v>
      </c>
      <c r="AK33" s="11">
        <v>4.0</v>
      </c>
      <c r="AL33" s="11">
        <v>1.0</v>
      </c>
      <c r="AM33" s="11">
        <v>11.0</v>
      </c>
      <c r="AN33" s="11">
        <v>2.0</v>
      </c>
      <c r="AO33" s="11">
        <v>0.0</v>
      </c>
      <c r="AP33" s="4">
        <v>0.0</v>
      </c>
    </row>
    <row r="34" ht="12.0" customHeight="1">
      <c r="A34" s="3">
        <f t="shared" si="1"/>
        <v>33</v>
      </c>
      <c r="B34" s="11">
        <v>514.0</v>
      </c>
      <c r="C34" s="3" t="s">
        <v>114</v>
      </c>
      <c r="E34" s="6" t="s">
        <v>45</v>
      </c>
      <c r="F34" s="6" t="s">
        <v>44</v>
      </c>
      <c r="G34" s="6" t="s">
        <v>44</v>
      </c>
      <c r="H34" s="7">
        <v>2.397</v>
      </c>
      <c r="I34" s="6" t="s">
        <v>53</v>
      </c>
      <c r="J34" s="6" t="s">
        <v>61</v>
      </c>
      <c r="K34" s="11" t="s">
        <v>62</v>
      </c>
      <c r="L34" s="8">
        <v>0.0</v>
      </c>
      <c r="M34" s="8">
        <v>1.0</v>
      </c>
      <c r="N34" s="8">
        <v>0.0</v>
      </c>
      <c r="O34" s="8">
        <v>0.0</v>
      </c>
      <c r="P34" s="8">
        <v>0.0</v>
      </c>
      <c r="Q34" s="8">
        <v>0.0</v>
      </c>
      <c r="R34" s="8">
        <v>0.0</v>
      </c>
      <c r="S34" s="8">
        <v>0.0</v>
      </c>
      <c r="T34" s="8">
        <v>0.0</v>
      </c>
      <c r="U34" s="8">
        <v>0.0</v>
      </c>
      <c r="V34" s="6" t="s">
        <v>63</v>
      </c>
      <c r="W34" s="7" t="s">
        <v>57</v>
      </c>
      <c r="X34" s="10" t="s">
        <v>35</v>
      </c>
      <c r="Y34" s="7">
        <v>30.398</v>
      </c>
      <c r="Z34" s="11">
        <f>13+129</f>
        <v>142</v>
      </c>
      <c r="AA34" s="11">
        <v>12.0</v>
      </c>
      <c r="AB34" s="11">
        <v>2.0</v>
      </c>
      <c r="AC34" s="11">
        <v>63.0</v>
      </c>
      <c r="AD34" s="11">
        <v>5.0</v>
      </c>
      <c r="AE34" s="11">
        <v>18.0</v>
      </c>
      <c r="AF34" s="11">
        <v>72.0</v>
      </c>
      <c r="AG34" s="11">
        <v>0.0</v>
      </c>
      <c r="AH34" s="11">
        <v>1.0</v>
      </c>
      <c r="AI34" s="11">
        <v>68.0</v>
      </c>
      <c r="AJ34" s="11">
        <v>77.0</v>
      </c>
      <c r="AK34" s="11">
        <v>1.0</v>
      </c>
      <c r="AL34" s="11">
        <v>1.0</v>
      </c>
      <c r="AM34" s="11">
        <v>0.0</v>
      </c>
      <c r="AN34" s="11">
        <v>2.0</v>
      </c>
      <c r="AO34" s="11">
        <v>0.0</v>
      </c>
      <c r="AP34" s="4">
        <v>0.0</v>
      </c>
    </row>
    <row r="35" ht="12.0" customHeight="1">
      <c r="A35" s="3">
        <f t="shared" si="1"/>
        <v>34</v>
      </c>
      <c r="B35" s="11" t="s">
        <v>115</v>
      </c>
      <c r="C35" s="3" t="s">
        <v>107</v>
      </c>
      <c r="D35" s="3" t="s">
        <v>116</v>
      </c>
      <c r="E35" s="6" t="s">
        <v>44</v>
      </c>
      <c r="F35" s="6" t="s">
        <v>44</v>
      </c>
      <c r="G35" s="6" t="s">
        <v>44</v>
      </c>
      <c r="H35" s="7">
        <v>55.877</v>
      </c>
      <c r="I35" s="6" t="s">
        <v>46</v>
      </c>
      <c r="J35" s="6" t="s">
        <v>61</v>
      </c>
      <c r="K35" s="11" t="s">
        <v>77</v>
      </c>
      <c r="L35" s="8">
        <v>0.0</v>
      </c>
      <c r="M35" s="8">
        <f>46/55</f>
        <v>0.8363636364</v>
      </c>
      <c r="N35" s="8">
        <f>7/55</f>
        <v>0.1272727273</v>
      </c>
      <c r="O35" s="8">
        <f>2/55</f>
        <v>0.03636363636</v>
      </c>
      <c r="P35" s="8">
        <v>0.0</v>
      </c>
      <c r="Q35" s="8">
        <v>0.0</v>
      </c>
      <c r="R35" s="8">
        <v>0.0</v>
      </c>
      <c r="S35" s="8">
        <v>0.0</v>
      </c>
      <c r="T35" s="8">
        <v>0.0</v>
      </c>
      <c r="U35" s="8">
        <v>0.0</v>
      </c>
      <c r="V35" s="6" t="s">
        <v>49</v>
      </c>
      <c r="W35" s="7" t="s">
        <v>50</v>
      </c>
      <c r="X35" s="10" t="s">
        <v>26</v>
      </c>
      <c r="Y35" s="7">
        <v>73.87</v>
      </c>
      <c r="Z35" s="11">
        <v>239.0</v>
      </c>
      <c r="AA35" s="11">
        <v>359.0</v>
      </c>
      <c r="AB35" s="11">
        <v>0.0</v>
      </c>
      <c r="AC35" s="11">
        <v>157.0</v>
      </c>
      <c r="AD35" s="11">
        <v>0.0</v>
      </c>
      <c r="AE35" s="11">
        <v>42.0</v>
      </c>
      <c r="AF35" s="11">
        <v>128.0</v>
      </c>
      <c r="AG35" s="11">
        <v>28.0</v>
      </c>
      <c r="AH35" s="11">
        <v>6.0</v>
      </c>
      <c r="AI35" s="11">
        <v>26.0</v>
      </c>
      <c r="AJ35" s="11">
        <v>0.0</v>
      </c>
      <c r="AK35" s="11">
        <v>8.0</v>
      </c>
      <c r="AL35" s="11">
        <v>2.0</v>
      </c>
      <c r="AM35" s="11">
        <v>5.0</v>
      </c>
      <c r="AN35" s="11">
        <v>3.0</v>
      </c>
      <c r="AO35" s="11">
        <v>0.0</v>
      </c>
      <c r="AP35" s="4">
        <v>0.0</v>
      </c>
    </row>
    <row r="36" ht="12.0" customHeight="1">
      <c r="A36" s="3">
        <f t="shared" si="1"/>
        <v>35</v>
      </c>
      <c r="B36" s="11" t="s">
        <v>117</v>
      </c>
      <c r="C36" s="3" t="s">
        <v>118</v>
      </c>
      <c r="D36" s="3" t="s">
        <v>119</v>
      </c>
      <c r="E36" s="6" t="s">
        <v>45</v>
      </c>
      <c r="F36" s="6" t="s">
        <v>44</v>
      </c>
      <c r="G36" s="6" t="s">
        <v>45</v>
      </c>
      <c r="H36" s="7">
        <v>7.382</v>
      </c>
      <c r="I36" s="6" t="s">
        <v>53</v>
      </c>
      <c r="J36" s="6" t="s">
        <v>61</v>
      </c>
      <c r="K36" s="11" t="s">
        <v>77</v>
      </c>
      <c r="L36" s="8">
        <v>0.0</v>
      </c>
      <c r="M36" s="8">
        <v>1.0</v>
      </c>
      <c r="N36" s="8">
        <v>0.0</v>
      </c>
      <c r="O36" s="8">
        <v>0.0</v>
      </c>
      <c r="P36" s="8">
        <v>0.0</v>
      </c>
      <c r="Q36" s="8">
        <v>0.0</v>
      </c>
      <c r="R36" s="8">
        <v>0.0</v>
      </c>
      <c r="S36" s="8">
        <v>0.0</v>
      </c>
      <c r="T36" s="8">
        <v>0.0</v>
      </c>
      <c r="U36" s="8">
        <v>0.0</v>
      </c>
      <c r="V36" s="6" t="s">
        <v>63</v>
      </c>
      <c r="W36" s="7" t="s">
        <v>120</v>
      </c>
      <c r="X36" s="10" t="s">
        <v>26</v>
      </c>
      <c r="Y36" s="7">
        <v>57.187</v>
      </c>
      <c r="Z36" s="11">
        <v>225.0</v>
      </c>
      <c r="AA36" s="11">
        <v>10.0</v>
      </c>
      <c r="AB36" s="11">
        <v>22.0</v>
      </c>
      <c r="AC36" s="11">
        <v>231.0</v>
      </c>
      <c r="AD36" s="11">
        <v>5.0</v>
      </c>
      <c r="AE36" s="11">
        <v>46.0</v>
      </c>
      <c r="AF36" s="11">
        <v>128.0</v>
      </c>
      <c r="AG36" s="11">
        <v>2.0</v>
      </c>
      <c r="AH36" s="11">
        <v>3.0</v>
      </c>
      <c r="AI36" s="11">
        <v>157.0</v>
      </c>
      <c r="AJ36" s="11">
        <v>175.0</v>
      </c>
      <c r="AK36" s="11">
        <v>3.0</v>
      </c>
      <c r="AL36" s="11">
        <v>0.0</v>
      </c>
      <c r="AM36" s="11">
        <v>1.0</v>
      </c>
      <c r="AN36" s="11">
        <v>1.0</v>
      </c>
      <c r="AO36" s="11">
        <v>0.0</v>
      </c>
      <c r="AP36" s="4">
        <v>0.0</v>
      </c>
    </row>
    <row r="37" ht="12.0" customHeight="1">
      <c r="A37" s="3">
        <f t="shared" si="1"/>
        <v>36</v>
      </c>
      <c r="B37" s="11">
        <v>60.0</v>
      </c>
      <c r="C37" s="3" t="s">
        <v>116</v>
      </c>
      <c r="D37" s="3" t="s">
        <v>121</v>
      </c>
      <c r="E37" s="6" t="s">
        <v>44</v>
      </c>
      <c r="F37" s="6" t="s">
        <v>44</v>
      </c>
      <c r="G37" s="6" t="s">
        <v>44</v>
      </c>
      <c r="H37" s="7">
        <v>20.841</v>
      </c>
      <c r="I37" s="6" t="s">
        <v>46</v>
      </c>
      <c r="J37" s="6" t="s">
        <v>61</v>
      </c>
      <c r="K37" s="11" t="s">
        <v>62</v>
      </c>
      <c r="L37" s="8">
        <v>0.0</v>
      </c>
      <c r="M37" s="8">
        <f>17/21</f>
        <v>0.8095238095</v>
      </c>
      <c r="N37" s="8">
        <f t="shared" ref="N37:O37" si="2">2/21</f>
        <v>0.09523809524</v>
      </c>
      <c r="O37" s="8">
        <f t="shared" si="2"/>
        <v>0.09523809524</v>
      </c>
      <c r="P37" s="8">
        <v>0.0</v>
      </c>
      <c r="Q37" s="8">
        <v>0.0</v>
      </c>
      <c r="R37" s="8">
        <v>0.0</v>
      </c>
      <c r="S37" s="8">
        <v>0.0</v>
      </c>
      <c r="T37" s="8">
        <v>0.0</v>
      </c>
      <c r="U37" s="8">
        <v>0.0</v>
      </c>
      <c r="V37" s="6" t="s">
        <v>49</v>
      </c>
      <c r="W37" s="7" t="s">
        <v>50</v>
      </c>
      <c r="X37" s="10" t="s">
        <v>26</v>
      </c>
      <c r="Y37" s="7">
        <v>24.034</v>
      </c>
      <c r="Z37" s="11">
        <v>81.0</v>
      </c>
      <c r="AA37" s="11">
        <v>109.0</v>
      </c>
      <c r="AB37" s="11">
        <v>0.0</v>
      </c>
      <c r="AC37" s="11">
        <v>61.0</v>
      </c>
      <c r="AD37" s="11">
        <v>0.0</v>
      </c>
      <c r="AE37" s="11">
        <v>20.0</v>
      </c>
      <c r="AF37" s="11">
        <v>37.0</v>
      </c>
      <c r="AG37" s="11">
        <v>9.0</v>
      </c>
      <c r="AH37" s="11">
        <v>3.0</v>
      </c>
      <c r="AI37" s="11">
        <v>6.0</v>
      </c>
      <c r="AJ37" s="11">
        <v>8.0</v>
      </c>
      <c r="AK37" s="11">
        <v>6.0</v>
      </c>
      <c r="AL37" s="11">
        <v>4.0</v>
      </c>
      <c r="AM37" s="11">
        <v>2.0</v>
      </c>
      <c r="AN37" s="11">
        <v>0.0</v>
      </c>
      <c r="AO37" s="11">
        <v>0.0</v>
      </c>
      <c r="AP37" s="11">
        <v>1.0</v>
      </c>
    </row>
    <row r="38" ht="12.0" customHeight="1">
      <c r="A38" s="3">
        <f t="shared" si="1"/>
        <v>37</v>
      </c>
      <c r="B38" s="11" t="s">
        <v>122</v>
      </c>
      <c r="C38" s="3" t="s">
        <v>123</v>
      </c>
      <c r="D38" s="3" t="s">
        <v>124</v>
      </c>
      <c r="E38" s="6" t="s">
        <v>44</v>
      </c>
      <c r="F38" s="6" t="s">
        <v>44</v>
      </c>
      <c r="G38" s="6" t="s">
        <v>44</v>
      </c>
      <c r="H38" s="7">
        <v>74.888</v>
      </c>
      <c r="I38" s="6" t="s">
        <v>53</v>
      </c>
      <c r="J38" s="6" t="s">
        <v>61</v>
      </c>
      <c r="K38" s="11" t="s">
        <v>62</v>
      </c>
      <c r="L38" s="8">
        <v>0.0</v>
      </c>
      <c r="M38" s="8">
        <f>65/80</f>
        <v>0.8125</v>
      </c>
      <c r="N38" s="8">
        <f>8/80</f>
        <v>0.1</v>
      </c>
      <c r="O38" s="8">
        <f>3/80</f>
        <v>0.0375</v>
      </c>
      <c r="P38" s="8">
        <v>0.0</v>
      </c>
      <c r="Q38" s="8">
        <v>0.0</v>
      </c>
      <c r="R38" s="8">
        <f>5/80</f>
        <v>0.0625</v>
      </c>
      <c r="S38" s="8">
        <v>0.0</v>
      </c>
      <c r="T38" s="8">
        <v>0.0</v>
      </c>
      <c r="U38" s="8">
        <v>0.0</v>
      </c>
      <c r="V38" s="6" t="s">
        <v>49</v>
      </c>
      <c r="W38" s="7" t="s">
        <v>57</v>
      </c>
      <c r="X38" s="10" t="s">
        <v>35</v>
      </c>
      <c r="Y38" s="7">
        <v>175.853</v>
      </c>
      <c r="Z38" s="11">
        <v>262.0</v>
      </c>
      <c r="AA38" s="11">
        <v>2.0</v>
      </c>
      <c r="AB38" s="11">
        <v>0.0</v>
      </c>
      <c r="AC38" s="11">
        <v>219.0</v>
      </c>
      <c r="AD38" s="11">
        <v>3.0</v>
      </c>
      <c r="AE38" s="11">
        <v>59.0</v>
      </c>
      <c r="AF38" s="11">
        <v>272.0</v>
      </c>
      <c r="AG38" s="11">
        <v>74.0</v>
      </c>
      <c r="AH38" s="11">
        <v>7.0</v>
      </c>
      <c r="AI38" s="11">
        <v>71.0</v>
      </c>
      <c r="AJ38" s="11">
        <v>592.0</v>
      </c>
      <c r="AK38" s="11">
        <v>20.0</v>
      </c>
      <c r="AL38" s="11">
        <v>3.0</v>
      </c>
      <c r="AM38" s="11">
        <v>12.0</v>
      </c>
      <c r="AN38" s="11">
        <v>0.0</v>
      </c>
      <c r="AO38" s="11">
        <v>2.0</v>
      </c>
      <c r="AP38" s="11">
        <v>1.0</v>
      </c>
    </row>
    <row r="39" ht="12.0" customHeight="1">
      <c r="A39" s="3">
        <f t="shared" si="1"/>
        <v>38</v>
      </c>
      <c r="B39" s="11">
        <v>553.0</v>
      </c>
      <c r="C39" s="3" t="s">
        <v>125</v>
      </c>
      <c r="E39" s="6" t="s">
        <v>45</v>
      </c>
      <c r="F39" s="6" t="s">
        <v>44</v>
      </c>
      <c r="G39" s="6" t="s">
        <v>44</v>
      </c>
      <c r="H39" s="7">
        <v>2.105</v>
      </c>
      <c r="I39" s="6" t="s">
        <v>53</v>
      </c>
      <c r="J39" s="6" t="s">
        <v>61</v>
      </c>
      <c r="K39" s="11" t="s">
        <v>55</v>
      </c>
      <c r="L39" s="8">
        <v>0.0</v>
      </c>
      <c r="M39" s="8">
        <v>0.0</v>
      </c>
      <c r="N39" s="8">
        <v>0.0</v>
      </c>
      <c r="O39" s="8">
        <v>0.0</v>
      </c>
      <c r="P39" s="8">
        <v>0.0</v>
      </c>
      <c r="Q39" s="8">
        <v>0.0</v>
      </c>
      <c r="R39" s="8">
        <v>1.0</v>
      </c>
      <c r="S39" s="8">
        <v>0.0</v>
      </c>
      <c r="T39" s="8">
        <v>0.0</v>
      </c>
      <c r="U39" s="8">
        <v>0.0</v>
      </c>
      <c r="V39" s="6" t="s">
        <v>56</v>
      </c>
      <c r="W39" s="7" t="s">
        <v>57</v>
      </c>
      <c r="X39" s="10" t="s">
        <v>35</v>
      </c>
      <c r="Y39" s="7">
        <v>17.981</v>
      </c>
      <c r="Z39" s="11">
        <v>104.0</v>
      </c>
      <c r="AA39" s="11">
        <v>0.0</v>
      </c>
      <c r="AB39" s="11">
        <v>0.0</v>
      </c>
      <c r="AC39" s="11">
        <v>44.0</v>
      </c>
      <c r="AD39" s="11">
        <v>2.0</v>
      </c>
      <c r="AE39" s="11">
        <v>3.0</v>
      </c>
      <c r="AF39" s="11">
        <v>68.0</v>
      </c>
      <c r="AG39" s="11">
        <v>4.0</v>
      </c>
      <c r="AH39" s="11">
        <v>1.0</v>
      </c>
      <c r="AI39" s="11">
        <v>64.0</v>
      </c>
      <c r="AJ39" s="11">
        <v>86.0</v>
      </c>
      <c r="AK39" s="11">
        <v>1.0</v>
      </c>
      <c r="AL39" s="11">
        <v>0.0</v>
      </c>
      <c r="AM39" s="11">
        <v>0.0</v>
      </c>
      <c r="AN39" s="11">
        <v>0.0</v>
      </c>
      <c r="AO39" s="11">
        <v>0.0</v>
      </c>
      <c r="AP39" s="11">
        <v>0.0</v>
      </c>
    </row>
    <row r="40" ht="12.0" customHeight="1">
      <c r="A40" s="3">
        <f t="shared" si="1"/>
        <v>39</v>
      </c>
      <c r="B40" s="11">
        <v>63.0</v>
      </c>
      <c r="C40" s="3" t="s">
        <v>124</v>
      </c>
      <c r="D40" s="11" t="s">
        <v>126</v>
      </c>
      <c r="E40" s="6" t="s">
        <v>44</v>
      </c>
      <c r="F40" s="6" t="s">
        <v>44</v>
      </c>
      <c r="G40" s="6" t="s">
        <v>44</v>
      </c>
      <c r="H40" s="7">
        <v>19.112</v>
      </c>
      <c r="I40" s="6" t="s">
        <v>53</v>
      </c>
      <c r="J40" s="6" t="s">
        <v>61</v>
      </c>
      <c r="K40" s="11" t="s">
        <v>62</v>
      </c>
      <c r="L40" s="8">
        <v>0.0</v>
      </c>
      <c r="M40" s="8">
        <v>0.0</v>
      </c>
      <c r="N40" s="8">
        <v>0.0</v>
      </c>
      <c r="O40" s="8">
        <f>1/15</f>
        <v>0.06666666667</v>
      </c>
      <c r="P40" s="8">
        <v>0.0</v>
      </c>
      <c r="Q40" s="8">
        <v>0.0</v>
      </c>
      <c r="R40" s="8">
        <f>14/15</f>
        <v>0.9333333333</v>
      </c>
      <c r="S40" s="8">
        <v>0.0</v>
      </c>
      <c r="T40" s="8">
        <v>0.0</v>
      </c>
      <c r="U40" s="8">
        <v>0.0</v>
      </c>
      <c r="V40" s="6" t="s">
        <v>56</v>
      </c>
      <c r="W40" s="7" t="s">
        <v>57</v>
      </c>
      <c r="X40" s="10" t="s">
        <v>35</v>
      </c>
      <c r="Y40" s="7">
        <v>47.236</v>
      </c>
      <c r="Z40" s="11">
        <v>57.0</v>
      </c>
      <c r="AA40" s="11">
        <v>0.0</v>
      </c>
      <c r="AB40" s="11">
        <v>0.0</v>
      </c>
      <c r="AC40" s="11">
        <v>90.0</v>
      </c>
      <c r="AD40" s="11">
        <v>0.0</v>
      </c>
      <c r="AE40" s="11">
        <v>18.0</v>
      </c>
      <c r="AF40" s="11">
        <v>83.0</v>
      </c>
      <c r="AG40" s="11">
        <v>32.0</v>
      </c>
      <c r="AH40" s="11">
        <v>4.0</v>
      </c>
      <c r="AI40" s="11">
        <v>19.0</v>
      </c>
      <c r="AJ40" s="11">
        <v>158.0</v>
      </c>
      <c r="AK40" s="11">
        <v>9.0</v>
      </c>
      <c r="AL40" s="11">
        <v>4.0</v>
      </c>
      <c r="AM40" s="11">
        <v>2.0</v>
      </c>
      <c r="AN40" s="11">
        <v>2.0</v>
      </c>
      <c r="AO40" s="11">
        <v>0.0</v>
      </c>
      <c r="AP40" s="11">
        <v>0.0</v>
      </c>
    </row>
    <row r="41" ht="12.0" customHeight="1">
      <c r="A41" s="3">
        <f t="shared" si="1"/>
        <v>40</v>
      </c>
      <c r="B41" s="11">
        <v>64.0</v>
      </c>
      <c r="C41" s="3" t="s">
        <v>124</v>
      </c>
      <c r="D41" s="3" t="s">
        <v>127</v>
      </c>
      <c r="E41" s="6" t="s">
        <v>44</v>
      </c>
      <c r="F41" s="6" t="s">
        <v>44</v>
      </c>
      <c r="G41" s="6" t="s">
        <v>44</v>
      </c>
      <c r="H41" s="7">
        <v>15.909</v>
      </c>
      <c r="I41" s="6" t="s">
        <v>53</v>
      </c>
      <c r="J41" s="6" t="s">
        <v>54</v>
      </c>
      <c r="K41" s="11" t="s">
        <v>77</v>
      </c>
      <c r="L41" s="8">
        <v>0.0</v>
      </c>
      <c r="M41" s="8">
        <v>0.0</v>
      </c>
      <c r="N41" s="8">
        <f>6/17</f>
        <v>0.3529411765</v>
      </c>
      <c r="O41" s="8">
        <v>0.0</v>
      </c>
      <c r="P41" s="8">
        <v>0.0</v>
      </c>
      <c r="Q41" s="8">
        <v>0.0</v>
      </c>
      <c r="R41" s="8">
        <f>11/17</f>
        <v>0.6470588235</v>
      </c>
      <c r="S41" s="8">
        <v>0.0</v>
      </c>
      <c r="T41" s="8">
        <v>0.0</v>
      </c>
      <c r="U41" s="8">
        <v>0.0</v>
      </c>
      <c r="V41" s="6" t="s">
        <v>56</v>
      </c>
      <c r="W41" s="7" t="s">
        <v>57</v>
      </c>
      <c r="X41" s="10" t="s">
        <v>35</v>
      </c>
      <c r="Y41" s="7">
        <v>31.853</v>
      </c>
      <c r="Z41" s="11">
        <v>10.0</v>
      </c>
      <c r="AA41" s="11">
        <v>0.0</v>
      </c>
      <c r="AB41" s="11">
        <v>0.0</v>
      </c>
      <c r="AC41" s="11">
        <v>118.0</v>
      </c>
      <c r="AD41" s="11">
        <v>0.0</v>
      </c>
      <c r="AE41" s="11">
        <v>18.0</v>
      </c>
      <c r="AF41" s="11">
        <v>56.0</v>
      </c>
      <c r="AG41" s="11">
        <v>25.0</v>
      </c>
      <c r="AH41" s="11">
        <v>5.0</v>
      </c>
      <c r="AI41" s="11">
        <v>0.0</v>
      </c>
      <c r="AJ41" s="11">
        <v>123.0</v>
      </c>
      <c r="AK41" s="11">
        <v>6.0</v>
      </c>
      <c r="AL41" s="11">
        <v>0.0</v>
      </c>
      <c r="AM41" s="11">
        <v>1.0</v>
      </c>
      <c r="AN41" s="11">
        <v>1.0</v>
      </c>
      <c r="AO41" s="11">
        <v>0.0</v>
      </c>
      <c r="AP41" s="11">
        <v>0.0</v>
      </c>
    </row>
    <row r="42" ht="12.0" customHeight="1">
      <c r="A42" s="3">
        <f t="shared" si="1"/>
        <v>41</v>
      </c>
      <c r="B42" s="11" t="s">
        <v>128</v>
      </c>
      <c r="C42" s="11" t="s">
        <v>126</v>
      </c>
      <c r="D42" s="3" t="s">
        <v>127</v>
      </c>
      <c r="E42" s="6" t="s">
        <v>44</v>
      </c>
      <c r="F42" s="6" t="s">
        <v>44</v>
      </c>
      <c r="G42" s="6" t="s">
        <v>44</v>
      </c>
      <c r="H42" s="7">
        <v>18.607</v>
      </c>
      <c r="I42" s="6" t="s">
        <v>53</v>
      </c>
      <c r="J42" s="6" t="s">
        <v>47</v>
      </c>
      <c r="K42" s="11" t="s">
        <v>62</v>
      </c>
      <c r="L42" s="8">
        <v>0.0</v>
      </c>
      <c r="M42" s="8">
        <v>0.0</v>
      </c>
      <c r="N42" s="8">
        <v>0.0</v>
      </c>
      <c r="O42" s="8">
        <v>0.0</v>
      </c>
      <c r="P42" s="8">
        <v>0.0</v>
      </c>
      <c r="Q42" s="8">
        <v>0.0</v>
      </c>
      <c r="R42" s="8">
        <v>1.0</v>
      </c>
      <c r="S42" s="8">
        <v>0.0</v>
      </c>
      <c r="T42" s="8">
        <v>0.0</v>
      </c>
      <c r="U42" s="8">
        <v>0.0</v>
      </c>
      <c r="V42" s="6" t="s">
        <v>49</v>
      </c>
      <c r="W42" s="7" t="s">
        <v>57</v>
      </c>
      <c r="X42" s="10" t="s">
        <v>35</v>
      </c>
      <c r="Y42" s="7">
        <v>38.978</v>
      </c>
      <c r="Z42" s="11">
        <v>3.0</v>
      </c>
      <c r="AA42" s="11">
        <v>0.0</v>
      </c>
      <c r="AB42" s="11">
        <v>0.0</v>
      </c>
      <c r="AC42" s="11">
        <v>181.0</v>
      </c>
      <c r="AD42" s="11">
        <v>0.0</v>
      </c>
      <c r="AE42" s="11">
        <v>17.0</v>
      </c>
      <c r="AF42" s="11">
        <v>52.0</v>
      </c>
      <c r="AG42" s="11">
        <v>12.0</v>
      </c>
      <c r="AH42" s="11">
        <v>7.0</v>
      </c>
      <c r="AI42" s="11">
        <v>10.0</v>
      </c>
      <c r="AJ42" s="11">
        <v>117.0</v>
      </c>
      <c r="AK42" s="11">
        <v>21.0</v>
      </c>
      <c r="AL42" s="11">
        <v>2.0</v>
      </c>
      <c r="AM42" s="11">
        <v>2.0</v>
      </c>
      <c r="AN42" s="11">
        <v>2.0</v>
      </c>
      <c r="AO42" s="11">
        <v>0.0</v>
      </c>
      <c r="AP42" s="11">
        <v>0.0</v>
      </c>
    </row>
    <row r="43" ht="12.0" customHeight="1">
      <c r="A43" s="3">
        <f t="shared" si="1"/>
        <v>42</v>
      </c>
      <c r="B43" s="11">
        <v>520.0</v>
      </c>
      <c r="C43" s="11" t="s">
        <v>129</v>
      </c>
      <c r="E43" s="6" t="s">
        <v>45</v>
      </c>
      <c r="F43" s="6" t="s">
        <v>44</v>
      </c>
      <c r="G43" s="6" t="s">
        <v>44</v>
      </c>
      <c r="H43" s="7">
        <v>1.61</v>
      </c>
      <c r="I43" s="6" t="s">
        <v>105</v>
      </c>
      <c r="J43" s="6" t="s">
        <v>61</v>
      </c>
      <c r="K43" s="11" t="s">
        <v>77</v>
      </c>
      <c r="L43" s="8">
        <v>0.0</v>
      </c>
      <c r="M43" s="8">
        <v>0.0</v>
      </c>
      <c r="N43" s="8">
        <v>0.33</v>
      </c>
      <c r="O43" s="8">
        <v>0.33</v>
      </c>
      <c r="P43" s="8">
        <v>0.0</v>
      </c>
      <c r="Q43" s="8">
        <v>0.0</v>
      </c>
      <c r="R43" s="8">
        <v>0.0</v>
      </c>
      <c r="S43" s="8">
        <v>0.0</v>
      </c>
      <c r="T43" s="8">
        <v>0.33</v>
      </c>
      <c r="U43" s="8">
        <v>0.0</v>
      </c>
      <c r="V43" s="6" t="s">
        <v>63</v>
      </c>
      <c r="W43" s="7" t="s">
        <v>57</v>
      </c>
      <c r="X43" s="10" t="s">
        <v>35</v>
      </c>
      <c r="Y43" s="7">
        <v>31.199</v>
      </c>
      <c r="Z43" s="11">
        <v>160.0</v>
      </c>
      <c r="AA43" s="11">
        <v>0.0</v>
      </c>
      <c r="AB43" s="11">
        <v>0.0</v>
      </c>
      <c r="AC43" s="11">
        <v>68.0</v>
      </c>
      <c r="AD43" s="11">
        <v>3.0</v>
      </c>
      <c r="AE43" s="11">
        <v>17.0</v>
      </c>
      <c r="AF43" s="11">
        <v>93.0</v>
      </c>
      <c r="AG43" s="11">
        <v>3.0</v>
      </c>
      <c r="AH43" s="11">
        <v>1.0</v>
      </c>
      <c r="AI43" s="11">
        <v>93.0</v>
      </c>
      <c r="AJ43" s="11">
        <v>96.0</v>
      </c>
      <c r="AK43" s="11">
        <v>0.0</v>
      </c>
      <c r="AL43" s="11">
        <v>0.0</v>
      </c>
      <c r="AM43" s="11">
        <v>0.0</v>
      </c>
      <c r="AN43" s="11">
        <v>1.0</v>
      </c>
      <c r="AO43" s="11">
        <v>0.0</v>
      </c>
      <c r="AP43" s="11">
        <v>0.0</v>
      </c>
    </row>
    <row r="44" ht="12.0" customHeight="1">
      <c r="A44" s="3">
        <f t="shared" si="1"/>
        <v>43</v>
      </c>
      <c r="B44" s="11" t="s">
        <v>130</v>
      </c>
      <c r="C44" s="3" t="s">
        <v>131</v>
      </c>
      <c r="E44" s="6" t="s">
        <v>45</v>
      </c>
      <c r="F44" s="6" t="s">
        <v>44</v>
      </c>
      <c r="G44" s="6" t="s">
        <v>44</v>
      </c>
      <c r="H44" s="7">
        <v>2.911</v>
      </c>
      <c r="I44" s="6" t="s">
        <v>53</v>
      </c>
      <c r="J44" s="6" t="s">
        <v>47</v>
      </c>
      <c r="K44" s="11" t="s">
        <v>77</v>
      </c>
      <c r="L44" s="8">
        <v>0.0</v>
      </c>
      <c r="M44" s="8">
        <v>0.0</v>
      </c>
      <c r="N44" s="8">
        <v>0.0</v>
      </c>
      <c r="O44" s="8">
        <v>0.0</v>
      </c>
      <c r="P44" s="8">
        <v>0.0</v>
      </c>
      <c r="Q44" s="8">
        <v>0.0</v>
      </c>
      <c r="R44" s="8">
        <v>1.0</v>
      </c>
      <c r="S44" s="8">
        <v>0.0</v>
      </c>
      <c r="T44" s="8">
        <v>0.0</v>
      </c>
      <c r="U44" s="8">
        <v>0.0</v>
      </c>
      <c r="V44" s="6" t="s">
        <v>56</v>
      </c>
      <c r="W44" s="7" t="s">
        <v>57</v>
      </c>
      <c r="X44" s="10" t="s">
        <v>35</v>
      </c>
      <c r="Y44" s="7">
        <v>20.413</v>
      </c>
      <c r="Z44" s="11">
        <v>79.0</v>
      </c>
      <c r="AA44" s="11">
        <v>36.0</v>
      </c>
      <c r="AB44" s="11">
        <v>0.0</v>
      </c>
      <c r="AC44" s="11">
        <v>29.0</v>
      </c>
      <c r="AD44" s="11">
        <v>4.0</v>
      </c>
      <c r="AE44" s="11">
        <v>8.0</v>
      </c>
      <c r="AF44" s="11">
        <v>49.0</v>
      </c>
      <c r="AG44" s="11">
        <v>4.0</v>
      </c>
      <c r="AH44" s="11">
        <v>1.0</v>
      </c>
      <c r="AI44" s="11">
        <v>52.0</v>
      </c>
      <c r="AJ44" s="11">
        <v>71.0</v>
      </c>
      <c r="AK44" s="11">
        <v>7.0</v>
      </c>
      <c r="AL44" s="11">
        <v>0.0</v>
      </c>
      <c r="AM44" s="11">
        <v>0.0</v>
      </c>
      <c r="AN44" s="11">
        <v>0.0</v>
      </c>
      <c r="AO44" s="11">
        <v>0.0</v>
      </c>
      <c r="AP44" s="11">
        <v>0.0</v>
      </c>
    </row>
    <row r="45" ht="12.0" customHeight="1">
      <c r="A45" s="3">
        <f t="shared" si="1"/>
        <v>44</v>
      </c>
      <c r="B45" s="11">
        <v>71.0</v>
      </c>
      <c r="C45" s="11" t="s">
        <v>126</v>
      </c>
      <c r="D45" s="3" t="s">
        <v>132</v>
      </c>
      <c r="E45" s="6" t="s">
        <v>44</v>
      </c>
      <c r="F45" s="6" t="s">
        <v>44</v>
      </c>
      <c r="G45" s="6" t="s">
        <v>44</v>
      </c>
      <c r="H45" s="7">
        <v>12.574</v>
      </c>
      <c r="I45" s="6" t="s">
        <v>53</v>
      </c>
      <c r="J45" s="6" t="s">
        <v>61</v>
      </c>
      <c r="K45" s="11" t="s">
        <v>77</v>
      </c>
      <c r="L45" s="8">
        <v>0.0</v>
      </c>
      <c r="M45" s="8">
        <v>0.0</v>
      </c>
      <c r="N45" s="8">
        <f>1/12</f>
        <v>0.08333333333</v>
      </c>
      <c r="O45" s="8">
        <f>4/12</f>
        <v>0.3333333333</v>
      </c>
      <c r="P45" s="8">
        <v>0.0</v>
      </c>
      <c r="Q45" s="8">
        <v>0.0</v>
      </c>
      <c r="R45" s="8">
        <f>4/12</f>
        <v>0.3333333333</v>
      </c>
      <c r="S45" s="8">
        <v>0.0</v>
      </c>
      <c r="T45" s="8">
        <f>3/12</f>
        <v>0.25</v>
      </c>
      <c r="U45" s="8">
        <v>0.0</v>
      </c>
      <c r="V45" s="6" t="s">
        <v>56</v>
      </c>
      <c r="W45" s="7" t="s">
        <v>133</v>
      </c>
      <c r="X45" s="10" t="s">
        <v>35</v>
      </c>
      <c r="Y45" s="7">
        <v>23.457</v>
      </c>
      <c r="Z45" s="11">
        <v>14.0</v>
      </c>
      <c r="AA45" s="11">
        <v>0.0</v>
      </c>
      <c r="AB45" s="11">
        <v>20.0</v>
      </c>
      <c r="AC45" s="11">
        <v>100.0</v>
      </c>
      <c r="AD45" s="11">
        <v>0.0</v>
      </c>
      <c r="AE45" s="11">
        <v>12.0</v>
      </c>
      <c r="AF45" s="11">
        <v>29.0</v>
      </c>
      <c r="AG45" s="11">
        <v>0.0</v>
      </c>
      <c r="AH45" s="11">
        <v>2.0</v>
      </c>
      <c r="AI45" s="11">
        <v>1.0</v>
      </c>
      <c r="AJ45" s="11">
        <v>66.0</v>
      </c>
      <c r="AK45" s="11">
        <v>1.0</v>
      </c>
      <c r="AL45" s="11">
        <v>2.0</v>
      </c>
      <c r="AM45" s="11">
        <v>1.0</v>
      </c>
      <c r="AN45" s="11">
        <v>1.0</v>
      </c>
      <c r="AO45" s="11">
        <v>0.0</v>
      </c>
      <c r="AP45" s="11">
        <v>0.0</v>
      </c>
    </row>
    <row r="46" ht="12.0" customHeight="1">
      <c r="A46" s="3">
        <f t="shared" si="1"/>
        <v>45</v>
      </c>
      <c r="B46" s="11" t="s">
        <v>134</v>
      </c>
      <c r="C46" s="3" t="s">
        <v>127</v>
      </c>
      <c r="D46" s="3" t="s">
        <v>135</v>
      </c>
      <c r="E46" s="6" t="s">
        <v>44</v>
      </c>
      <c r="F46" s="6" t="s">
        <v>44</v>
      </c>
      <c r="G46" s="6" t="s">
        <v>44</v>
      </c>
      <c r="H46" s="7">
        <v>12.694</v>
      </c>
      <c r="I46" s="6" t="s">
        <v>46</v>
      </c>
      <c r="J46" s="6" t="s">
        <v>47</v>
      </c>
      <c r="K46" s="11" t="s">
        <v>77</v>
      </c>
      <c r="L46" s="8">
        <v>0.0</v>
      </c>
      <c r="M46" s="8">
        <v>0.0</v>
      </c>
      <c r="N46" s="8">
        <v>0.0</v>
      </c>
      <c r="O46" s="8">
        <v>0.0</v>
      </c>
      <c r="P46" s="8">
        <v>0.0</v>
      </c>
      <c r="Q46" s="8">
        <v>0.0</v>
      </c>
      <c r="R46" s="8">
        <v>1.0</v>
      </c>
      <c r="S46" s="8">
        <v>0.0</v>
      </c>
      <c r="T46" s="8">
        <v>0.0</v>
      </c>
      <c r="U46" s="8">
        <v>0.0</v>
      </c>
      <c r="V46" s="6" t="s">
        <v>49</v>
      </c>
      <c r="W46" s="7" t="s">
        <v>50</v>
      </c>
      <c r="X46" s="10" t="s">
        <v>35</v>
      </c>
      <c r="Y46" s="7">
        <v>11.833</v>
      </c>
      <c r="Z46" s="11">
        <v>18.0</v>
      </c>
      <c r="AA46" s="11">
        <v>24.0</v>
      </c>
      <c r="AB46" s="11">
        <v>10.0</v>
      </c>
      <c r="AC46" s="11">
        <v>63.0</v>
      </c>
      <c r="AD46" s="11">
        <v>2.0</v>
      </c>
      <c r="AE46" s="11">
        <v>8.0</v>
      </c>
      <c r="AF46" s="11">
        <v>41.0</v>
      </c>
      <c r="AG46" s="11">
        <v>0.0</v>
      </c>
      <c r="AH46" s="11">
        <v>2.0</v>
      </c>
      <c r="AI46" s="11">
        <v>55.0</v>
      </c>
      <c r="AJ46" s="11">
        <v>64.0</v>
      </c>
      <c r="AK46" s="11">
        <v>3.0</v>
      </c>
      <c r="AL46" s="11">
        <v>0.0</v>
      </c>
      <c r="AM46" s="11">
        <v>1.0</v>
      </c>
      <c r="AN46" s="11">
        <v>1.0</v>
      </c>
      <c r="AO46" s="11">
        <v>0.0</v>
      </c>
      <c r="AP46" s="11">
        <v>0.0</v>
      </c>
    </row>
    <row r="47" ht="12.0" customHeight="1">
      <c r="A47" s="3">
        <f t="shared" si="1"/>
        <v>46</v>
      </c>
      <c r="B47" s="11">
        <v>309.0</v>
      </c>
      <c r="C47" s="3" t="s">
        <v>136</v>
      </c>
      <c r="D47" s="3" t="s">
        <v>137</v>
      </c>
      <c r="E47" s="6" t="s">
        <v>44</v>
      </c>
      <c r="F47" s="6" t="s">
        <v>44</v>
      </c>
      <c r="G47" s="6" t="s">
        <v>44</v>
      </c>
      <c r="H47" s="7">
        <v>11.315</v>
      </c>
      <c r="I47" s="6" t="s">
        <v>46</v>
      </c>
      <c r="J47" s="6" t="s">
        <v>47</v>
      </c>
      <c r="K47" s="11" t="s">
        <v>55</v>
      </c>
      <c r="L47" s="8">
        <v>0.0</v>
      </c>
      <c r="M47" s="8">
        <v>0.0</v>
      </c>
      <c r="N47" s="8">
        <v>0.0</v>
      </c>
      <c r="O47" s="8">
        <v>0.0</v>
      </c>
      <c r="P47" s="8">
        <v>0.0</v>
      </c>
      <c r="Q47" s="8">
        <v>0.0</v>
      </c>
      <c r="R47" s="8">
        <v>1.0</v>
      </c>
      <c r="S47" s="8">
        <v>0.0</v>
      </c>
      <c r="T47" s="8">
        <v>0.0</v>
      </c>
      <c r="U47" s="8">
        <v>0.0</v>
      </c>
      <c r="V47" s="6" t="s">
        <v>49</v>
      </c>
      <c r="W47" s="7" t="s">
        <v>57</v>
      </c>
      <c r="X47" s="10" t="s">
        <v>35</v>
      </c>
      <c r="Y47" s="7">
        <v>6.653</v>
      </c>
      <c r="Z47" s="11">
        <v>0.0</v>
      </c>
      <c r="AA47" s="11">
        <v>0.0</v>
      </c>
      <c r="AB47" s="11">
        <v>0.0</v>
      </c>
      <c r="AC47" s="11">
        <v>34.0</v>
      </c>
      <c r="AD47" s="11">
        <v>0.0</v>
      </c>
      <c r="AE47" s="11">
        <v>6.0</v>
      </c>
      <c r="AF47" s="11">
        <v>8.0</v>
      </c>
      <c r="AG47" s="11">
        <v>1.0</v>
      </c>
      <c r="AH47" s="11">
        <v>4.0</v>
      </c>
      <c r="AI47" s="11">
        <v>6.0</v>
      </c>
      <c r="AJ47" s="11">
        <v>18.0</v>
      </c>
      <c r="AK47" s="11">
        <v>3.0</v>
      </c>
      <c r="AL47" s="11">
        <v>1.0</v>
      </c>
      <c r="AM47" s="11">
        <v>0.0</v>
      </c>
      <c r="AN47" s="11">
        <v>2.0</v>
      </c>
      <c r="AO47" s="11">
        <v>1.0</v>
      </c>
      <c r="AP47" s="11">
        <v>1.0</v>
      </c>
    </row>
    <row r="48" ht="12.0" customHeight="1">
      <c r="A48" s="3">
        <f t="shared" si="1"/>
        <v>47</v>
      </c>
      <c r="B48" s="11">
        <v>55.0</v>
      </c>
      <c r="C48" s="3" t="s">
        <v>123</v>
      </c>
      <c r="D48" s="3" t="s">
        <v>116</v>
      </c>
      <c r="E48" s="6" t="s">
        <v>44</v>
      </c>
      <c r="F48" s="6" t="s">
        <v>44</v>
      </c>
      <c r="G48" s="6" t="s">
        <v>45</v>
      </c>
      <c r="H48" s="7">
        <v>46.934</v>
      </c>
      <c r="I48" s="6" t="s">
        <v>53</v>
      </c>
      <c r="J48" s="6" t="s">
        <v>61</v>
      </c>
      <c r="K48" s="11" t="s">
        <v>138</v>
      </c>
      <c r="L48" s="8">
        <f>4/50</f>
        <v>0.08</v>
      </c>
      <c r="M48" s="8">
        <f>45/50</f>
        <v>0.9</v>
      </c>
      <c r="N48" s="8">
        <f>1/50</f>
        <v>0.02</v>
      </c>
      <c r="O48" s="8">
        <v>0.0</v>
      </c>
      <c r="P48" s="8">
        <v>0.0</v>
      </c>
      <c r="Q48" s="8">
        <v>0.0</v>
      </c>
      <c r="R48" s="8">
        <v>0.0</v>
      </c>
      <c r="S48" s="8">
        <v>0.0</v>
      </c>
      <c r="T48" s="8">
        <v>0.0</v>
      </c>
      <c r="U48" s="8">
        <v>0.0</v>
      </c>
      <c r="V48" s="6" t="s">
        <v>49</v>
      </c>
      <c r="W48" s="7" t="s">
        <v>57</v>
      </c>
      <c r="X48" s="10" t="s">
        <v>35</v>
      </c>
      <c r="Y48" s="7">
        <v>98.11</v>
      </c>
      <c r="Z48" s="11">
        <v>138.0</v>
      </c>
      <c r="AA48" s="11">
        <v>0.0</v>
      </c>
      <c r="AB48" s="11">
        <v>0.0</v>
      </c>
      <c r="AC48" s="11">
        <v>162.0</v>
      </c>
      <c r="AD48" s="11">
        <v>1.0</v>
      </c>
      <c r="AE48" s="11">
        <v>35.0</v>
      </c>
      <c r="AF48" s="11">
        <v>156.0</v>
      </c>
      <c r="AG48" s="11">
        <v>47.0</v>
      </c>
      <c r="AH48" s="11">
        <v>6.0</v>
      </c>
      <c r="AI48" s="11">
        <v>24.0</v>
      </c>
      <c r="AJ48" s="11">
        <v>297.0</v>
      </c>
      <c r="AK48" s="11">
        <v>10.0</v>
      </c>
      <c r="AL48" s="11">
        <v>0.0</v>
      </c>
      <c r="AM48" s="11">
        <v>8.0</v>
      </c>
      <c r="AN48" s="11">
        <v>1.0</v>
      </c>
      <c r="AO48" s="11">
        <v>0.0</v>
      </c>
      <c r="AP48" s="11">
        <v>0.0</v>
      </c>
    </row>
    <row r="49" ht="12.0" customHeight="1">
      <c r="A49" s="3">
        <f t="shared" si="1"/>
        <v>48</v>
      </c>
      <c r="B49" s="11">
        <v>618.0</v>
      </c>
      <c r="C49" s="3" t="s">
        <v>139</v>
      </c>
      <c r="E49" s="6" t="s">
        <v>45</v>
      </c>
      <c r="F49" s="6" t="s">
        <v>44</v>
      </c>
      <c r="G49" s="6" t="s">
        <v>45</v>
      </c>
      <c r="H49" s="7">
        <v>2.194</v>
      </c>
      <c r="I49" s="6" t="s">
        <v>105</v>
      </c>
      <c r="J49" s="6" t="s">
        <v>61</v>
      </c>
      <c r="K49" s="11" t="s">
        <v>62</v>
      </c>
      <c r="L49" s="8">
        <v>0.0</v>
      </c>
      <c r="M49" s="8">
        <v>0.0</v>
      </c>
      <c r="N49" s="8">
        <v>0.0</v>
      </c>
      <c r="O49" s="8">
        <v>0.0</v>
      </c>
      <c r="P49" s="8">
        <v>0.0</v>
      </c>
      <c r="Q49" s="8">
        <v>0.0</v>
      </c>
      <c r="R49" s="8">
        <v>0.5</v>
      </c>
      <c r="S49" s="8">
        <v>0.5</v>
      </c>
      <c r="T49" s="8">
        <v>0.0</v>
      </c>
      <c r="U49" s="8">
        <v>0.0</v>
      </c>
      <c r="V49" s="6" t="s">
        <v>63</v>
      </c>
      <c r="W49" s="7" t="s">
        <v>57</v>
      </c>
      <c r="X49" s="10" t="s">
        <v>35</v>
      </c>
      <c r="Y49" s="7">
        <v>39.309</v>
      </c>
      <c r="Z49" s="11">
        <v>178.0</v>
      </c>
      <c r="AA49" s="11">
        <v>0.0</v>
      </c>
      <c r="AB49" s="11">
        <v>0.0</v>
      </c>
      <c r="AC49" s="11">
        <v>84.0</v>
      </c>
      <c r="AD49" s="11">
        <v>6.0</v>
      </c>
      <c r="AE49" s="11">
        <v>20.0</v>
      </c>
      <c r="AF49" s="11">
        <v>100.0</v>
      </c>
      <c r="AG49" s="11">
        <v>16.0</v>
      </c>
      <c r="AH49" s="11">
        <v>2.0</v>
      </c>
      <c r="AI49" s="11">
        <v>95.0</v>
      </c>
      <c r="AJ49" s="11">
        <v>144.0</v>
      </c>
      <c r="AK49" s="11">
        <v>5.0</v>
      </c>
      <c r="AL49" s="11">
        <v>0.0</v>
      </c>
      <c r="AM49" s="11">
        <v>1.0</v>
      </c>
      <c r="AN49" s="11">
        <v>0.0</v>
      </c>
      <c r="AO49" s="11">
        <v>0.0</v>
      </c>
      <c r="AP49" s="11">
        <v>0.0</v>
      </c>
    </row>
    <row r="50" ht="12.0" customHeight="1">
      <c r="A50" s="3">
        <f t="shared" si="1"/>
        <v>49</v>
      </c>
      <c r="B50" s="11">
        <v>47.0</v>
      </c>
      <c r="C50" s="3" t="s">
        <v>107</v>
      </c>
      <c r="D50" s="3" t="s">
        <v>140</v>
      </c>
      <c r="E50" s="6" t="s">
        <v>44</v>
      </c>
      <c r="F50" s="6" t="s">
        <v>44</v>
      </c>
      <c r="G50" s="6" t="s">
        <v>44</v>
      </c>
      <c r="H50" s="7">
        <v>40.922</v>
      </c>
      <c r="I50" s="6" t="s">
        <v>53</v>
      </c>
      <c r="J50" s="6" t="s">
        <v>61</v>
      </c>
      <c r="K50" s="11" t="s">
        <v>138</v>
      </c>
      <c r="L50" s="8">
        <v>0.0</v>
      </c>
      <c r="M50" s="8">
        <f>29/40</f>
        <v>0.725</v>
      </c>
      <c r="N50" s="8">
        <f>1/40</f>
        <v>0.025</v>
      </c>
      <c r="O50" s="8">
        <f>6/40</f>
        <v>0.15</v>
      </c>
      <c r="P50" s="8">
        <v>0.0</v>
      </c>
      <c r="Q50" s="8">
        <f>2/40</f>
        <v>0.05</v>
      </c>
      <c r="R50" s="8">
        <v>0.0</v>
      </c>
      <c r="S50" s="8">
        <v>0.0</v>
      </c>
      <c r="T50" s="8">
        <f>2/40</f>
        <v>0.05</v>
      </c>
      <c r="U50" s="8">
        <v>0.0</v>
      </c>
      <c r="V50" s="6" t="s">
        <v>56</v>
      </c>
      <c r="W50" s="7" t="s">
        <v>57</v>
      </c>
      <c r="X50" s="10" t="s">
        <v>35</v>
      </c>
      <c r="Y50" s="7">
        <v>81.981</v>
      </c>
      <c r="Z50" s="11">
        <v>33.0</v>
      </c>
      <c r="AA50" s="11">
        <v>0.0</v>
      </c>
      <c r="AB50" s="11">
        <v>0.0</v>
      </c>
      <c r="AC50" s="11">
        <v>256.0</v>
      </c>
      <c r="AD50" s="11">
        <v>0.0</v>
      </c>
      <c r="AE50" s="11">
        <v>40.0</v>
      </c>
      <c r="AF50" s="11">
        <v>101.0</v>
      </c>
      <c r="AG50" s="11">
        <v>22.0</v>
      </c>
      <c r="AH50" s="11">
        <v>8.0</v>
      </c>
      <c r="AI50" s="11">
        <v>22.0</v>
      </c>
      <c r="AJ50" s="11">
        <v>253.0</v>
      </c>
      <c r="AK50" s="11">
        <v>11.0</v>
      </c>
      <c r="AL50" s="11">
        <v>0.0</v>
      </c>
      <c r="AM50" s="11">
        <v>4.0</v>
      </c>
      <c r="AN50" s="11">
        <v>3.0</v>
      </c>
      <c r="AO50" s="11">
        <v>0.0</v>
      </c>
      <c r="AP50" s="11">
        <v>0.0</v>
      </c>
    </row>
    <row r="51" ht="12.0" customHeight="1">
      <c r="A51" s="3">
        <f t="shared" si="1"/>
        <v>50</v>
      </c>
      <c r="B51" s="11" t="s">
        <v>141</v>
      </c>
      <c r="C51" s="3" t="s">
        <v>142</v>
      </c>
      <c r="D51" s="3" t="s">
        <v>143</v>
      </c>
      <c r="E51" s="6" t="s">
        <v>44</v>
      </c>
      <c r="F51" s="6" t="s">
        <v>44</v>
      </c>
      <c r="G51" s="6" t="s">
        <v>45</v>
      </c>
      <c r="H51" s="7">
        <v>25.879</v>
      </c>
      <c r="I51" s="6" t="s">
        <v>53</v>
      </c>
      <c r="J51" s="6" t="s">
        <v>61</v>
      </c>
      <c r="K51" s="11" t="s">
        <v>138</v>
      </c>
      <c r="L51" s="8">
        <v>0.0</v>
      </c>
      <c r="M51" s="8">
        <v>0.0</v>
      </c>
      <c r="N51" s="8">
        <f>1/35</f>
        <v>0.02857142857</v>
      </c>
      <c r="O51" s="8">
        <f>19/35</f>
        <v>0.5428571429</v>
      </c>
      <c r="P51" s="8">
        <v>0.0</v>
      </c>
      <c r="Q51" s="8">
        <f>15/35</f>
        <v>0.4285714286</v>
      </c>
      <c r="R51" s="8">
        <v>0.0</v>
      </c>
      <c r="S51" s="8">
        <v>0.0</v>
      </c>
      <c r="T51" s="8">
        <v>0.0</v>
      </c>
      <c r="U51" s="8">
        <v>0.0</v>
      </c>
      <c r="V51" s="6" t="s">
        <v>56</v>
      </c>
      <c r="W51" s="7" t="s">
        <v>57</v>
      </c>
      <c r="X51" s="10" t="s">
        <v>35</v>
      </c>
      <c r="Y51" s="7">
        <v>88.002</v>
      </c>
      <c r="Z51" s="11">
        <v>192.0</v>
      </c>
      <c r="AA51" s="11">
        <v>5.0</v>
      </c>
      <c r="AB51" s="11">
        <v>174.0</v>
      </c>
      <c r="AC51" s="11">
        <v>143.0</v>
      </c>
      <c r="AD51" s="11">
        <v>0.0</v>
      </c>
      <c r="AE51" s="11">
        <v>29.0</v>
      </c>
      <c r="AF51" s="11">
        <v>155.0</v>
      </c>
      <c r="AG51" s="11">
        <v>102.0</v>
      </c>
      <c r="AH51" s="11">
        <v>4.0</v>
      </c>
      <c r="AI51" s="11">
        <v>61.0</v>
      </c>
      <c r="AJ51" s="11">
        <v>230.0</v>
      </c>
      <c r="AK51" s="11">
        <v>15.0</v>
      </c>
      <c r="AL51" s="11">
        <v>0.0</v>
      </c>
      <c r="AM51" s="11">
        <v>11.0</v>
      </c>
      <c r="AN51" s="11">
        <v>3.0</v>
      </c>
      <c r="AO51" s="11">
        <v>0.0</v>
      </c>
      <c r="AP51" s="11">
        <v>0.0</v>
      </c>
    </row>
    <row r="52" ht="12.0" customHeight="1">
      <c r="A52" s="3">
        <f t="shared" si="1"/>
        <v>51</v>
      </c>
      <c r="B52" s="11" t="s">
        <v>144</v>
      </c>
      <c r="C52" s="3" t="s">
        <v>140</v>
      </c>
      <c r="D52" s="3" t="s">
        <v>123</v>
      </c>
      <c r="E52" s="6" t="s">
        <v>44</v>
      </c>
      <c r="F52" s="6" t="s">
        <v>44</v>
      </c>
      <c r="G52" s="6" t="s">
        <v>45</v>
      </c>
      <c r="H52" s="7">
        <v>30.117</v>
      </c>
      <c r="I52" s="6" t="s">
        <v>105</v>
      </c>
      <c r="J52" s="6" t="s">
        <v>61</v>
      </c>
      <c r="K52" s="11" t="s">
        <v>138</v>
      </c>
      <c r="L52" s="8">
        <v>0.0</v>
      </c>
      <c r="M52" s="8">
        <f>23/30</f>
        <v>0.7666666667</v>
      </c>
      <c r="N52" s="8">
        <v>0.0</v>
      </c>
      <c r="O52" s="8">
        <v>0.0</v>
      </c>
      <c r="P52" s="8">
        <v>0.0</v>
      </c>
      <c r="Q52" s="8">
        <v>0.0</v>
      </c>
      <c r="R52" s="8">
        <f>5/30</f>
        <v>0.1666666667</v>
      </c>
      <c r="S52" s="8">
        <v>0.0</v>
      </c>
      <c r="T52" s="8">
        <f>2/30</f>
        <v>0.06666666667</v>
      </c>
      <c r="U52" s="8">
        <v>0.0</v>
      </c>
      <c r="V52" s="6" t="s">
        <v>56</v>
      </c>
      <c r="W52" s="7" t="s">
        <v>57</v>
      </c>
      <c r="X52" s="10" t="s">
        <v>35</v>
      </c>
      <c r="Y52" s="7">
        <v>119.939</v>
      </c>
      <c r="Z52" s="11">
        <v>243.0</v>
      </c>
      <c r="AA52" s="11">
        <v>0.0</v>
      </c>
      <c r="AB52" s="11">
        <v>0.0</v>
      </c>
      <c r="AC52" s="11">
        <v>140.0</v>
      </c>
      <c r="AD52" s="11">
        <v>2.0</v>
      </c>
      <c r="AE52" s="11">
        <v>49.0</v>
      </c>
      <c r="AF52" s="11">
        <v>198.0</v>
      </c>
      <c r="AG52" s="11">
        <v>142.0</v>
      </c>
      <c r="AH52" s="11">
        <v>4.0</v>
      </c>
      <c r="AI52" s="11">
        <v>97.0</v>
      </c>
      <c r="AJ52" s="11">
        <v>366.0</v>
      </c>
      <c r="AK52" s="11">
        <v>18.0</v>
      </c>
      <c r="AL52" s="11">
        <v>0.0</v>
      </c>
      <c r="AM52" s="11">
        <v>7.0</v>
      </c>
      <c r="AN52" s="11">
        <v>0.0</v>
      </c>
      <c r="AO52" s="11">
        <v>1.0</v>
      </c>
      <c r="AP52" s="11">
        <v>1.0</v>
      </c>
    </row>
    <row r="53" ht="12.0" customHeight="1">
      <c r="A53" s="3">
        <f t="shared" si="1"/>
        <v>52</v>
      </c>
      <c r="B53" s="11">
        <v>614.0</v>
      </c>
      <c r="C53" s="3" t="s">
        <v>145</v>
      </c>
      <c r="E53" s="6" t="s">
        <v>45</v>
      </c>
      <c r="F53" s="6" t="s">
        <v>44</v>
      </c>
      <c r="G53" s="6" t="s">
        <v>45</v>
      </c>
      <c r="H53" s="7">
        <v>2.003</v>
      </c>
      <c r="I53" s="6" t="s">
        <v>60</v>
      </c>
      <c r="J53" s="6" t="s">
        <v>61</v>
      </c>
      <c r="K53" s="11" t="s">
        <v>62</v>
      </c>
      <c r="L53" s="8">
        <v>0.0</v>
      </c>
      <c r="M53" s="8">
        <v>0.0</v>
      </c>
      <c r="N53" s="8">
        <v>0.0</v>
      </c>
      <c r="O53" s="8">
        <v>0.0</v>
      </c>
      <c r="P53" s="8">
        <v>0.0</v>
      </c>
      <c r="Q53" s="8">
        <v>0.0</v>
      </c>
      <c r="R53" s="8">
        <v>0.0</v>
      </c>
      <c r="S53" s="8">
        <v>0.0</v>
      </c>
      <c r="T53" s="8">
        <v>1.0</v>
      </c>
      <c r="U53" s="8">
        <v>0.0</v>
      </c>
      <c r="V53" s="6" t="s">
        <v>63</v>
      </c>
      <c r="W53" s="7" t="s">
        <v>57</v>
      </c>
      <c r="X53" s="10" t="s">
        <v>35</v>
      </c>
      <c r="Y53" s="7">
        <v>19.331</v>
      </c>
      <c r="Z53" s="11">
        <v>96.0</v>
      </c>
      <c r="AA53" s="11">
        <v>0.0</v>
      </c>
      <c r="AB53" s="11">
        <v>0.0</v>
      </c>
      <c r="AC53" s="11">
        <v>68.0</v>
      </c>
      <c r="AD53" s="11">
        <v>2.0</v>
      </c>
      <c r="AE53" s="11">
        <v>10.0</v>
      </c>
      <c r="AF53" s="11">
        <v>65.0</v>
      </c>
      <c r="AG53" s="11">
        <v>28.0</v>
      </c>
      <c r="AH53" s="11">
        <v>1.0</v>
      </c>
      <c r="AI53" s="11">
        <v>69.0</v>
      </c>
      <c r="AJ53" s="11">
        <v>79.0</v>
      </c>
      <c r="AK53" s="11">
        <v>2.0</v>
      </c>
      <c r="AL53" s="11">
        <v>0.0</v>
      </c>
      <c r="AM53" s="11">
        <v>1.0</v>
      </c>
      <c r="AN53" s="11">
        <v>1.0</v>
      </c>
      <c r="AO53" s="11">
        <v>0.0</v>
      </c>
      <c r="AP53" s="11">
        <v>0.0</v>
      </c>
    </row>
    <row r="54" ht="12.0" customHeight="1">
      <c r="A54" s="3">
        <f t="shared" si="1"/>
        <v>53</v>
      </c>
      <c r="B54" s="11" t="s">
        <v>146</v>
      </c>
      <c r="C54" s="3" t="s">
        <v>140</v>
      </c>
      <c r="D54" s="3" t="s">
        <v>147</v>
      </c>
      <c r="E54" s="6" t="s">
        <v>44</v>
      </c>
      <c r="F54" s="6" t="s">
        <v>44</v>
      </c>
      <c r="G54" s="6" t="s">
        <v>45</v>
      </c>
      <c r="H54" s="7">
        <v>16.925</v>
      </c>
      <c r="I54" s="6" t="s">
        <v>53</v>
      </c>
      <c r="J54" s="6" t="s">
        <v>61</v>
      </c>
      <c r="K54" s="11" t="s">
        <v>138</v>
      </c>
      <c r="L54" s="8">
        <v>0.0</v>
      </c>
      <c r="M54" s="8">
        <v>1.0</v>
      </c>
      <c r="N54" s="8">
        <v>0.0</v>
      </c>
      <c r="O54" s="8">
        <v>0.0</v>
      </c>
      <c r="P54" s="8">
        <v>0.0</v>
      </c>
      <c r="Q54" s="8">
        <v>0.0</v>
      </c>
      <c r="R54" s="8">
        <v>0.0</v>
      </c>
      <c r="S54" s="8">
        <v>0.0</v>
      </c>
      <c r="T54" s="8">
        <v>0.0</v>
      </c>
      <c r="U54" s="8">
        <v>0.0</v>
      </c>
      <c r="V54" s="6" t="s">
        <v>56</v>
      </c>
      <c r="W54" s="7" t="s">
        <v>57</v>
      </c>
      <c r="X54" s="10" t="s">
        <v>35</v>
      </c>
      <c r="Y54" s="7">
        <v>37.684</v>
      </c>
      <c r="Z54" s="11">
        <v>33.0</v>
      </c>
      <c r="AA54" s="11">
        <v>0.0</v>
      </c>
      <c r="AB54" s="11">
        <v>0.0</v>
      </c>
      <c r="AC54" s="11">
        <v>97.0</v>
      </c>
      <c r="AD54" s="11">
        <v>0.0</v>
      </c>
      <c r="AE54" s="11">
        <v>23.0</v>
      </c>
      <c r="AF54" s="11">
        <v>56.0</v>
      </c>
      <c r="AG54" s="11">
        <v>11.0</v>
      </c>
      <c r="AH54" s="11">
        <v>0.0</v>
      </c>
      <c r="AI54" s="11">
        <v>15.0</v>
      </c>
      <c r="AJ54" s="11">
        <v>149.0</v>
      </c>
      <c r="AK54" s="11">
        <v>2.0</v>
      </c>
      <c r="AL54" s="11">
        <v>0.0</v>
      </c>
      <c r="AM54" s="11">
        <v>1.0</v>
      </c>
      <c r="AN54" s="11">
        <v>1.0</v>
      </c>
      <c r="AO54" s="11">
        <v>0.0</v>
      </c>
      <c r="AP54" s="11">
        <v>0.0</v>
      </c>
    </row>
    <row r="55" ht="12.0" customHeight="1">
      <c r="A55" s="3">
        <f t="shared" si="1"/>
        <v>54</v>
      </c>
      <c r="B55" s="11" t="s">
        <v>148</v>
      </c>
      <c r="C55" s="3" t="s">
        <v>149</v>
      </c>
      <c r="D55" s="3" t="s">
        <v>150</v>
      </c>
      <c r="E55" s="6" t="s">
        <v>44</v>
      </c>
      <c r="F55" s="6" t="s">
        <v>44</v>
      </c>
      <c r="G55" s="6" t="s">
        <v>45</v>
      </c>
      <c r="H55" s="7">
        <v>36.687</v>
      </c>
      <c r="I55" s="6" t="s">
        <v>53</v>
      </c>
      <c r="J55" s="6" t="s">
        <v>61</v>
      </c>
      <c r="K55" s="11" t="s">
        <v>62</v>
      </c>
      <c r="L55" s="8">
        <v>0.0</v>
      </c>
      <c r="M55" s="8">
        <v>1.0</v>
      </c>
      <c r="N55" s="8">
        <v>0.0</v>
      </c>
      <c r="O55" s="8">
        <v>0.0</v>
      </c>
      <c r="P55" s="8">
        <v>0.0</v>
      </c>
      <c r="Q55" s="8">
        <v>0.0</v>
      </c>
      <c r="R55" s="8">
        <v>0.0</v>
      </c>
      <c r="S55" s="8">
        <v>0.0</v>
      </c>
      <c r="T55" s="8">
        <v>0.0</v>
      </c>
      <c r="U55" s="8">
        <v>0.0</v>
      </c>
      <c r="V55" s="6" t="s">
        <v>63</v>
      </c>
      <c r="W55" s="7" t="s">
        <v>57</v>
      </c>
      <c r="X55" s="10" t="s">
        <v>35</v>
      </c>
      <c r="Y55" s="7">
        <v>94.705</v>
      </c>
      <c r="Z55" s="11">
        <v>111.0</v>
      </c>
      <c r="AA55" s="11">
        <v>0.0</v>
      </c>
      <c r="AB55" s="11">
        <v>0.0</v>
      </c>
      <c r="AC55" s="11">
        <v>159.0</v>
      </c>
      <c r="AD55" s="11">
        <v>0.0</v>
      </c>
      <c r="AE55" s="11">
        <v>28.0</v>
      </c>
      <c r="AF55" s="11">
        <v>136.0</v>
      </c>
      <c r="AG55" s="11">
        <v>38.0</v>
      </c>
      <c r="AH55" s="11">
        <v>5.0</v>
      </c>
      <c r="AI55" s="11">
        <v>39.0</v>
      </c>
      <c r="AJ55" s="11">
        <v>277.0</v>
      </c>
      <c r="AK55" s="11">
        <v>15.0</v>
      </c>
      <c r="AL55" s="11">
        <v>3.0</v>
      </c>
      <c r="AM55" s="11">
        <v>4.0</v>
      </c>
      <c r="AN55" s="11">
        <v>3.0</v>
      </c>
      <c r="AO55" s="11">
        <v>0.0</v>
      </c>
      <c r="AP55" s="11">
        <v>0.0</v>
      </c>
    </row>
    <row r="56" ht="12.0" customHeight="1">
      <c r="A56" s="3">
        <f t="shared" si="1"/>
        <v>55</v>
      </c>
      <c r="B56" s="11" t="s">
        <v>151</v>
      </c>
      <c r="C56" s="3" t="s">
        <v>152</v>
      </c>
      <c r="E56" s="6" t="s">
        <v>45</v>
      </c>
      <c r="F56" s="6" t="s">
        <v>44</v>
      </c>
      <c r="G56" s="6" t="s">
        <v>45</v>
      </c>
      <c r="H56" s="7">
        <v>2.501</v>
      </c>
      <c r="I56" s="6" t="s">
        <v>53</v>
      </c>
      <c r="J56" s="6" t="s">
        <v>61</v>
      </c>
      <c r="K56" s="11" t="s">
        <v>77</v>
      </c>
      <c r="L56" s="8">
        <v>0.0</v>
      </c>
      <c r="M56" s="8">
        <v>1.0</v>
      </c>
      <c r="N56" s="8">
        <v>0.0</v>
      </c>
      <c r="O56" s="8">
        <v>0.0</v>
      </c>
      <c r="P56" s="8">
        <v>0.0</v>
      </c>
      <c r="Q56" s="8">
        <v>0.0</v>
      </c>
      <c r="R56" s="8">
        <v>0.0</v>
      </c>
      <c r="S56" s="8">
        <v>0.0</v>
      </c>
      <c r="T56" s="8">
        <v>0.0</v>
      </c>
      <c r="U56" s="8">
        <v>0.0</v>
      </c>
      <c r="V56" s="6" t="s">
        <v>63</v>
      </c>
      <c r="W56" s="7" t="s">
        <v>57</v>
      </c>
      <c r="X56" s="10" t="s">
        <v>35</v>
      </c>
      <c r="Y56" s="7">
        <v>21.52</v>
      </c>
      <c r="Z56" s="11">
        <v>83.0</v>
      </c>
      <c r="AA56" s="11">
        <v>24.0</v>
      </c>
      <c r="AB56" s="11">
        <v>71.0</v>
      </c>
      <c r="AC56" s="11">
        <v>68.0</v>
      </c>
      <c r="AD56" s="11">
        <v>2.0</v>
      </c>
      <c r="AE56" s="11">
        <v>10.0</v>
      </c>
      <c r="AF56" s="11">
        <v>72.0</v>
      </c>
      <c r="AG56" s="11">
        <v>21.0</v>
      </c>
      <c r="AH56" s="11">
        <v>1.0</v>
      </c>
      <c r="AI56" s="11">
        <v>54.0</v>
      </c>
      <c r="AJ56" s="11">
        <v>93.0</v>
      </c>
      <c r="AK56" s="11">
        <v>12.0</v>
      </c>
      <c r="AL56" s="11">
        <v>0.0</v>
      </c>
      <c r="AM56" s="11">
        <v>3.0</v>
      </c>
      <c r="AN56" s="11">
        <v>1.0</v>
      </c>
      <c r="AO56" s="11">
        <v>2.0</v>
      </c>
      <c r="AP56" s="11">
        <v>0.0</v>
      </c>
    </row>
    <row r="57" ht="12.0" customHeight="1">
      <c r="A57" s="3">
        <f t="shared" si="1"/>
        <v>56</v>
      </c>
      <c r="B57" s="11" t="s">
        <v>153</v>
      </c>
      <c r="C57" s="3" t="s">
        <v>150</v>
      </c>
      <c r="D57" s="3" t="s">
        <v>154</v>
      </c>
      <c r="E57" s="6" t="s">
        <v>44</v>
      </c>
      <c r="F57" s="6" t="s">
        <v>44</v>
      </c>
      <c r="G57" s="6" t="s">
        <v>45</v>
      </c>
      <c r="H57" s="7">
        <v>18.068</v>
      </c>
      <c r="I57" s="6" t="s">
        <v>53</v>
      </c>
      <c r="J57" s="6" t="s">
        <v>54</v>
      </c>
      <c r="K57" s="11" t="s">
        <v>55</v>
      </c>
      <c r="L57" s="8">
        <v>0.0</v>
      </c>
      <c r="M57" s="8">
        <v>1.0</v>
      </c>
      <c r="N57" s="8">
        <v>0.0</v>
      </c>
      <c r="O57" s="8">
        <v>0.0</v>
      </c>
      <c r="P57" s="8">
        <v>0.0</v>
      </c>
      <c r="Q57" s="8">
        <v>0.0</v>
      </c>
      <c r="R57" s="8">
        <v>0.0</v>
      </c>
      <c r="S57" s="8">
        <v>0.0</v>
      </c>
      <c r="T57" s="8">
        <v>0.0</v>
      </c>
      <c r="U57" s="8">
        <v>0.0</v>
      </c>
      <c r="V57" s="6" t="s">
        <v>49</v>
      </c>
      <c r="W57" s="7" t="s">
        <v>57</v>
      </c>
      <c r="X57" s="10" t="s">
        <v>35</v>
      </c>
      <c r="Y57" s="7">
        <v>39.92</v>
      </c>
      <c r="Z57" s="11">
        <v>6.0</v>
      </c>
      <c r="AA57" s="11">
        <v>0.0</v>
      </c>
      <c r="AB57" s="11">
        <v>4.0</v>
      </c>
      <c r="AC57" s="11">
        <v>115.0</v>
      </c>
      <c r="AD57" s="11">
        <v>0.0</v>
      </c>
      <c r="AE57" s="11">
        <v>29.0</v>
      </c>
      <c r="AF57" s="11">
        <v>35.0</v>
      </c>
      <c r="AG57" s="11">
        <v>7.0</v>
      </c>
      <c r="AH57" s="11">
        <v>1.0</v>
      </c>
      <c r="AI57" s="11">
        <v>11.0</v>
      </c>
      <c r="AJ57" s="11">
        <v>107.0</v>
      </c>
      <c r="AK57" s="11">
        <v>4.0</v>
      </c>
      <c r="AL57" s="11">
        <v>0.0</v>
      </c>
      <c r="AM57" s="11">
        <v>5.0</v>
      </c>
      <c r="AN57" s="11">
        <v>0.0</v>
      </c>
      <c r="AO57" s="11">
        <v>0.0</v>
      </c>
      <c r="AP57" s="11">
        <v>0.0</v>
      </c>
    </row>
    <row r="58" ht="12.0" customHeight="1">
      <c r="A58" s="3">
        <f t="shared" si="1"/>
        <v>57</v>
      </c>
      <c r="B58" s="11" t="s">
        <v>155</v>
      </c>
      <c r="C58" s="3" t="s">
        <v>156</v>
      </c>
      <c r="E58" s="6" t="s">
        <v>45</v>
      </c>
      <c r="F58" s="6" t="s">
        <v>45</v>
      </c>
      <c r="G58" s="6" t="s">
        <v>45</v>
      </c>
      <c r="H58" s="7">
        <v>3.086</v>
      </c>
      <c r="I58" s="6" t="s">
        <v>53</v>
      </c>
      <c r="J58" s="6" t="s">
        <v>61</v>
      </c>
      <c r="K58" s="11" t="s">
        <v>55</v>
      </c>
      <c r="L58" s="8">
        <v>0.0</v>
      </c>
      <c r="M58" s="8">
        <v>1.0</v>
      </c>
      <c r="N58" s="8">
        <v>0.0</v>
      </c>
      <c r="O58" s="8">
        <v>0.0</v>
      </c>
      <c r="P58" s="8">
        <v>0.0</v>
      </c>
      <c r="Q58" s="8">
        <v>0.0</v>
      </c>
      <c r="R58" s="8">
        <v>0.0</v>
      </c>
      <c r="S58" s="8">
        <v>0.0</v>
      </c>
      <c r="T58" s="8">
        <v>0.0</v>
      </c>
      <c r="U58" s="8">
        <v>0.0</v>
      </c>
      <c r="V58" s="6" t="s">
        <v>63</v>
      </c>
      <c r="W58" s="7" t="s">
        <v>57</v>
      </c>
      <c r="X58" s="10" t="s">
        <v>35</v>
      </c>
      <c r="Y58" s="7">
        <v>46.919</v>
      </c>
      <c r="Z58" s="11">
        <v>187.0</v>
      </c>
      <c r="AA58" s="11">
        <v>0.0</v>
      </c>
      <c r="AB58" s="11">
        <v>4.0</v>
      </c>
      <c r="AC58" s="11">
        <v>115.0</v>
      </c>
      <c r="AD58" s="11">
        <v>5.0</v>
      </c>
      <c r="AE58" s="11">
        <v>28.0</v>
      </c>
      <c r="AF58" s="11">
        <v>92.0</v>
      </c>
      <c r="AG58" s="11">
        <v>2.0</v>
      </c>
      <c r="AH58" s="11">
        <v>1.0</v>
      </c>
      <c r="AI58" s="11">
        <v>121.0</v>
      </c>
      <c r="AJ58" s="11">
        <v>103.0</v>
      </c>
      <c r="AK58" s="11">
        <v>1.0</v>
      </c>
      <c r="AL58" s="11">
        <v>0.0</v>
      </c>
      <c r="AM58" s="11">
        <v>3.0</v>
      </c>
      <c r="AN58" s="11">
        <v>0.0</v>
      </c>
      <c r="AO58" s="11">
        <v>0.0</v>
      </c>
      <c r="AP58" s="11">
        <v>0.0</v>
      </c>
    </row>
    <row r="59" ht="12.0" customHeight="1">
      <c r="A59" s="3">
        <f t="shared" si="1"/>
        <v>58</v>
      </c>
      <c r="B59" s="11">
        <v>127.0</v>
      </c>
      <c r="C59" s="11" t="s">
        <v>157</v>
      </c>
      <c r="D59" s="3" t="s">
        <v>154</v>
      </c>
      <c r="E59" s="6" t="s">
        <v>44</v>
      </c>
      <c r="F59" s="6" t="s">
        <v>45</v>
      </c>
      <c r="G59" s="6" t="s">
        <v>44</v>
      </c>
      <c r="H59" s="7">
        <v>61.834</v>
      </c>
      <c r="I59" s="6" t="s">
        <v>53</v>
      </c>
      <c r="J59" s="6" t="s">
        <v>61</v>
      </c>
      <c r="K59" s="11" t="s">
        <v>55</v>
      </c>
      <c r="L59" s="8">
        <v>0.0</v>
      </c>
      <c r="M59" s="8">
        <f>16/60</f>
        <v>0.2666666667</v>
      </c>
      <c r="N59" s="8">
        <f>18/60</f>
        <v>0.3</v>
      </c>
      <c r="O59" s="8">
        <f>14/60</f>
        <v>0.2333333333</v>
      </c>
      <c r="P59" s="8">
        <f>8/60</f>
        <v>0.1333333333</v>
      </c>
      <c r="Q59" s="8">
        <f>2/60</f>
        <v>0.03333333333</v>
      </c>
      <c r="R59" s="8">
        <v>0.0</v>
      </c>
      <c r="S59" s="8">
        <v>0.0</v>
      </c>
      <c r="T59" s="8">
        <f>2/60</f>
        <v>0.03333333333</v>
      </c>
      <c r="U59" s="8">
        <v>0.0</v>
      </c>
      <c r="V59" s="6" t="s">
        <v>49</v>
      </c>
      <c r="W59" s="7" t="s">
        <v>57</v>
      </c>
      <c r="X59" s="10" t="s">
        <v>35</v>
      </c>
      <c r="Y59" s="7">
        <v>132.459</v>
      </c>
      <c r="Z59" s="11">
        <v>158.0</v>
      </c>
      <c r="AA59" s="11">
        <v>0.0</v>
      </c>
      <c r="AB59" s="11">
        <v>0.0</v>
      </c>
      <c r="AC59" s="11">
        <v>266.0</v>
      </c>
      <c r="AD59" s="11">
        <v>1.0</v>
      </c>
      <c r="AE59" s="11">
        <v>71.0</v>
      </c>
      <c r="AF59" s="11">
        <v>165.0</v>
      </c>
      <c r="AG59" s="11">
        <v>43.0</v>
      </c>
      <c r="AH59" s="11">
        <v>10.0</v>
      </c>
      <c r="AI59" s="11">
        <v>51.0</v>
      </c>
      <c r="AJ59" s="11">
        <v>388.0</v>
      </c>
      <c r="AK59" s="11">
        <v>12.0</v>
      </c>
      <c r="AL59" s="11">
        <v>2.0</v>
      </c>
      <c r="AM59" s="11">
        <v>8.0</v>
      </c>
      <c r="AN59" s="11">
        <v>3.0</v>
      </c>
      <c r="AO59" s="11">
        <v>0.0</v>
      </c>
      <c r="AP59" s="11">
        <v>0.0</v>
      </c>
    </row>
    <row r="60" ht="12.0" customHeight="1">
      <c r="A60" s="3">
        <f t="shared" si="1"/>
        <v>59</v>
      </c>
      <c r="B60" s="11">
        <v>817.0</v>
      </c>
      <c r="C60" s="3" t="s">
        <v>158</v>
      </c>
      <c r="E60" s="6" t="s">
        <v>45</v>
      </c>
      <c r="F60" s="6" t="s">
        <v>44</v>
      </c>
      <c r="G60" s="6" t="s">
        <v>44</v>
      </c>
      <c r="H60" s="7">
        <v>15.66</v>
      </c>
      <c r="I60" s="6" t="s">
        <v>53</v>
      </c>
      <c r="J60" s="6" t="s">
        <v>61</v>
      </c>
      <c r="K60" s="11" t="s">
        <v>55</v>
      </c>
      <c r="L60" s="8">
        <v>0.0</v>
      </c>
      <c r="M60" s="8">
        <v>0.0</v>
      </c>
      <c r="N60" s="8">
        <v>0.35</v>
      </c>
      <c r="O60" s="8">
        <v>0.25</v>
      </c>
      <c r="P60" s="8">
        <v>0.0</v>
      </c>
      <c r="Q60" s="8">
        <v>0.0</v>
      </c>
      <c r="R60" s="8">
        <v>0.0</v>
      </c>
      <c r="S60" s="8">
        <v>0.0</v>
      </c>
      <c r="T60" s="8">
        <v>0.4</v>
      </c>
      <c r="U60" s="8">
        <v>0.0</v>
      </c>
      <c r="V60" s="6" t="s">
        <v>49</v>
      </c>
      <c r="W60" s="7" t="s">
        <v>57</v>
      </c>
      <c r="X60" s="10" t="s">
        <v>35</v>
      </c>
      <c r="Y60" s="7">
        <v>53.807</v>
      </c>
      <c r="Z60" s="11">
        <v>39.0</v>
      </c>
      <c r="AA60" s="11">
        <v>25.0</v>
      </c>
      <c r="AB60" s="11">
        <v>0.0</v>
      </c>
      <c r="AC60" s="11">
        <v>100.0</v>
      </c>
      <c r="AD60" s="11">
        <v>1.0</v>
      </c>
      <c r="AE60" s="11">
        <v>84.0</v>
      </c>
      <c r="AF60" s="11">
        <v>62.0</v>
      </c>
      <c r="AG60" s="11">
        <v>0.0</v>
      </c>
      <c r="AH60" s="11">
        <v>0.0</v>
      </c>
      <c r="AI60" s="11">
        <v>120.0</v>
      </c>
      <c r="AJ60" s="11">
        <v>88.0</v>
      </c>
      <c r="AK60" s="11">
        <v>2.0</v>
      </c>
      <c r="AL60" s="11">
        <v>1.0</v>
      </c>
      <c r="AM60" s="11">
        <v>0.0</v>
      </c>
      <c r="AN60" s="11">
        <v>0.0</v>
      </c>
      <c r="AO60" s="11">
        <v>0.0</v>
      </c>
      <c r="AP60" s="11">
        <v>0.0</v>
      </c>
    </row>
    <row r="61" ht="12.0" customHeight="1">
      <c r="A61" s="3">
        <f t="shared" si="1"/>
        <v>60</v>
      </c>
      <c r="B61" s="11">
        <v>120.0</v>
      </c>
      <c r="C61" s="3" t="s">
        <v>154</v>
      </c>
      <c r="D61" s="3" t="s">
        <v>159</v>
      </c>
      <c r="E61" s="6" t="s">
        <v>44</v>
      </c>
      <c r="F61" s="6" t="s">
        <v>45</v>
      </c>
      <c r="G61" s="6" t="s">
        <v>45</v>
      </c>
      <c r="H61" s="7">
        <v>19.919</v>
      </c>
      <c r="I61" s="6" t="s">
        <v>53</v>
      </c>
      <c r="J61" s="6" t="s">
        <v>47</v>
      </c>
      <c r="K61" s="11" t="s">
        <v>48</v>
      </c>
      <c r="L61" s="8">
        <v>0.0</v>
      </c>
      <c r="M61" s="8">
        <f>7/21</f>
        <v>0.3333333333</v>
      </c>
      <c r="N61" s="8">
        <f>3/21</f>
        <v>0.1428571429</v>
      </c>
      <c r="O61" s="8">
        <f>7/21</f>
        <v>0.3333333333</v>
      </c>
      <c r="P61" s="8">
        <f>4/21</f>
        <v>0.1904761905</v>
      </c>
      <c r="Q61" s="8">
        <v>0.0</v>
      </c>
      <c r="R61" s="8">
        <v>0.0</v>
      </c>
      <c r="S61" s="8">
        <v>0.0</v>
      </c>
      <c r="T61" s="8">
        <v>0.0</v>
      </c>
      <c r="U61" s="8">
        <v>0.0</v>
      </c>
      <c r="V61" s="6" t="s">
        <v>49</v>
      </c>
      <c r="W61" s="7" t="s">
        <v>57</v>
      </c>
      <c r="X61" s="10" t="s">
        <v>35</v>
      </c>
      <c r="Y61" s="7">
        <v>41.743</v>
      </c>
      <c r="Z61" s="11">
        <v>12.0</v>
      </c>
      <c r="AA61" s="11">
        <v>1.0</v>
      </c>
      <c r="AB61" s="11">
        <v>0.0</v>
      </c>
      <c r="AC61" s="11">
        <v>101.0</v>
      </c>
      <c r="AD61" s="11">
        <v>0.0</v>
      </c>
      <c r="AE61" s="11">
        <v>24.0</v>
      </c>
      <c r="AF61" s="11">
        <v>48.0</v>
      </c>
      <c r="AG61" s="11">
        <v>4.0</v>
      </c>
      <c r="AH61" s="11">
        <v>2.0</v>
      </c>
      <c r="AI61" s="11">
        <v>5.0</v>
      </c>
      <c r="AJ61" s="11">
        <v>119.0</v>
      </c>
      <c r="AK61" s="11">
        <v>2.0</v>
      </c>
      <c r="AL61" s="11">
        <v>1.0</v>
      </c>
      <c r="AM61" s="11">
        <v>1.0</v>
      </c>
      <c r="AN61" s="11">
        <v>1.0</v>
      </c>
      <c r="AO61" s="11">
        <v>0.0</v>
      </c>
      <c r="AP61" s="11">
        <v>0.0</v>
      </c>
    </row>
    <row r="62" ht="12.0" customHeight="1">
      <c r="A62" s="3">
        <f t="shared" si="1"/>
        <v>61</v>
      </c>
      <c r="B62" s="11">
        <v>126.0</v>
      </c>
      <c r="C62" s="3" t="s">
        <v>154</v>
      </c>
      <c r="D62" s="3" t="s">
        <v>112</v>
      </c>
      <c r="E62" s="6" t="s">
        <v>44</v>
      </c>
      <c r="F62" s="6" t="s">
        <v>45</v>
      </c>
      <c r="G62" s="6" t="s">
        <v>45</v>
      </c>
      <c r="H62" s="7">
        <v>8.342</v>
      </c>
      <c r="I62" s="6" t="s">
        <v>53</v>
      </c>
      <c r="J62" s="6" t="s">
        <v>61</v>
      </c>
      <c r="K62" s="11" t="s">
        <v>62</v>
      </c>
      <c r="L62" s="8">
        <v>0.0</v>
      </c>
      <c r="M62" s="8">
        <v>1.0</v>
      </c>
      <c r="N62" s="8">
        <v>0.0</v>
      </c>
      <c r="O62" s="8">
        <v>0.0</v>
      </c>
      <c r="P62" s="8">
        <v>0.0</v>
      </c>
      <c r="Q62" s="8">
        <v>0.0</v>
      </c>
      <c r="R62" s="8">
        <v>0.0</v>
      </c>
      <c r="S62" s="8">
        <v>0.0</v>
      </c>
      <c r="T62" s="8">
        <v>0.0</v>
      </c>
      <c r="U62" s="8">
        <v>0.0</v>
      </c>
      <c r="V62" s="6" t="s">
        <v>49</v>
      </c>
      <c r="W62" s="7" t="s">
        <v>133</v>
      </c>
      <c r="X62" s="10" t="s">
        <v>35</v>
      </c>
      <c r="Y62" s="7">
        <v>13.547</v>
      </c>
      <c r="Z62" s="11">
        <v>15.0</v>
      </c>
      <c r="AA62" s="11">
        <v>0.0</v>
      </c>
      <c r="AB62" s="11">
        <v>44.0</v>
      </c>
      <c r="AC62" s="11">
        <v>63.0</v>
      </c>
      <c r="AD62" s="11">
        <v>0.0</v>
      </c>
      <c r="AE62" s="11">
        <v>7.0</v>
      </c>
      <c r="AF62" s="11">
        <v>9.0</v>
      </c>
      <c r="AG62" s="11">
        <v>1.0</v>
      </c>
      <c r="AH62" s="11">
        <v>0.0</v>
      </c>
      <c r="AI62" s="11">
        <v>0.0</v>
      </c>
      <c r="AJ62" s="11">
        <v>55.0</v>
      </c>
      <c r="AK62" s="11">
        <v>1.0</v>
      </c>
      <c r="AL62" s="11">
        <v>0.0</v>
      </c>
      <c r="AM62" s="11">
        <v>0.0</v>
      </c>
      <c r="AN62" s="11">
        <v>0.0</v>
      </c>
      <c r="AO62" s="11">
        <v>0.0</v>
      </c>
      <c r="AP62" s="11">
        <v>0.0</v>
      </c>
    </row>
    <row r="63" ht="12.0" customHeight="1">
      <c r="A63" s="3">
        <f t="shared" si="1"/>
        <v>62</v>
      </c>
      <c r="B63" s="11" t="s">
        <v>160</v>
      </c>
      <c r="C63" s="3" t="s">
        <v>159</v>
      </c>
      <c r="D63" s="11" t="s">
        <v>161</v>
      </c>
      <c r="E63" s="6" t="s">
        <v>44</v>
      </c>
      <c r="F63" s="6" t="s">
        <v>45</v>
      </c>
      <c r="G63" s="6" t="s">
        <v>45</v>
      </c>
      <c r="H63" s="7">
        <v>10.912</v>
      </c>
      <c r="I63" s="6" t="s">
        <v>53</v>
      </c>
      <c r="J63" s="6" t="s">
        <v>61</v>
      </c>
      <c r="K63" s="11" t="s">
        <v>77</v>
      </c>
      <c r="L63" s="8">
        <v>0.0</v>
      </c>
      <c r="M63" s="8">
        <v>0.0</v>
      </c>
      <c r="N63" s="8">
        <v>0.0</v>
      </c>
      <c r="O63" s="8">
        <f>4/16</f>
        <v>0.25</v>
      </c>
      <c r="P63" s="8">
        <f>3/16</f>
        <v>0.1875</v>
      </c>
      <c r="Q63" s="8">
        <v>0.0</v>
      </c>
      <c r="R63" s="8">
        <v>0.0</v>
      </c>
      <c r="S63" s="8">
        <v>0.0</v>
      </c>
      <c r="T63" s="8">
        <f>9/16</f>
        <v>0.5625</v>
      </c>
      <c r="U63" s="8">
        <v>0.0</v>
      </c>
      <c r="V63" s="6" t="s">
        <v>56</v>
      </c>
      <c r="W63" s="7" t="s">
        <v>57</v>
      </c>
      <c r="X63" s="10" t="s">
        <v>35</v>
      </c>
      <c r="Y63" s="7">
        <v>24.362</v>
      </c>
      <c r="Z63" s="11">
        <v>159.0</v>
      </c>
      <c r="AA63" s="11">
        <v>9.0</v>
      </c>
      <c r="AB63" s="11">
        <v>31.0</v>
      </c>
      <c r="AC63" s="11">
        <v>88.0</v>
      </c>
      <c r="AD63" s="11">
        <v>0.0</v>
      </c>
      <c r="AE63" s="11">
        <v>21.0</v>
      </c>
      <c r="AF63" s="11">
        <v>99.0</v>
      </c>
      <c r="AG63" s="11">
        <v>34.0</v>
      </c>
      <c r="AH63" s="11">
        <v>2.0</v>
      </c>
      <c r="AI63" s="11">
        <v>55.0</v>
      </c>
      <c r="AJ63" s="11">
        <v>160.0</v>
      </c>
      <c r="AK63" s="11">
        <v>9.0</v>
      </c>
      <c r="AL63" s="11">
        <v>1.0</v>
      </c>
      <c r="AM63" s="11">
        <v>7.0</v>
      </c>
      <c r="AN63" s="11">
        <v>0.0</v>
      </c>
      <c r="AO63" s="11">
        <v>1.0</v>
      </c>
      <c r="AP63" s="11">
        <v>0.0</v>
      </c>
    </row>
    <row r="64" ht="12.0" customHeight="1">
      <c r="A64" s="3">
        <f t="shared" si="1"/>
        <v>63</v>
      </c>
      <c r="B64" s="11">
        <v>118.0</v>
      </c>
      <c r="C64" s="3" t="s">
        <v>162</v>
      </c>
      <c r="D64" s="3" t="s">
        <v>163</v>
      </c>
      <c r="E64" s="6" t="s">
        <v>44</v>
      </c>
      <c r="F64" s="6" t="s">
        <v>44</v>
      </c>
      <c r="G64" s="6" t="s">
        <v>44</v>
      </c>
      <c r="H64" s="7">
        <v>24.797</v>
      </c>
      <c r="I64" s="6" t="s">
        <v>46</v>
      </c>
      <c r="J64" s="6" t="s">
        <v>54</v>
      </c>
      <c r="K64" s="11" t="s">
        <v>77</v>
      </c>
      <c r="L64" s="8">
        <f>5/50</f>
        <v>0.1</v>
      </c>
      <c r="M64" s="8">
        <v>0.0</v>
      </c>
      <c r="N64" s="8">
        <f>2/50</f>
        <v>0.04</v>
      </c>
      <c r="O64" s="8">
        <v>0.0</v>
      </c>
      <c r="P64" s="8">
        <v>0.0</v>
      </c>
      <c r="Q64" s="8">
        <f>43/50</f>
        <v>0.86</v>
      </c>
      <c r="R64" s="8">
        <v>0.0</v>
      </c>
      <c r="S64" s="8">
        <v>0.0</v>
      </c>
      <c r="T64" s="8">
        <v>0.0</v>
      </c>
      <c r="U64" s="8">
        <v>0.0</v>
      </c>
      <c r="V64" s="6" t="s">
        <v>49</v>
      </c>
      <c r="W64" s="7" t="s">
        <v>57</v>
      </c>
      <c r="X64" s="10" t="s">
        <v>35</v>
      </c>
      <c r="Y64" s="7">
        <v>55.554</v>
      </c>
      <c r="Z64" s="11">
        <v>90.0</v>
      </c>
      <c r="AA64" s="11">
        <v>0.0</v>
      </c>
      <c r="AB64" s="11">
        <v>0.0</v>
      </c>
      <c r="AC64" s="11">
        <v>240.0</v>
      </c>
      <c r="AD64" s="11">
        <v>0.0</v>
      </c>
      <c r="AE64" s="11">
        <v>34.0</v>
      </c>
      <c r="AF64" s="11">
        <v>96.0</v>
      </c>
      <c r="AG64" s="11">
        <v>28.0</v>
      </c>
      <c r="AH64" s="11">
        <v>10.0</v>
      </c>
      <c r="AI64" s="11">
        <v>17.0</v>
      </c>
      <c r="AJ64" s="11">
        <v>173.0</v>
      </c>
      <c r="AK64" s="11">
        <v>11.0</v>
      </c>
      <c r="AL64" s="11">
        <v>2.0</v>
      </c>
      <c r="AM64" s="11">
        <v>11.0</v>
      </c>
      <c r="AN64" s="11">
        <v>0.0</v>
      </c>
      <c r="AO64" s="11">
        <v>0.0</v>
      </c>
      <c r="AP64" s="11">
        <v>0.0</v>
      </c>
    </row>
    <row r="65" ht="12.0" customHeight="1">
      <c r="A65" s="3">
        <f t="shared" si="1"/>
        <v>64</v>
      </c>
      <c r="B65" s="11" t="s">
        <v>164</v>
      </c>
      <c r="C65" s="3" t="s">
        <v>163</v>
      </c>
      <c r="D65" s="3" t="s">
        <v>165</v>
      </c>
      <c r="E65" s="6" t="s">
        <v>44</v>
      </c>
      <c r="F65" s="6" t="s">
        <v>44</v>
      </c>
      <c r="G65" s="6" t="s">
        <v>45</v>
      </c>
      <c r="H65" s="7">
        <v>37.099</v>
      </c>
      <c r="I65" s="6" t="s">
        <v>53</v>
      </c>
      <c r="J65" s="6" t="s">
        <v>61</v>
      </c>
      <c r="K65" s="11" t="s">
        <v>166</v>
      </c>
      <c r="L65" s="8">
        <v>0.0</v>
      </c>
      <c r="M65" s="8">
        <v>0.0</v>
      </c>
      <c r="N65" s="8">
        <v>0.0</v>
      </c>
      <c r="O65" s="8">
        <f>35/45</f>
        <v>0.7777777778</v>
      </c>
      <c r="P65" s="8">
        <f>1/45</f>
        <v>0.02222222222</v>
      </c>
      <c r="Q65" s="8">
        <f>9/45</f>
        <v>0.2</v>
      </c>
      <c r="R65" s="8">
        <v>0.0</v>
      </c>
      <c r="S65" s="8">
        <v>0.0</v>
      </c>
      <c r="T65" s="8">
        <v>0.0</v>
      </c>
      <c r="U65" s="8">
        <v>0.0</v>
      </c>
      <c r="V65" s="6" t="s">
        <v>49</v>
      </c>
      <c r="W65" s="7" t="s">
        <v>50</v>
      </c>
      <c r="X65" s="10" t="s">
        <v>26</v>
      </c>
      <c r="Y65" s="7">
        <v>72.326</v>
      </c>
      <c r="Z65" s="11">
        <v>100.0</v>
      </c>
      <c r="AA65" s="11">
        <v>198.0</v>
      </c>
      <c r="AB65" s="11">
        <v>0.0</v>
      </c>
      <c r="AC65" s="11">
        <v>156.0</v>
      </c>
      <c r="AD65" s="11">
        <v>0.0</v>
      </c>
      <c r="AE65" s="11">
        <v>36.0</v>
      </c>
      <c r="AF65" s="11">
        <v>62.0</v>
      </c>
      <c r="AG65" s="11">
        <v>4.0</v>
      </c>
      <c r="AH65" s="11">
        <v>6.0</v>
      </c>
      <c r="AI65" s="11">
        <v>11.0</v>
      </c>
      <c r="AJ65" s="11">
        <v>93.0</v>
      </c>
      <c r="AK65" s="11">
        <v>4.0</v>
      </c>
      <c r="AL65" s="11">
        <v>3.0</v>
      </c>
      <c r="AM65" s="11">
        <v>7.0</v>
      </c>
      <c r="AN65" s="11">
        <v>3.0</v>
      </c>
      <c r="AO65" s="11">
        <v>0.0</v>
      </c>
      <c r="AP65" s="11">
        <v>0.0</v>
      </c>
    </row>
    <row r="66" ht="12.0" customHeight="1">
      <c r="A66" s="3">
        <f t="shared" si="1"/>
        <v>65</v>
      </c>
      <c r="B66" s="11" t="s">
        <v>167</v>
      </c>
      <c r="C66" s="3" t="s">
        <v>168</v>
      </c>
      <c r="D66" s="11" t="s">
        <v>169</v>
      </c>
      <c r="E66" s="6" t="s">
        <v>44</v>
      </c>
      <c r="F66" s="6" t="s">
        <v>44</v>
      </c>
      <c r="G66" s="6" t="s">
        <v>45</v>
      </c>
      <c r="H66" s="7">
        <v>15.555</v>
      </c>
      <c r="I66" s="6" t="s">
        <v>105</v>
      </c>
      <c r="J66" s="6" t="s">
        <v>61</v>
      </c>
      <c r="K66" s="11" t="s">
        <v>166</v>
      </c>
      <c r="L66" s="8">
        <v>0.0</v>
      </c>
      <c r="M66" s="8">
        <v>0.0</v>
      </c>
      <c r="N66" s="8">
        <v>0.0</v>
      </c>
      <c r="O66" s="8">
        <v>0.1</v>
      </c>
      <c r="P66" s="8">
        <v>0.0</v>
      </c>
      <c r="Q66" s="8">
        <v>0.0</v>
      </c>
      <c r="R66" s="8">
        <v>0.0</v>
      </c>
      <c r="S66" s="8">
        <v>0.0</v>
      </c>
      <c r="T66" s="8">
        <v>0.9</v>
      </c>
      <c r="U66" s="8">
        <v>0.0</v>
      </c>
      <c r="V66" s="6" t="s">
        <v>49</v>
      </c>
      <c r="W66" s="7" t="s">
        <v>57</v>
      </c>
      <c r="X66" s="10" t="s">
        <v>35</v>
      </c>
      <c r="Y66" s="7">
        <v>126.664</v>
      </c>
      <c r="Z66" s="11">
        <v>289.0</v>
      </c>
      <c r="AA66" s="11">
        <v>0.0</v>
      </c>
      <c r="AB66" s="11">
        <v>620.0</v>
      </c>
      <c r="AC66" s="11">
        <v>320.0</v>
      </c>
      <c r="AD66" s="11">
        <v>16.0</v>
      </c>
      <c r="AE66" s="11">
        <v>101.0</v>
      </c>
      <c r="AF66" s="11">
        <v>482.0</v>
      </c>
      <c r="AG66" s="11">
        <v>166.0</v>
      </c>
      <c r="AH66" s="11">
        <v>6.0</v>
      </c>
      <c r="AI66" s="11">
        <v>345.0</v>
      </c>
      <c r="AJ66" s="11">
        <v>643.0</v>
      </c>
      <c r="AK66" s="11">
        <v>16.0</v>
      </c>
      <c r="AL66" s="11">
        <v>0.0</v>
      </c>
      <c r="AM66" s="11">
        <v>4.0</v>
      </c>
      <c r="AN66" s="11">
        <v>5.0</v>
      </c>
      <c r="AO66" s="11">
        <v>6.0</v>
      </c>
      <c r="AP66" s="11">
        <v>0.0</v>
      </c>
    </row>
    <row r="67" ht="12.0" customHeight="1">
      <c r="A67" s="3">
        <f t="shared" si="1"/>
        <v>66</v>
      </c>
      <c r="B67" s="11" t="s">
        <v>170</v>
      </c>
      <c r="C67" s="3" t="s">
        <v>171</v>
      </c>
      <c r="E67" s="6" t="s">
        <v>45</v>
      </c>
      <c r="F67" s="6" t="s">
        <v>44</v>
      </c>
      <c r="G67" s="6" t="s">
        <v>45</v>
      </c>
      <c r="H67" s="7">
        <v>4.998</v>
      </c>
      <c r="I67" s="6" t="s">
        <v>53</v>
      </c>
      <c r="J67" s="6" t="s">
        <v>61</v>
      </c>
      <c r="K67" s="11" t="s">
        <v>138</v>
      </c>
      <c r="L67" s="8">
        <v>0.0</v>
      </c>
      <c r="M67" s="8">
        <v>0.0</v>
      </c>
      <c r="N67" s="8">
        <v>0.0</v>
      </c>
      <c r="O67" s="8">
        <v>0.0</v>
      </c>
      <c r="P67" s="8">
        <v>0.0</v>
      </c>
      <c r="Q67" s="8">
        <v>0.0</v>
      </c>
      <c r="R67" s="8">
        <v>0.0</v>
      </c>
      <c r="S67" s="8">
        <v>0.0</v>
      </c>
      <c r="T67" s="8">
        <v>1.0</v>
      </c>
      <c r="U67" s="8">
        <v>0.0</v>
      </c>
      <c r="V67" s="6" t="s">
        <v>63</v>
      </c>
      <c r="W67" s="7" t="s">
        <v>57</v>
      </c>
      <c r="X67" s="10" t="s">
        <v>35</v>
      </c>
      <c r="Y67" s="7">
        <v>51.575</v>
      </c>
      <c r="Z67" s="11">
        <v>193.0</v>
      </c>
      <c r="AA67" s="11">
        <v>42.0</v>
      </c>
      <c r="AB67" s="11">
        <v>0.0</v>
      </c>
      <c r="AC67" s="11">
        <v>128.0</v>
      </c>
      <c r="AD67" s="11">
        <v>7.0</v>
      </c>
      <c r="AE67" s="11">
        <v>55.0</v>
      </c>
      <c r="AF67" s="11">
        <v>176.0</v>
      </c>
      <c r="AG67" s="11">
        <v>62.0</v>
      </c>
      <c r="AH67" s="11">
        <v>2.0</v>
      </c>
      <c r="AI67" s="11">
        <v>122.0</v>
      </c>
      <c r="AJ67" s="11">
        <v>220.0</v>
      </c>
      <c r="AK67" s="11">
        <v>15.0</v>
      </c>
      <c r="AL67" s="11">
        <v>0.0</v>
      </c>
      <c r="AM67" s="11">
        <v>4.0</v>
      </c>
      <c r="AN67" s="11">
        <v>0.0</v>
      </c>
      <c r="AO67" s="11">
        <v>0.0</v>
      </c>
      <c r="AP67" s="11">
        <v>0.0</v>
      </c>
    </row>
    <row r="68" ht="12.0" customHeight="1">
      <c r="A68" s="3">
        <f t="shared" si="1"/>
        <v>67</v>
      </c>
      <c r="B68" s="11" t="s">
        <v>172</v>
      </c>
      <c r="C68" s="3" t="s">
        <v>168</v>
      </c>
      <c r="D68" s="3" t="s">
        <v>173</v>
      </c>
      <c r="E68" s="6" t="s">
        <v>44</v>
      </c>
      <c r="F68" s="6" t="s">
        <v>44</v>
      </c>
      <c r="G68" s="6" t="s">
        <v>45</v>
      </c>
      <c r="H68" s="7">
        <v>23.284</v>
      </c>
      <c r="I68" s="6" t="s">
        <v>53</v>
      </c>
      <c r="J68" s="6" t="s">
        <v>61</v>
      </c>
      <c r="K68" s="11" t="s">
        <v>174</v>
      </c>
      <c r="L68" s="8">
        <v>0.0</v>
      </c>
      <c r="M68" s="8">
        <f>10/40</f>
        <v>0.25</v>
      </c>
      <c r="N68" s="8">
        <v>0.0</v>
      </c>
      <c r="O68" s="8">
        <v>0.0</v>
      </c>
      <c r="P68" s="8">
        <v>0.0</v>
      </c>
      <c r="Q68" s="8">
        <v>0.0</v>
      </c>
      <c r="R68" s="8">
        <v>0.0</v>
      </c>
      <c r="S68" s="8">
        <v>0.0</v>
      </c>
      <c r="T68" s="8">
        <f>30/40</f>
        <v>0.75</v>
      </c>
      <c r="U68" s="8">
        <v>0.0</v>
      </c>
      <c r="V68" s="6" t="s">
        <v>49</v>
      </c>
      <c r="W68" s="7" t="s">
        <v>57</v>
      </c>
      <c r="X68" s="10" t="s">
        <v>35</v>
      </c>
      <c r="Y68" s="7">
        <v>57.372</v>
      </c>
      <c r="Z68" s="11">
        <v>21.0</v>
      </c>
      <c r="AA68" s="11">
        <v>105.0</v>
      </c>
      <c r="AB68" s="11">
        <v>1199.0</v>
      </c>
      <c r="AC68" s="11">
        <v>641.0</v>
      </c>
      <c r="AD68" s="11">
        <v>16.0</v>
      </c>
      <c r="AE68" s="11">
        <v>0.0</v>
      </c>
      <c r="AF68" s="11">
        <v>627.0</v>
      </c>
      <c r="AG68" s="11">
        <v>77.0</v>
      </c>
      <c r="AH68" s="11">
        <v>0.0</v>
      </c>
      <c r="AI68" s="11">
        <v>884.0</v>
      </c>
      <c r="AJ68" s="11">
        <v>164.0</v>
      </c>
      <c r="AK68" s="11">
        <v>20.0</v>
      </c>
      <c r="AL68" s="11">
        <v>2.0</v>
      </c>
      <c r="AM68" s="11">
        <v>9.0</v>
      </c>
      <c r="AN68" s="11">
        <v>18.0</v>
      </c>
      <c r="AO68" s="11">
        <v>1.0</v>
      </c>
      <c r="AP68" s="11">
        <v>0.0</v>
      </c>
    </row>
    <row r="69" ht="12.0" customHeight="1">
      <c r="A69" s="3">
        <f t="shared" si="1"/>
        <v>68</v>
      </c>
      <c r="B69" s="11">
        <v>112.0</v>
      </c>
      <c r="C69" s="3" t="s">
        <v>168</v>
      </c>
      <c r="D69" s="3" t="s">
        <v>175</v>
      </c>
      <c r="E69" s="6" t="s">
        <v>44</v>
      </c>
      <c r="F69" s="6" t="s">
        <v>44</v>
      </c>
      <c r="G69" s="6" t="s">
        <v>44</v>
      </c>
      <c r="H69" s="7">
        <v>20.419</v>
      </c>
      <c r="I69" s="6" t="s">
        <v>105</v>
      </c>
      <c r="J69" s="6" t="s">
        <v>61</v>
      </c>
      <c r="K69" s="11" t="s">
        <v>166</v>
      </c>
      <c r="L69" s="8">
        <f>2/20</f>
        <v>0.1</v>
      </c>
      <c r="M69" s="8">
        <v>0.0</v>
      </c>
      <c r="N69" s="8">
        <v>0.0</v>
      </c>
      <c r="O69" s="8">
        <v>0.0</v>
      </c>
      <c r="P69" s="8">
        <v>0.0</v>
      </c>
      <c r="Q69" s="8">
        <v>0.15</v>
      </c>
      <c r="R69" s="8">
        <v>0.0</v>
      </c>
      <c r="S69" s="8">
        <v>0.1</v>
      </c>
      <c r="T69" s="8">
        <f>13/20</f>
        <v>0.65</v>
      </c>
      <c r="U69" s="8">
        <v>0.0</v>
      </c>
      <c r="V69" s="6" t="s">
        <v>63</v>
      </c>
      <c r="W69" s="7" t="s">
        <v>57</v>
      </c>
      <c r="X69" s="10" t="s">
        <v>35</v>
      </c>
      <c r="Y69" s="7">
        <v>68.617</v>
      </c>
      <c r="Z69" s="11">
        <v>50.0</v>
      </c>
      <c r="AA69" s="11">
        <v>0.0</v>
      </c>
      <c r="AB69" s="11">
        <v>0.0</v>
      </c>
      <c r="AC69" s="11">
        <v>108.0</v>
      </c>
      <c r="AD69" s="11">
        <v>0.0</v>
      </c>
      <c r="AE69" s="11">
        <v>22.0</v>
      </c>
      <c r="AF69" s="11">
        <v>113.0</v>
      </c>
      <c r="AG69" s="11">
        <v>84.0</v>
      </c>
      <c r="AH69" s="11">
        <v>4.0</v>
      </c>
      <c r="AI69" s="11">
        <v>22.0</v>
      </c>
      <c r="AJ69" s="11">
        <v>135.0</v>
      </c>
      <c r="AK69" s="11">
        <v>12.0</v>
      </c>
      <c r="AL69" s="11">
        <v>0.0</v>
      </c>
      <c r="AM69" s="11">
        <v>13.0</v>
      </c>
      <c r="AN69" s="11">
        <v>1.0</v>
      </c>
      <c r="AO69" s="11">
        <v>6.0</v>
      </c>
      <c r="AP69" s="11">
        <v>0.0</v>
      </c>
    </row>
    <row r="70" ht="12.0" customHeight="1">
      <c r="A70" s="3">
        <f t="shared" si="1"/>
        <v>69</v>
      </c>
      <c r="B70" s="11" t="s">
        <v>176</v>
      </c>
      <c r="C70" s="3" t="s">
        <v>177</v>
      </c>
      <c r="E70" s="6" t="s">
        <v>45</v>
      </c>
      <c r="F70" s="6" t="s">
        <v>44</v>
      </c>
      <c r="G70" s="6" t="s">
        <v>44</v>
      </c>
      <c r="H70" s="7">
        <v>1.839</v>
      </c>
      <c r="I70" s="6" t="s">
        <v>105</v>
      </c>
      <c r="J70" s="6" t="s">
        <v>61</v>
      </c>
      <c r="K70" s="11" t="s">
        <v>166</v>
      </c>
      <c r="L70" s="8">
        <v>0.0</v>
      </c>
      <c r="M70" s="8">
        <v>0.0</v>
      </c>
      <c r="N70" s="8">
        <v>0.0</v>
      </c>
      <c r="O70" s="8">
        <v>0.0</v>
      </c>
      <c r="P70" s="8">
        <v>0.0</v>
      </c>
      <c r="Q70" s="8">
        <v>0.0</v>
      </c>
      <c r="R70" s="8">
        <v>0.0</v>
      </c>
      <c r="S70" s="8">
        <v>0.45</v>
      </c>
      <c r="T70" s="8">
        <v>0.55</v>
      </c>
      <c r="U70" s="8">
        <v>0.0</v>
      </c>
      <c r="V70" s="6" t="s">
        <v>63</v>
      </c>
      <c r="W70" s="7" t="s">
        <v>57</v>
      </c>
      <c r="X70" s="10" t="s">
        <v>35</v>
      </c>
      <c r="Y70" s="7">
        <v>36.263</v>
      </c>
      <c r="Z70" s="11">
        <v>192.0</v>
      </c>
      <c r="AA70" s="11">
        <v>34.0</v>
      </c>
      <c r="AB70" s="11">
        <v>0.0</v>
      </c>
      <c r="AC70" s="11">
        <v>106.0</v>
      </c>
      <c r="AD70" s="11">
        <v>18.0</v>
      </c>
      <c r="AE70" s="11">
        <v>33.0</v>
      </c>
      <c r="AF70" s="11">
        <v>114.0</v>
      </c>
      <c r="AG70" s="11">
        <v>7.0</v>
      </c>
      <c r="AH70" s="11">
        <v>2.0</v>
      </c>
      <c r="AI70" s="11">
        <v>148.0</v>
      </c>
      <c r="AJ70" s="11">
        <v>159.0</v>
      </c>
      <c r="AK70" s="11">
        <v>8.0</v>
      </c>
      <c r="AL70" s="11">
        <v>0.0</v>
      </c>
      <c r="AM70" s="11">
        <v>0.0</v>
      </c>
      <c r="AN70" s="11">
        <v>0.0</v>
      </c>
      <c r="AO70" s="11">
        <v>0.0</v>
      </c>
      <c r="AP70" s="11">
        <v>0.0</v>
      </c>
    </row>
    <row r="71" ht="12.0" customHeight="1">
      <c r="A71" s="3">
        <f t="shared" si="1"/>
        <v>70</v>
      </c>
      <c r="B71" s="11" t="s">
        <v>178</v>
      </c>
      <c r="C71" s="3" t="s">
        <v>179</v>
      </c>
      <c r="D71" s="3" t="s">
        <v>180</v>
      </c>
      <c r="E71" s="6" t="s">
        <v>44</v>
      </c>
      <c r="F71" s="6" t="s">
        <v>44</v>
      </c>
      <c r="G71" s="6" t="s">
        <v>44</v>
      </c>
      <c r="H71" s="7">
        <v>15.316</v>
      </c>
      <c r="I71" s="6" t="s">
        <v>105</v>
      </c>
      <c r="J71" s="6" t="s">
        <v>61</v>
      </c>
      <c r="K71" s="11" t="s">
        <v>62</v>
      </c>
      <c r="L71" s="8">
        <f>10/15</f>
        <v>0.6666666667</v>
      </c>
      <c r="M71" s="8">
        <f>1/15</f>
        <v>0.06666666667</v>
      </c>
      <c r="N71" s="8">
        <v>0.0</v>
      </c>
      <c r="O71" s="8">
        <f>1/15</f>
        <v>0.06666666667</v>
      </c>
      <c r="P71" s="8">
        <v>0.0</v>
      </c>
      <c r="Q71" s="8">
        <v>0.0</v>
      </c>
      <c r="R71" s="8">
        <v>0.0</v>
      </c>
      <c r="S71" s="8">
        <v>0.0</v>
      </c>
      <c r="T71" s="8">
        <f>3/15</f>
        <v>0.2</v>
      </c>
      <c r="U71" s="8">
        <v>0.0</v>
      </c>
      <c r="V71" s="6" t="s">
        <v>63</v>
      </c>
      <c r="W71" s="7" t="s">
        <v>57</v>
      </c>
      <c r="X71" s="10" t="s">
        <v>35</v>
      </c>
      <c r="Y71" s="7">
        <v>73.98</v>
      </c>
      <c r="Z71" s="11">
        <v>215.0</v>
      </c>
      <c r="AA71" s="11">
        <v>0.0</v>
      </c>
      <c r="AB71" s="11">
        <v>0.0</v>
      </c>
      <c r="AC71" s="11">
        <v>163.0</v>
      </c>
      <c r="AD71" s="11">
        <v>6.0</v>
      </c>
      <c r="AE71" s="11">
        <v>4.0</v>
      </c>
      <c r="AF71" s="11">
        <v>183.0</v>
      </c>
      <c r="AG71" s="11">
        <v>53.0</v>
      </c>
      <c r="AH71" s="11">
        <v>5.0</v>
      </c>
      <c r="AI71" s="11">
        <v>79.0</v>
      </c>
      <c r="AJ71" s="11">
        <v>219.0</v>
      </c>
      <c r="AK71" s="11">
        <v>18.0</v>
      </c>
      <c r="AL71" s="11">
        <v>0.0</v>
      </c>
      <c r="AM71" s="11">
        <v>3.0</v>
      </c>
      <c r="AN71" s="11">
        <v>0.0</v>
      </c>
      <c r="AO71" s="11">
        <v>1.0</v>
      </c>
      <c r="AP71" s="11">
        <v>0.0</v>
      </c>
    </row>
    <row r="72" ht="12.0" customHeight="1">
      <c r="A72" s="3">
        <f t="shared" si="1"/>
        <v>71</v>
      </c>
      <c r="B72" s="11">
        <v>107.0</v>
      </c>
      <c r="C72" s="3" t="s">
        <v>181</v>
      </c>
      <c r="D72" s="3" t="s">
        <v>182</v>
      </c>
      <c r="E72" s="6" t="s">
        <v>44</v>
      </c>
      <c r="F72" s="6" t="s">
        <v>44</v>
      </c>
      <c r="G72" s="6" t="s">
        <v>44</v>
      </c>
      <c r="H72" s="7">
        <v>13.14</v>
      </c>
      <c r="I72" s="6" t="s">
        <v>53</v>
      </c>
      <c r="J72" s="6" t="s">
        <v>61</v>
      </c>
      <c r="K72" s="11" t="s">
        <v>138</v>
      </c>
      <c r="L72" s="8">
        <f>1/24</f>
        <v>0.04166666667</v>
      </c>
      <c r="M72" s="8">
        <v>0.0</v>
      </c>
      <c r="N72" s="8">
        <v>0.0</v>
      </c>
      <c r="O72" s="8">
        <f>8/24</f>
        <v>0.3333333333</v>
      </c>
      <c r="P72" s="8">
        <f>2/24</f>
        <v>0.08333333333</v>
      </c>
      <c r="Q72" s="8">
        <f>6/24</f>
        <v>0.25</v>
      </c>
      <c r="R72" s="8">
        <v>0.0</v>
      </c>
      <c r="S72" s="8">
        <v>0.0</v>
      </c>
      <c r="T72" s="8">
        <f>7/24</f>
        <v>0.2916666667</v>
      </c>
      <c r="U72" s="8">
        <v>0.0</v>
      </c>
      <c r="V72" s="6" t="s">
        <v>63</v>
      </c>
      <c r="W72" s="7" t="s">
        <v>57</v>
      </c>
      <c r="X72" s="10" t="s">
        <v>35</v>
      </c>
      <c r="Y72" s="7">
        <v>54.315</v>
      </c>
      <c r="Z72" s="11">
        <v>16.0</v>
      </c>
      <c r="AA72" s="11">
        <v>0.0</v>
      </c>
      <c r="AB72" s="11">
        <v>2.0</v>
      </c>
      <c r="AC72" s="11">
        <v>87.0</v>
      </c>
      <c r="AD72" s="11">
        <v>1.0</v>
      </c>
      <c r="AE72" s="11">
        <v>16.0</v>
      </c>
      <c r="AF72" s="11">
        <v>82.0</v>
      </c>
      <c r="AG72" s="11">
        <v>25.0</v>
      </c>
      <c r="AH72" s="11">
        <v>5.0</v>
      </c>
      <c r="AI72" s="11">
        <v>23.0</v>
      </c>
      <c r="AJ72" s="11">
        <v>108.0</v>
      </c>
      <c r="AK72" s="11">
        <v>17.0</v>
      </c>
      <c r="AL72" s="11">
        <v>3.0</v>
      </c>
      <c r="AM72" s="11">
        <v>9.0</v>
      </c>
      <c r="AN72" s="11">
        <v>2.0</v>
      </c>
      <c r="AO72" s="11">
        <v>0.0</v>
      </c>
      <c r="AP72" s="11">
        <v>0.0</v>
      </c>
    </row>
    <row r="73" ht="12.0" customHeight="1">
      <c r="A73" s="3">
        <f t="shared" si="1"/>
        <v>72</v>
      </c>
      <c r="B73" s="11" t="s">
        <v>183</v>
      </c>
      <c r="C73" s="3" t="s">
        <v>168</v>
      </c>
      <c r="D73" s="3" t="s">
        <v>182</v>
      </c>
      <c r="E73" s="6" t="s">
        <v>44</v>
      </c>
      <c r="F73" s="6" t="s">
        <v>44</v>
      </c>
      <c r="G73" s="6" t="s">
        <v>44</v>
      </c>
      <c r="H73" s="7">
        <v>16.601</v>
      </c>
      <c r="I73" s="6" t="s">
        <v>53</v>
      </c>
      <c r="J73" s="6" t="s">
        <v>61</v>
      </c>
      <c r="K73" s="11" t="s">
        <v>138</v>
      </c>
      <c r="L73" s="8">
        <f>14/17</f>
        <v>0.8235294118</v>
      </c>
      <c r="M73" s="8">
        <v>0.0</v>
      </c>
      <c r="N73" s="8">
        <v>0.0</v>
      </c>
      <c r="O73" s="8">
        <v>0.0</v>
      </c>
      <c r="P73" s="8">
        <v>0.0</v>
      </c>
      <c r="Q73" s="8">
        <f>3/17</f>
        <v>0.1764705882</v>
      </c>
      <c r="R73" s="8">
        <v>0.0</v>
      </c>
      <c r="S73" s="8">
        <v>0.0</v>
      </c>
      <c r="T73" s="8">
        <v>0.0</v>
      </c>
      <c r="U73" s="8">
        <v>0.0</v>
      </c>
      <c r="V73" s="6" t="s">
        <v>63</v>
      </c>
      <c r="W73" s="7" t="s">
        <v>57</v>
      </c>
      <c r="X73" s="10" t="s">
        <v>35</v>
      </c>
      <c r="Y73" s="7">
        <v>45.654</v>
      </c>
      <c r="Z73" s="11">
        <v>21.0</v>
      </c>
      <c r="AA73" s="11">
        <v>8.0</v>
      </c>
      <c r="AB73" s="11">
        <v>15.0</v>
      </c>
      <c r="AC73" s="11">
        <v>118.0</v>
      </c>
      <c r="AD73" s="11">
        <v>0.0</v>
      </c>
      <c r="AE73" s="11">
        <v>14.0</v>
      </c>
      <c r="AF73" s="11">
        <v>83.0</v>
      </c>
      <c r="AG73" s="11">
        <v>37.0</v>
      </c>
      <c r="AH73" s="11">
        <v>4.0</v>
      </c>
      <c r="AI73" s="11">
        <v>60.0</v>
      </c>
      <c r="AJ73" s="11">
        <v>116.0</v>
      </c>
      <c r="AK73" s="11">
        <v>23.0</v>
      </c>
      <c r="AL73" s="11">
        <v>1.0</v>
      </c>
      <c r="AM73" s="11">
        <v>10.0</v>
      </c>
      <c r="AN73" s="11">
        <v>0.0</v>
      </c>
      <c r="AO73" s="11">
        <v>0.0</v>
      </c>
      <c r="AP73" s="11">
        <v>0.0</v>
      </c>
    </row>
    <row r="74" ht="12.0" customHeight="1">
      <c r="A74" s="3">
        <f t="shared" si="1"/>
        <v>73</v>
      </c>
      <c r="B74" s="11" t="s">
        <v>184</v>
      </c>
      <c r="C74" s="3" t="s">
        <v>185</v>
      </c>
      <c r="D74" s="3" t="s">
        <v>142</v>
      </c>
      <c r="E74" s="6" t="s">
        <v>44</v>
      </c>
      <c r="F74" s="6" t="s">
        <v>44</v>
      </c>
      <c r="G74" s="6" t="s">
        <v>44</v>
      </c>
      <c r="H74" s="7">
        <v>35.103</v>
      </c>
      <c r="I74" s="6" t="s">
        <v>53</v>
      </c>
      <c r="J74" s="6" t="s">
        <v>61</v>
      </c>
      <c r="K74" s="11" t="s">
        <v>77</v>
      </c>
      <c r="L74" s="8">
        <f>16/35</f>
        <v>0.4571428571</v>
      </c>
      <c r="M74" s="8">
        <v>0.0</v>
      </c>
      <c r="N74" s="8">
        <f>2/35</f>
        <v>0.05714285714</v>
      </c>
      <c r="O74" s="8">
        <f>4/35</f>
        <v>0.1142857143</v>
      </c>
      <c r="P74" s="8">
        <v>0.0</v>
      </c>
      <c r="Q74" s="8">
        <f>10/35</f>
        <v>0.2857142857</v>
      </c>
      <c r="R74" s="8">
        <v>0.0</v>
      </c>
      <c r="S74" s="8">
        <v>0.0</v>
      </c>
      <c r="T74" s="8">
        <f>3/35</f>
        <v>0.08571428571</v>
      </c>
      <c r="U74" s="8">
        <v>0.0</v>
      </c>
      <c r="V74" s="6" t="s">
        <v>56</v>
      </c>
      <c r="W74" s="7" t="s">
        <v>57</v>
      </c>
      <c r="X74" s="10" t="s">
        <v>35</v>
      </c>
      <c r="Y74" s="7">
        <v>136.495</v>
      </c>
      <c r="Z74" s="11">
        <v>357.0</v>
      </c>
      <c r="AA74" s="11">
        <v>1.0</v>
      </c>
      <c r="AB74" s="11">
        <v>0.0</v>
      </c>
      <c r="AC74" s="11">
        <v>117.0</v>
      </c>
      <c r="AD74" s="11">
        <v>0.0</v>
      </c>
      <c r="AE74" s="11">
        <v>8.0</v>
      </c>
      <c r="AF74" s="11">
        <v>260.0</v>
      </c>
      <c r="AG74" s="11">
        <v>157.0</v>
      </c>
      <c r="AH74" s="11">
        <v>6.0</v>
      </c>
      <c r="AI74" s="11">
        <v>114.0</v>
      </c>
      <c r="AJ74" s="11">
        <v>350.0</v>
      </c>
      <c r="AK74" s="11">
        <v>33.0</v>
      </c>
      <c r="AL74" s="11">
        <v>0.0</v>
      </c>
      <c r="AM74" s="11">
        <v>19.0</v>
      </c>
      <c r="AN74" s="11">
        <v>0.0</v>
      </c>
      <c r="AO74" s="11">
        <v>0.0</v>
      </c>
      <c r="AP74" s="11">
        <v>1.0</v>
      </c>
    </row>
    <row r="75" ht="12.0" customHeight="1">
      <c r="A75" s="3">
        <f t="shared" si="1"/>
        <v>74</v>
      </c>
      <c r="B75" s="11">
        <v>99.0</v>
      </c>
      <c r="C75" s="3" t="s">
        <v>186</v>
      </c>
      <c r="D75" s="3" t="s">
        <v>187</v>
      </c>
      <c r="E75" s="6" t="s">
        <v>44</v>
      </c>
      <c r="F75" s="6" t="s">
        <v>44</v>
      </c>
      <c r="G75" s="6" t="s">
        <v>44</v>
      </c>
      <c r="H75" s="7">
        <v>6.912</v>
      </c>
      <c r="I75" s="6" t="s">
        <v>53</v>
      </c>
      <c r="J75" s="6" t="s">
        <v>54</v>
      </c>
      <c r="K75" s="11" t="s">
        <v>62</v>
      </c>
      <c r="L75" s="8">
        <f>1.5/6</f>
        <v>0.25</v>
      </c>
      <c r="M75" s="8">
        <v>0.0</v>
      </c>
      <c r="N75" s="8">
        <v>0.0</v>
      </c>
      <c r="O75" s="8">
        <v>0.0</v>
      </c>
      <c r="P75" s="8">
        <v>0.0</v>
      </c>
      <c r="Q75" s="8">
        <f>4.5/6</f>
        <v>0.75</v>
      </c>
      <c r="R75" s="8">
        <v>0.0</v>
      </c>
      <c r="S75" s="8">
        <v>0.0</v>
      </c>
      <c r="T75" s="8">
        <v>0.0</v>
      </c>
      <c r="U75" s="8">
        <v>0.0</v>
      </c>
      <c r="V75" s="6" t="s">
        <v>56</v>
      </c>
      <c r="W75" s="7" t="s">
        <v>57</v>
      </c>
      <c r="X75" s="10" t="s">
        <v>35</v>
      </c>
      <c r="Y75" s="7">
        <v>14.027</v>
      </c>
      <c r="Z75" s="11">
        <v>21.0</v>
      </c>
      <c r="AA75" s="11">
        <v>0.0</v>
      </c>
      <c r="AB75" s="11">
        <v>36.0</v>
      </c>
      <c r="AC75" s="11">
        <v>22.0</v>
      </c>
      <c r="AD75" s="11">
        <v>0.0</v>
      </c>
      <c r="AE75" s="11">
        <v>3.0</v>
      </c>
      <c r="AF75" s="11">
        <v>19.0</v>
      </c>
      <c r="AG75" s="11">
        <v>12.0</v>
      </c>
      <c r="AH75" s="11">
        <v>0.0</v>
      </c>
      <c r="AI75" s="11">
        <v>4.0</v>
      </c>
      <c r="AJ75" s="11">
        <v>36.0</v>
      </c>
      <c r="AK75" s="11">
        <v>3.0</v>
      </c>
      <c r="AL75" s="11">
        <v>0.0</v>
      </c>
      <c r="AM75" s="11">
        <v>0.0</v>
      </c>
      <c r="AN75" s="11">
        <v>0.0</v>
      </c>
      <c r="AO75" s="11">
        <v>0.0</v>
      </c>
      <c r="AP75" s="11">
        <v>0.0</v>
      </c>
    </row>
    <row r="76" ht="12.0" customHeight="1">
      <c r="A76" s="3">
        <f t="shared" si="1"/>
        <v>75</v>
      </c>
      <c r="B76" s="11" t="s">
        <v>188</v>
      </c>
      <c r="C76" s="3" t="s">
        <v>189</v>
      </c>
      <c r="D76" s="3" t="s">
        <v>190</v>
      </c>
      <c r="E76" s="6" t="s">
        <v>44</v>
      </c>
      <c r="F76" s="6" t="s">
        <v>44</v>
      </c>
      <c r="G76" s="6" t="s">
        <v>44</v>
      </c>
      <c r="H76" s="7">
        <v>32.493</v>
      </c>
      <c r="I76" s="6" t="s">
        <v>46</v>
      </c>
      <c r="J76" s="6" t="s">
        <v>61</v>
      </c>
      <c r="K76" s="11" t="s">
        <v>62</v>
      </c>
      <c r="L76" s="8">
        <v>0.0</v>
      </c>
      <c r="M76" s="8">
        <v>0.0</v>
      </c>
      <c r="N76" s="8">
        <v>0.0</v>
      </c>
      <c r="O76" s="8">
        <f>3/32</f>
        <v>0.09375</v>
      </c>
      <c r="P76" s="8">
        <f>16/32</f>
        <v>0.5</v>
      </c>
      <c r="Q76" s="8">
        <f>10/32</f>
        <v>0.3125</v>
      </c>
      <c r="R76" s="8">
        <v>0.0</v>
      </c>
      <c r="S76" s="8">
        <v>0.0</v>
      </c>
      <c r="T76" s="8">
        <f>3/32</f>
        <v>0.09375</v>
      </c>
      <c r="U76" s="8">
        <v>0.0</v>
      </c>
      <c r="V76" s="6" t="s">
        <v>56</v>
      </c>
      <c r="W76" s="7" t="s">
        <v>57</v>
      </c>
      <c r="X76" s="10" t="s">
        <v>35</v>
      </c>
      <c r="Y76" s="7">
        <v>44.659</v>
      </c>
      <c r="Z76" s="11">
        <v>84.0</v>
      </c>
      <c r="AA76" s="11">
        <v>1.0</v>
      </c>
      <c r="AB76" s="11">
        <v>0.0</v>
      </c>
      <c r="AC76" s="11">
        <v>149.0</v>
      </c>
      <c r="AD76" s="11">
        <v>0.0</v>
      </c>
      <c r="AE76" s="11">
        <v>32.0</v>
      </c>
      <c r="AF76" s="11">
        <v>75.0</v>
      </c>
      <c r="AG76" s="11">
        <v>13.0</v>
      </c>
      <c r="AH76" s="11">
        <v>3.0</v>
      </c>
      <c r="AI76" s="11">
        <v>23.0</v>
      </c>
      <c r="AJ76" s="11">
        <v>142.0</v>
      </c>
      <c r="AK76" s="11">
        <v>6.0</v>
      </c>
      <c r="AL76" s="11">
        <v>2.0</v>
      </c>
      <c r="AM76" s="11">
        <v>28.0</v>
      </c>
      <c r="AN76" s="11">
        <v>1.0</v>
      </c>
      <c r="AO76" s="11">
        <v>1.0</v>
      </c>
      <c r="AP76" s="11">
        <v>0.0</v>
      </c>
    </row>
    <row r="77" ht="12.0" customHeight="1">
      <c r="A77" s="3">
        <f t="shared" si="1"/>
        <v>76</v>
      </c>
      <c r="B77" s="11">
        <v>226.0</v>
      </c>
      <c r="C77" s="3" t="s">
        <v>191</v>
      </c>
      <c r="D77" s="3" t="s">
        <v>182</v>
      </c>
      <c r="E77" s="6" t="s">
        <v>44</v>
      </c>
      <c r="F77" s="6" t="s">
        <v>44</v>
      </c>
      <c r="G77" s="6" t="s">
        <v>44</v>
      </c>
      <c r="H77" s="7">
        <v>12.699</v>
      </c>
      <c r="I77" s="6" t="s">
        <v>46</v>
      </c>
      <c r="J77" s="6" t="s">
        <v>47</v>
      </c>
      <c r="K77" s="11" t="s">
        <v>138</v>
      </c>
      <c r="L77" s="8">
        <f>4/12</f>
        <v>0.3333333333</v>
      </c>
      <c r="M77" s="8">
        <v>0.0</v>
      </c>
      <c r="N77" s="8">
        <v>0.0</v>
      </c>
      <c r="O77" s="8">
        <f t="shared" ref="O77:P77" si="3">2/12</f>
        <v>0.1666666667</v>
      </c>
      <c r="P77" s="8">
        <f t="shared" si="3"/>
        <v>0.1666666667</v>
      </c>
      <c r="Q77" s="8">
        <f>4/12</f>
        <v>0.3333333333</v>
      </c>
      <c r="R77" s="8">
        <v>0.0</v>
      </c>
      <c r="S77" s="8">
        <v>0.0</v>
      </c>
      <c r="T77" s="8">
        <v>0.0</v>
      </c>
      <c r="U77" s="8">
        <v>0.0</v>
      </c>
      <c r="V77" s="6" t="s">
        <v>49</v>
      </c>
      <c r="W77" s="7" t="s">
        <v>57</v>
      </c>
      <c r="X77" s="10" t="s">
        <v>35</v>
      </c>
      <c r="Y77" s="7">
        <v>13.753</v>
      </c>
      <c r="Z77" s="11">
        <v>15.0</v>
      </c>
      <c r="AA77" s="11">
        <v>63.0</v>
      </c>
      <c r="AB77" s="11">
        <v>0.0</v>
      </c>
      <c r="AC77" s="11">
        <v>69.0</v>
      </c>
      <c r="AD77" s="11">
        <v>0.0</v>
      </c>
      <c r="AE77" s="11">
        <v>12.0</v>
      </c>
      <c r="AF77" s="11">
        <v>26.0</v>
      </c>
      <c r="AG77" s="11">
        <v>10.0</v>
      </c>
      <c r="AH77" s="11">
        <v>5.0</v>
      </c>
      <c r="AI77" s="11">
        <v>4.0</v>
      </c>
      <c r="AJ77" s="11">
        <v>56.0</v>
      </c>
      <c r="AK77" s="11">
        <v>6.0</v>
      </c>
      <c r="AL77" s="11">
        <v>2.0</v>
      </c>
      <c r="AM77" s="11">
        <v>13.0</v>
      </c>
      <c r="AN77" s="11">
        <v>0.0</v>
      </c>
      <c r="AO77" s="11">
        <v>0.0</v>
      </c>
      <c r="AP77" s="11">
        <v>0.0</v>
      </c>
    </row>
    <row r="78" ht="12.0" customHeight="1">
      <c r="A78" s="3">
        <f t="shared" si="1"/>
        <v>77</v>
      </c>
      <c r="B78" s="11">
        <v>85.0</v>
      </c>
      <c r="C78" s="3" t="s">
        <v>189</v>
      </c>
      <c r="D78" s="3" t="s">
        <v>192</v>
      </c>
      <c r="E78" s="6" t="s">
        <v>44</v>
      </c>
      <c r="F78" s="6" t="s">
        <v>44</v>
      </c>
      <c r="G78" s="6" t="s">
        <v>44</v>
      </c>
      <c r="H78" s="7">
        <v>23.967</v>
      </c>
      <c r="I78" s="6" t="s">
        <v>53</v>
      </c>
      <c r="J78" s="6" t="s">
        <v>61</v>
      </c>
      <c r="K78" s="11" t="s">
        <v>138</v>
      </c>
      <c r="L78" s="8">
        <f>2/23</f>
        <v>0.08695652174</v>
      </c>
      <c r="M78" s="8">
        <f>20/23</f>
        <v>0.8695652174</v>
      </c>
      <c r="N78" s="8">
        <v>0.0</v>
      </c>
      <c r="O78" s="8">
        <f>1/20</f>
        <v>0.05</v>
      </c>
      <c r="P78" s="8">
        <v>0.0</v>
      </c>
      <c r="Q78" s="8">
        <v>0.0</v>
      </c>
      <c r="R78" s="8">
        <v>0.0</v>
      </c>
      <c r="S78" s="8">
        <v>0.0</v>
      </c>
      <c r="T78" s="8">
        <v>0.0</v>
      </c>
      <c r="U78" s="8">
        <v>0.0</v>
      </c>
      <c r="V78" s="6" t="s">
        <v>63</v>
      </c>
      <c r="W78" s="7" t="s">
        <v>57</v>
      </c>
      <c r="X78" s="10" t="s">
        <v>35</v>
      </c>
      <c r="Y78" s="7">
        <v>52.623</v>
      </c>
      <c r="Z78" s="11">
        <v>35.0</v>
      </c>
      <c r="AA78" s="11">
        <v>0.0</v>
      </c>
      <c r="AB78" s="11">
        <v>0.0</v>
      </c>
      <c r="AC78" s="11">
        <v>72.0</v>
      </c>
      <c r="AD78" s="11">
        <v>0.0</v>
      </c>
      <c r="AE78" s="11">
        <v>16.0</v>
      </c>
      <c r="AF78" s="11">
        <v>55.0</v>
      </c>
      <c r="AG78" s="11">
        <v>9.0</v>
      </c>
      <c r="AH78" s="11">
        <v>3.0</v>
      </c>
      <c r="AI78" s="11">
        <v>14.0</v>
      </c>
      <c r="AJ78" s="11">
        <v>135.0</v>
      </c>
      <c r="AK78" s="11">
        <v>4.0</v>
      </c>
      <c r="AL78" s="11">
        <v>0.0</v>
      </c>
      <c r="AM78" s="11">
        <v>13.0</v>
      </c>
      <c r="AN78" s="11">
        <v>0.0</v>
      </c>
      <c r="AO78" s="11">
        <v>0.0</v>
      </c>
      <c r="AP78" s="11">
        <v>0.0</v>
      </c>
    </row>
    <row r="79" ht="12.0" customHeight="1">
      <c r="A79" s="3">
        <f t="shared" si="1"/>
        <v>78</v>
      </c>
      <c r="B79" s="11" t="s">
        <v>193</v>
      </c>
      <c r="C79" s="3" t="s">
        <v>189</v>
      </c>
      <c r="D79" s="3" t="s">
        <v>194</v>
      </c>
      <c r="E79" s="6" t="s">
        <v>44</v>
      </c>
      <c r="F79" s="6" t="s">
        <v>44</v>
      </c>
      <c r="G79" s="6" t="s">
        <v>44</v>
      </c>
      <c r="H79" s="7">
        <v>18.908</v>
      </c>
      <c r="I79" s="6" t="s">
        <v>53</v>
      </c>
      <c r="J79" s="6" t="s">
        <v>61</v>
      </c>
      <c r="K79" s="11" t="s">
        <v>138</v>
      </c>
      <c r="L79" s="8">
        <f t="shared" ref="L79:M79" si="4">1/12</f>
        <v>0.08333333333</v>
      </c>
      <c r="M79" s="8">
        <f t="shared" si="4"/>
        <v>0.08333333333</v>
      </c>
      <c r="N79" s="8">
        <v>0.0</v>
      </c>
      <c r="O79" s="8">
        <f>3/12</f>
        <v>0.25</v>
      </c>
      <c r="P79" s="8">
        <f>8/12</f>
        <v>0.6666666667</v>
      </c>
      <c r="Q79" s="8">
        <v>0.0</v>
      </c>
      <c r="R79" s="8">
        <v>0.0</v>
      </c>
      <c r="S79" s="8">
        <v>0.0</v>
      </c>
      <c r="T79" s="8">
        <v>0.0</v>
      </c>
      <c r="U79" s="8">
        <v>0.0</v>
      </c>
      <c r="V79" s="6" t="s">
        <v>63</v>
      </c>
      <c r="W79" s="7" t="s">
        <v>57</v>
      </c>
      <c r="X79" s="10" t="s">
        <v>35</v>
      </c>
      <c r="Y79" s="7">
        <f>46.268</f>
        <v>46.268</v>
      </c>
      <c r="Z79" s="11">
        <v>255.0</v>
      </c>
      <c r="AA79" s="11">
        <v>38.0</v>
      </c>
      <c r="AB79" s="11">
        <v>61.0</v>
      </c>
      <c r="AC79" s="11">
        <v>268.0</v>
      </c>
      <c r="AD79" s="11">
        <v>1.0</v>
      </c>
      <c r="AE79" s="11">
        <v>37.0</v>
      </c>
      <c r="AF79" s="11">
        <v>219.0</v>
      </c>
      <c r="AG79" s="11">
        <v>93.0</v>
      </c>
      <c r="AH79" s="11">
        <v>4.0</v>
      </c>
      <c r="AI79" s="11">
        <v>82.0</v>
      </c>
      <c r="AJ79" s="11">
        <v>285.0</v>
      </c>
      <c r="AK79" s="11">
        <v>20.0</v>
      </c>
      <c r="AL79" s="11">
        <v>4.0</v>
      </c>
      <c r="AM79" s="11">
        <v>16.0</v>
      </c>
      <c r="AN79" s="11">
        <v>0.0</v>
      </c>
      <c r="AO79" s="11">
        <v>3.0</v>
      </c>
      <c r="AP79" s="11">
        <v>0.0</v>
      </c>
    </row>
    <row r="80" ht="12.0" customHeight="1">
      <c r="A80" s="3">
        <f t="shared" si="1"/>
        <v>79</v>
      </c>
      <c r="B80" s="11">
        <v>527.0</v>
      </c>
      <c r="C80" s="3" t="s">
        <v>195</v>
      </c>
      <c r="E80" s="6" t="s">
        <v>45</v>
      </c>
      <c r="F80" s="6" t="s">
        <v>44</v>
      </c>
      <c r="G80" s="6" t="s">
        <v>44</v>
      </c>
      <c r="H80" s="7">
        <v>2.026</v>
      </c>
      <c r="I80" s="6" t="s">
        <v>53</v>
      </c>
      <c r="J80" s="6" t="s">
        <v>61</v>
      </c>
      <c r="K80" s="11" t="s">
        <v>77</v>
      </c>
      <c r="L80" s="8">
        <v>0.0</v>
      </c>
      <c r="M80" s="8">
        <v>0.0</v>
      </c>
      <c r="N80" s="8">
        <v>0.0</v>
      </c>
      <c r="O80" s="8">
        <v>0.0</v>
      </c>
      <c r="P80" s="8">
        <v>1.0</v>
      </c>
      <c r="Q80" s="8">
        <v>0.0</v>
      </c>
      <c r="R80" s="8">
        <v>0.0</v>
      </c>
      <c r="S80" s="8">
        <v>0.0</v>
      </c>
      <c r="T80" s="8">
        <v>0.0</v>
      </c>
      <c r="U80" s="8">
        <v>0.0</v>
      </c>
      <c r="V80" s="6" t="s">
        <v>63</v>
      </c>
      <c r="W80" s="7" t="s">
        <v>57</v>
      </c>
      <c r="X80" s="10" t="s">
        <v>35</v>
      </c>
      <c r="Y80" s="7">
        <v>20.767</v>
      </c>
      <c r="Z80" s="11">
        <v>109.0</v>
      </c>
      <c r="AA80" s="11">
        <v>0.0</v>
      </c>
      <c r="AB80" s="11">
        <v>0.0</v>
      </c>
      <c r="AC80" s="11">
        <v>73.0</v>
      </c>
      <c r="AD80" s="11">
        <v>5.0</v>
      </c>
      <c r="AE80" s="11">
        <v>12.0</v>
      </c>
      <c r="AF80" s="11">
        <v>65.0</v>
      </c>
      <c r="AG80" s="11">
        <v>7.0</v>
      </c>
      <c r="AH80" s="11">
        <v>1.0</v>
      </c>
      <c r="AI80" s="11">
        <v>78.0</v>
      </c>
      <c r="AJ80" s="11">
        <v>89.0</v>
      </c>
      <c r="AK80" s="11">
        <v>7.0</v>
      </c>
      <c r="AL80" s="11">
        <v>0.0</v>
      </c>
      <c r="AM80" s="11">
        <v>4.0</v>
      </c>
      <c r="AN80" s="11">
        <v>0.0</v>
      </c>
      <c r="AO80" s="11">
        <v>0.0</v>
      </c>
      <c r="AP80" s="11">
        <v>0.0</v>
      </c>
    </row>
    <row r="81" ht="12.0" customHeight="1">
      <c r="A81" s="3">
        <f t="shared" si="1"/>
        <v>80</v>
      </c>
      <c r="B81" s="11">
        <v>83.0</v>
      </c>
      <c r="C81" s="3" t="s">
        <v>192</v>
      </c>
      <c r="D81" s="3" t="s">
        <v>196</v>
      </c>
      <c r="E81" s="6" t="s">
        <v>44</v>
      </c>
      <c r="F81" s="6" t="s">
        <v>44</v>
      </c>
      <c r="G81" s="6" t="s">
        <v>44</v>
      </c>
      <c r="H81" s="7">
        <v>7.064</v>
      </c>
      <c r="I81" s="6" t="s">
        <v>53</v>
      </c>
      <c r="J81" s="6" t="s">
        <v>47</v>
      </c>
      <c r="K81" s="11" t="s">
        <v>77</v>
      </c>
      <c r="L81" s="8">
        <v>0.0</v>
      </c>
      <c r="M81" s="8">
        <v>1.0</v>
      </c>
      <c r="N81" s="8">
        <v>0.0</v>
      </c>
      <c r="O81" s="8">
        <v>0.0</v>
      </c>
      <c r="P81" s="8">
        <v>0.0</v>
      </c>
      <c r="Q81" s="8">
        <v>0.0</v>
      </c>
      <c r="R81" s="8">
        <v>0.0</v>
      </c>
      <c r="S81" s="8">
        <v>0.0</v>
      </c>
      <c r="T81" s="8">
        <v>0.0</v>
      </c>
      <c r="U81" s="8">
        <v>0.0</v>
      </c>
      <c r="V81" s="6" t="s">
        <v>63</v>
      </c>
      <c r="W81" s="7" t="s">
        <v>57</v>
      </c>
      <c r="X81" s="10" t="s">
        <v>35</v>
      </c>
      <c r="Y81" s="7">
        <v>14.742</v>
      </c>
      <c r="Z81" s="11">
        <v>17.0</v>
      </c>
      <c r="AA81" s="11">
        <v>0.0</v>
      </c>
      <c r="AB81" s="11">
        <v>0.0</v>
      </c>
      <c r="AC81" s="11">
        <v>25.0</v>
      </c>
      <c r="AD81" s="11">
        <v>0.0</v>
      </c>
      <c r="AE81" s="11">
        <v>4.0</v>
      </c>
      <c r="AF81" s="11">
        <v>27.0</v>
      </c>
      <c r="AG81" s="11">
        <v>0.0</v>
      </c>
      <c r="AH81" s="11">
        <v>2.0</v>
      </c>
      <c r="AI81" s="11">
        <v>8.0</v>
      </c>
      <c r="AJ81" s="11">
        <v>44.0</v>
      </c>
      <c r="AK81" s="11">
        <v>3.0</v>
      </c>
      <c r="AL81" s="11">
        <v>1.0</v>
      </c>
      <c r="AM81" s="11">
        <v>1.0</v>
      </c>
      <c r="AN81" s="11">
        <v>0.0</v>
      </c>
      <c r="AO81" s="11">
        <v>0.0</v>
      </c>
      <c r="AP81" s="11">
        <v>1.0</v>
      </c>
    </row>
    <row r="82" ht="12.0" customHeight="1">
      <c r="A82" s="3">
        <f t="shared" si="1"/>
        <v>81</v>
      </c>
      <c r="B82" s="11" t="s">
        <v>197</v>
      </c>
      <c r="C82" s="3" t="s">
        <v>192</v>
      </c>
      <c r="D82" s="3" t="s">
        <v>198</v>
      </c>
      <c r="E82" s="6" t="s">
        <v>44</v>
      </c>
      <c r="F82" s="6" t="s">
        <v>44</v>
      </c>
      <c r="G82" s="6" t="s">
        <v>44</v>
      </c>
      <c r="H82" s="7">
        <v>21.656</v>
      </c>
      <c r="I82" s="6" t="s">
        <v>53</v>
      </c>
      <c r="J82" s="6" t="s">
        <v>61</v>
      </c>
      <c r="K82" s="11" t="s">
        <v>138</v>
      </c>
      <c r="L82" s="8">
        <v>0.0</v>
      </c>
      <c r="M82" s="8">
        <f>11/17</f>
        <v>0.6470588235</v>
      </c>
      <c r="N82" s="8">
        <f>2/17</f>
        <v>0.1176470588</v>
      </c>
      <c r="O82" s="8">
        <f>1/17</f>
        <v>0.05882352941</v>
      </c>
      <c r="P82" s="8">
        <f>2/17</f>
        <v>0.1176470588</v>
      </c>
      <c r="Q82" s="8">
        <f>1/17</f>
        <v>0.05882352941</v>
      </c>
      <c r="R82" s="8">
        <v>0.0</v>
      </c>
      <c r="S82" s="8">
        <v>0.0</v>
      </c>
      <c r="T82" s="8">
        <v>0.0</v>
      </c>
      <c r="U82" s="8">
        <v>0.0</v>
      </c>
      <c r="V82" s="6" t="s">
        <v>49</v>
      </c>
      <c r="W82" s="7" t="s">
        <v>57</v>
      </c>
      <c r="X82" s="10" t="s">
        <v>35</v>
      </c>
      <c r="Y82" s="7">
        <v>39.632</v>
      </c>
      <c r="Z82" s="11">
        <v>99.0</v>
      </c>
      <c r="AA82" s="11">
        <v>0.0</v>
      </c>
      <c r="AB82" s="11">
        <v>0.0</v>
      </c>
      <c r="AC82" s="11">
        <v>115.0</v>
      </c>
      <c r="AD82" s="11">
        <v>0.0</v>
      </c>
      <c r="AE82" s="11">
        <v>35.0</v>
      </c>
      <c r="AF82" s="11">
        <v>100.0</v>
      </c>
      <c r="AG82" s="11">
        <v>43.0</v>
      </c>
      <c r="AH82" s="11">
        <v>6.0</v>
      </c>
      <c r="AI82" s="11">
        <v>122.0</v>
      </c>
      <c r="AJ82" s="11">
        <v>182.0</v>
      </c>
      <c r="AK82" s="11">
        <v>6.0</v>
      </c>
      <c r="AL82" s="11">
        <v>1.0</v>
      </c>
      <c r="AM82" s="11">
        <v>3.0</v>
      </c>
      <c r="AN82" s="11">
        <v>3.0</v>
      </c>
      <c r="AO82" s="11">
        <v>1.0</v>
      </c>
      <c r="AP82" s="11">
        <v>0.0</v>
      </c>
    </row>
    <row r="83" ht="12.0" customHeight="1">
      <c r="A83" s="3">
        <f t="shared" si="1"/>
        <v>82</v>
      </c>
      <c r="B83" s="11" t="s">
        <v>199</v>
      </c>
      <c r="C83" s="3" t="s">
        <v>192</v>
      </c>
      <c r="D83" s="3" t="s">
        <v>200</v>
      </c>
      <c r="E83" s="6" t="s">
        <v>44</v>
      </c>
      <c r="F83" s="6" t="s">
        <v>44</v>
      </c>
      <c r="G83" s="6" t="s">
        <v>44</v>
      </c>
      <c r="H83" s="7">
        <v>13.105</v>
      </c>
      <c r="I83" s="6" t="s">
        <v>53</v>
      </c>
      <c r="J83" s="6" t="s">
        <v>61</v>
      </c>
      <c r="K83" s="11" t="s">
        <v>138</v>
      </c>
      <c r="L83" s="8">
        <f>7/14</f>
        <v>0.5</v>
      </c>
      <c r="M83" s="8">
        <f>2/14</f>
        <v>0.1428571429</v>
      </c>
      <c r="N83" s="8">
        <v>0.0</v>
      </c>
      <c r="O83" s="8">
        <v>0.0</v>
      </c>
      <c r="P83" s="8">
        <v>0.0</v>
      </c>
      <c r="Q83" s="8">
        <v>0.0</v>
      </c>
      <c r="R83" s="8">
        <v>0.0</v>
      </c>
      <c r="S83" s="8">
        <v>0.0</v>
      </c>
      <c r="T83" s="8">
        <f>5/14</f>
        <v>0.3571428571</v>
      </c>
      <c r="U83" s="8">
        <v>0.0</v>
      </c>
      <c r="V83" s="6" t="s">
        <v>56</v>
      </c>
      <c r="W83" s="7" t="s">
        <v>57</v>
      </c>
      <c r="X83" s="10" t="s">
        <v>35</v>
      </c>
      <c r="Y83" s="7">
        <v>27.687</v>
      </c>
      <c r="Z83" s="11">
        <v>21.0</v>
      </c>
      <c r="AA83" s="11">
        <v>0.0</v>
      </c>
      <c r="AB83" s="11">
        <v>0.0</v>
      </c>
      <c r="AC83" s="11">
        <v>71.0</v>
      </c>
      <c r="AD83" s="11">
        <v>0.0</v>
      </c>
      <c r="AE83" s="11">
        <v>15.0</v>
      </c>
      <c r="AF83" s="11">
        <v>43.0</v>
      </c>
      <c r="AG83" s="11">
        <v>21.0</v>
      </c>
      <c r="AH83" s="11">
        <v>2.0</v>
      </c>
      <c r="AI83" s="11">
        <v>37.0</v>
      </c>
      <c r="AJ83" s="11">
        <v>62.0</v>
      </c>
      <c r="AK83" s="11">
        <v>9.0</v>
      </c>
      <c r="AL83" s="11">
        <v>1.0</v>
      </c>
      <c r="AM83" s="11">
        <v>6.0</v>
      </c>
      <c r="AN83" s="11">
        <v>1.0</v>
      </c>
      <c r="AO83" s="11">
        <v>0.0</v>
      </c>
      <c r="AP83" s="11">
        <v>0.0</v>
      </c>
    </row>
    <row r="84" ht="12.0" customHeight="1">
      <c r="A84" s="3">
        <f t="shared" si="1"/>
        <v>83</v>
      </c>
      <c r="B84" s="11" t="s">
        <v>201</v>
      </c>
      <c r="C84" s="3" t="s">
        <v>200</v>
      </c>
      <c r="D84" s="3" t="s">
        <v>202</v>
      </c>
      <c r="E84" s="6" t="s">
        <v>44</v>
      </c>
      <c r="F84" s="6" t="s">
        <v>44</v>
      </c>
      <c r="G84" s="6" t="s">
        <v>44</v>
      </c>
      <c r="H84" s="7">
        <v>36.056</v>
      </c>
      <c r="I84" s="6" t="s">
        <v>53</v>
      </c>
      <c r="J84" s="6" t="s">
        <v>61</v>
      </c>
      <c r="K84" s="11" t="s">
        <v>166</v>
      </c>
      <c r="L84" s="8">
        <f t="shared" ref="L84:M84" si="5">11/30</f>
        <v>0.3666666667</v>
      </c>
      <c r="M84" s="8">
        <f t="shared" si="5"/>
        <v>0.3666666667</v>
      </c>
      <c r="N84" s="8">
        <f>3/30</f>
        <v>0.1</v>
      </c>
      <c r="O84" s="8">
        <f>2/30</f>
        <v>0.06666666667</v>
      </c>
      <c r="P84" s="8">
        <f t="shared" ref="P84:Q84" si="6">1/30</f>
        <v>0.03333333333</v>
      </c>
      <c r="Q84" s="8">
        <f t="shared" si="6"/>
        <v>0.03333333333</v>
      </c>
      <c r="R84" s="8">
        <v>0.0</v>
      </c>
      <c r="S84" s="8">
        <v>0.0</v>
      </c>
      <c r="T84" s="8">
        <f>1/30</f>
        <v>0.03333333333</v>
      </c>
      <c r="U84" s="8">
        <v>0.0</v>
      </c>
      <c r="V84" s="6" t="s">
        <v>56</v>
      </c>
      <c r="W84" s="7" t="s">
        <v>57</v>
      </c>
      <c r="X84" s="10" t="s">
        <v>35</v>
      </c>
      <c r="Y84" s="7">
        <v>117.651</v>
      </c>
      <c r="Z84" s="11">
        <v>355.0</v>
      </c>
      <c r="AA84" s="11">
        <v>0.0</v>
      </c>
      <c r="AB84" s="11">
        <v>0.0</v>
      </c>
      <c r="AC84" s="11">
        <v>313.0</v>
      </c>
      <c r="AD84" s="11">
        <v>6.0</v>
      </c>
      <c r="AE84" s="11">
        <v>39.0</v>
      </c>
      <c r="AF84" s="11">
        <v>272.0</v>
      </c>
      <c r="AG84" s="11">
        <v>121.0</v>
      </c>
      <c r="AH84" s="11">
        <v>9.0</v>
      </c>
      <c r="AI84" s="11">
        <v>144.0</v>
      </c>
      <c r="AJ84" s="11">
        <v>390.0</v>
      </c>
      <c r="AK84" s="11">
        <v>9.0</v>
      </c>
      <c r="AL84" s="11">
        <v>2.0</v>
      </c>
      <c r="AM84" s="11">
        <v>16.0</v>
      </c>
      <c r="AN84" s="11">
        <v>4.0</v>
      </c>
      <c r="AO84" s="11">
        <v>2.0</v>
      </c>
      <c r="AP84" s="11">
        <v>0.0</v>
      </c>
    </row>
    <row r="85" ht="12.0" customHeight="1">
      <c r="A85" s="11">
        <v>85.0</v>
      </c>
      <c r="B85" s="11" t="s">
        <v>203</v>
      </c>
      <c r="C85" s="3" t="s">
        <v>204</v>
      </c>
      <c r="D85" s="3" t="s">
        <v>205</v>
      </c>
      <c r="E85" s="6" t="s">
        <v>44</v>
      </c>
      <c r="F85" s="6" t="s">
        <v>44</v>
      </c>
      <c r="G85" s="6" t="s">
        <v>45</v>
      </c>
      <c r="H85" s="7">
        <f> 1.416 + 0.9073681 +2.002673 + 6.5961154</f>
        <v>10.9221565</v>
      </c>
      <c r="I85" s="6" t="s">
        <v>105</v>
      </c>
      <c r="J85" s="6" t="s">
        <v>61</v>
      </c>
      <c r="K85" s="11" t="s">
        <v>166</v>
      </c>
      <c r="L85" s="8">
        <v>1.0</v>
      </c>
      <c r="M85" s="8">
        <v>0.0</v>
      </c>
      <c r="N85" s="8">
        <v>0.0</v>
      </c>
      <c r="O85" s="8">
        <v>0.0</v>
      </c>
      <c r="P85" s="8">
        <v>0.0</v>
      </c>
      <c r="Q85" s="8">
        <v>0.0</v>
      </c>
      <c r="R85" s="8">
        <v>0.0</v>
      </c>
      <c r="S85" s="8">
        <v>0.0</v>
      </c>
      <c r="T85" s="8">
        <v>0.0</v>
      </c>
      <c r="U85" s="8">
        <v>0.0</v>
      </c>
      <c r="V85" s="6" t="s">
        <v>63</v>
      </c>
      <c r="W85" s="7" t="s">
        <v>57</v>
      </c>
      <c r="X85" s="10" t="s">
        <v>35</v>
      </c>
      <c r="Y85" s="7">
        <f> 2* 1.1416 + 4 * 0.9073681 + 2* 2.002673 + 6 *  6.5961154</f>
        <v>49.4947108</v>
      </c>
      <c r="Z85" s="11">
        <v>95.0</v>
      </c>
      <c r="AA85" s="11">
        <v>0.0</v>
      </c>
      <c r="AB85" s="11">
        <v>40.0</v>
      </c>
      <c r="AC85" s="11">
        <v>83.0</v>
      </c>
      <c r="AD85" s="11">
        <v>2.0</v>
      </c>
      <c r="AE85" s="11">
        <v>1.0</v>
      </c>
      <c r="AF85" s="11">
        <v>123.0</v>
      </c>
      <c r="AG85" s="11">
        <v>63.0</v>
      </c>
      <c r="AH85" s="11">
        <v>3.0</v>
      </c>
      <c r="AI85" s="11">
        <v>33.0</v>
      </c>
      <c r="AJ85" s="11">
        <v>139.0</v>
      </c>
      <c r="AK85" s="11">
        <v>17.0</v>
      </c>
      <c r="AL85" s="11">
        <v>1.0</v>
      </c>
      <c r="AM85" s="11">
        <v>6.0</v>
      </c>
      <c r="AN85" s="11">
        <v>1.0</v>
      </c>
      <c r="AO85" s="11">
        <v>1.0</v>
      </c>
      <c r="AP85" s="11">
        <v>0.0</v>
      </c>
    </row>
    <row r="86" ht="12.0" customHeight="1">
      <c r="A86" s="3">
        <f t="shared" ref="A86:A98" si="7">A85+1</f>
        <v>86</v>
      </c>
      <c r="B86" s="11" t="s">
        <v>206</v>
      </c>
      <c r="C86" s="3" t="s">
        <v>207</v>
      </c>
      <c r="D86" s="11" t="s">
        <v>208</v>
      </c>
      <c r="E86" s="6" t="s">
        <v>45</v>
      </c>
      <c r="F86" s="6" t="s">
        <v>44</v>
      </c>
      <c r="G86" s="6" t="s">
        <v>45</v>
      </c>
      <c r="H86" s="12">
        <v>13.0</v>
      </c>
      <c r="I86" s="6" t="s">
        <v>105</v>
      </c>
      <c r="J86" s="6" t="s">
        <v>61</v>
      </c>
      <c r="K86" s="11" t="s">
        <v>138</v>
      </c>
      <c r="L86" s="8">
        <v>0.0</v>
      </c>
      <c r="M86" s="8">
        <v>0.0</v>
      </c>
      <c r="N86" s="8">
        <v>0.0</v>
      </c>
      <c r="O86" s="8">
        <v>0.0</v>
      </c>
      <c r="P86" s="8">
        <v>0.0</v>
      </c>
      <c r="Q86" s="8">
        <v>0.0</v>
      </c>
      <c r="R86" s="8">
        <v>0.0</v>
      </c>
      <c r="S86" s="8">
        <v>0.0</v>
      </c>
      <c r="T86" s="8">
        <v>0.5</v>
      </c>
      <c r="U86" s="8">
        <v>0.5</v>
      </c>
      <c r="V86" s="6" t="s">
        <v>63</v>
      </c>
      <c r="W86" s="7" t="s">
        <v>57</v>
      </c>
      <c r="X86" s="10" t="s">
        <v>35</v>
      </c>
      <c r="Y86" s="12">
        <v>117.0</v>
      </c>
      <c r="Z86" s="11">
        <v>518.0</v>
      </c>
      <c r="AA86" s="11">
        <v>24.0</v>
      </c>
      <c r="AB86" s="11">
        <v>0.0</v>
      </c>
      <c r="AC86" s="11">
        <v>246.0</v>
      </c>
      <c r="AD86" s="11">
        <v>24.0</v>
      </c>
      <c r="AE86" s="11">
        <v>150.0</v>
      </c>
      <c r="AF86" s="11">
        <v>410.0</v>
      </c>
      <c r="AG86" s="11">
        <v>79.0</v>
      </c>
      <c r="AH86" s="11">
        <v>3.0</v>
      </c>
      <c r="AI86" s="11">
        <v>456.0</v>
      </c>
      <c r="AJ86" s="11">
        <v>423.0</v>
      </c>
      <c r="AK86" s="11">
        <v>37.0</v>
      </c>
      <c r="AL86" s="11">
        <v>0.0</v>
      </c>
      <c r="AM86" s="11">
        <v>13.0</v>
      </c>
      <c r="AN86" s="11">
        <v>3.0</v>
      </c>
      <c r="AO86" s="11">
        <v>2.0</v>
      </c>
      <c r="AP86" s="11">
        <v>0.0</v>
      </c>
    </row>
    <row r="87" ht="12.0" customHeight="1">
      <c r="A87" s="3">
        <f t="shared" si="7"/>
        <v>87</v>
      </c>
      <c r="B87" s="11" t="s">
        <v>209</v>
      </c>
      <c r="C87" s="3" t="s">
        <v>200</v>
      </c>
      <c r="D87" s="3" t="s">
        <v>210</v>
      </c>
      <c r="E87" s="6" t="s">
        <v>44</v>
      </c>
      <c r="F87" s="6" t="s">
        <v>44</v>
      </c>
      <c r="G87" s="6" t="s">
        <v>45</v>
      </c>
      <c r="H87" s="7">
        <v>17.942</v>
      </c>
      <c r="I87" s="6" t="s">
        <v>53</v>
      </c>
      <c r="J87" s="6" t="s">
        <v>61</v>
      </c>
      <c r="K87" s="11" t="s">
        <v>138</v>
      </c>
      <c r="L87" s="8">
        <f t="shared" ref="L87:M87" si="8">7/18</f>
        <v>0.3888888889</v>
      </c>
      <c r="M87" s="8">
        <f t="shared" si="8"/>
        <v>0.3888888889</v>
      </c>
      <c r="N87" s="8">
        <v>0.0</v>
      </c>
      <c r="O87" s="8">
        <v>0.0</v>
      </c>
      <c r="P87" s="8">
        <v>0.0</v>
      </c>
      <c r="Q87" s="8">
        <f>4/18</f>
        <v>0.2222222222</v>
      </c>
      <c r="R87" s="8">
        <v>0.0</v>
      </c>
      <c r="S87" s="8">
        <v>0.0</v>
      </c>
      <c r="T87" s="8">
        <v>0.0</v>
      </c>
      <c r="U87" s="8">
        <v>0.0</v>
      </c>
      <c r="V87" s="6" t="s">
        <v>63</v>
      </c>
      <c r="W87" s="7" t="s">
        <v>57</v>
      </c>
      <c r="X87" s="10" t="s">
        <v>35</v>
      </c>
      <c r="Y87" s="7">
        <v>63.779</v>
      </c>
      <c r="Z87" s="11">
        <v>233.0</v>
      </c>
      <c r="AA87" s="11">
        <v>32.0</v>
      </c>
      <c r="AB87" s="11">
        <v>4.0</v>
      </c>
      <c r="AC87" s="11">
        <v>202.0</v>
      </c>
      <c r="AD87" s="11">
        <v>1.0</v>
      </c>
      <c r="AE87" s="11">
        <v>46.0</v>
      </c>
      <c r="AF87" s="11">
        <v>247.0</v>
      </c>
      <c r="AG87" s="11">
        <v>132.0</v>
      </c>
      <c r="AH87" s="11">
        <v>6.0</v>
      </c>
      <c r="AI87" s="11">
        <v>188.0</v>
      </c>
      <c r="AJ87" s="11">
        <v>307.0</v>
      </c>
      <c r="AK87" s="11">
        <v>24.0</v>
      </c>
      <c r="AL87" s="11">
        <v>2.0</v>
      </c>
      <c r="AM87" s="11">
        <v>17.0</v>
      </c>
      <c r="AN87" s="11">
        <v>1.0</v>
      </c>
      <c r="AO87" s="11">
        <v>3.0</v>
      </c>
      <c r="AP87" s="11">
        <v>0.0</v>
      </c>
    </row>
    <row r="88" ht="12.0" customHeight="1">
      <c r="A88" s="3">
        <f t="shared" si="7"/>
        <v>88</v>
      </c>
      <c r="B88" s="11">
        <v>528.0</v>
      </c>
      <c r="C88" s="3" t="s">
        <v>211</v>
      </c>
      <c r="E88" s="6" t="s">
        <v>45</v>
      </c>
      <c r="F88" s="6" t="s">
        <v>44</v>
      </c>
      <c r="G88" s="6" t="s">
        <v>44</v>
      </c>
      <c r="H88" s="7">
        <v>1.405</v>
      </c>
      <c r="I88" s="6" t="s">
        <v>53</v>
      </c>
      <c r="J88" s="6" t="s">
        <v>61</v>
      </c>
      <c r="K88" s="11" t="s">
        <v>62</v>
      </c>
      <c r="L88" s="8">
        <v>0.0</v>
      </c>
      <c r="M88" s="8">
        <v>1.0</v>
      </c>
      <c r="N88" s="8">
        <v>0.0</v>
      </c>
      <c r="O88" s="8">
        <v>0.0</v>
      </c>
      <c r="P88" s="8">
        <v>0.0</v>
      </c>
      <c r="Q88" s="8">
        <v>0.0</v>
      </c>
      <c r="R88" s="8">
        <v>0.0</v>
      </c>
      <c r="S88" s="8">
        <v>0.0</v>
      </c>
      <c r="T88" s="8">
        <v>0.0</v>
      </c>
      <c r="U88" s="8">
        <v>0.0</v>
      </c>
      <c r="V88" s="6" t="s">
        <v>63</v>
      </c>
      <c r="W88" s="7" t="s">
        <v>57</v>
      </c>
      <c r="X88" s="10" t="s">
        <v>35</v>
      </c>
      <c r="Y88" s="7">
        <v>7.981</v>
      </c>
      <c r="Z88" s="11">
        <v>32.0</v>
      </c>
      <c r="AA88" s="11">
        <v>0.0</v>
      </c>
      <c r="AB88" s="11">
        <v>0.0</v>
      </c>
      <c r="AC88" s="11">
        <v>35.0</v>
      </c>
      <c r="AD88" s="11">
        <v>0.0</v>
      </c>
      <c r="AE88" s="11">
        <v>3.0</v>
      </c>
      <c r="AF88" s="11">
        <v>33.0</v>
      </c>
      <c r="AG88" s="11">
        <v>7.0</v>
      </c>
      <c r="AH88" s="11">
        <v>1.0</v>
      </c>
      <c r="AI88" s="11">
        <v>23.0</v>
      </c>
      <c r="AJ88" s="11">
        <v>51.0</v>
      </c>
      <c r="AK88" s="11">
        <v>0.0</v>
      </c>
      <c r="AL88" s="11">
        <v>0.0</v>
      </c>
      <c r="AM88" s="11">
        <v>0.0</v>
      </c>
      <c r="AN88" s="11">
        <v>0.0</v>
      </c>
      <c r="AO88" s="11">
        <v>0.0</v>
      </c>
      <c r="AP88" s="11">
        <v>0.0</v>
      </c>
    </row>
    <row r="89" ht="12.0" customHeight="1">
      <c r="A89" s="3">
        <f t="shared" si="7"/>
        <v>89</v>
      </c>
      <c r="B89" s="11" t="s">
        <v>212</v>
      </c>
      <c r="C89" s="3" t="s">
        <v>210</v>
      </c>
      <c r="D89" s="3" t="s">
        <v>213</v>
      </c>
      <c r="E89" s="6" t="s">
        <v>44</v>
      </c>
      <c r="F89" s="6" t="s">
        <v>44</v>
      </c>
      <c r="G89" s="6" t="s">
        <v>44</v>
      </c>
      <c r="H89" s="7">
        <v>13.445</v>
      </c>
      <c r="I89" s="6" t="s">
        <v>53</v>
      </c>
      <c r="J89" s="6" t="s">
        <v>61</v>
      </c>
      <c r="K89" s="11" t="s">
        <v>138</v>
      </c>
      <c r="L89" s="8">
        <f>1/15</f>
        <v>0.06666666667</v>
      </c>
      <c r="M89" s="8">
        <f>12/15</f>
        <v>0.8</v>
      </c>
      <c r="N89" s="8">
        <f>2/15</f>
        <v>0.1333333333</v>
      </c>
      <c r="O89" s="8">
        <v>0.0</v>
      </c>
      <c r="P89" s="8">
        <v>0.0</v>
      </c>
      <c r="Q89" s="8">
        <v>0.0</v>
      </c>
      <c r="R89" s="8">
        <v>0.0</v>
      </c>
      <c r="S89" s="8">
        <v>0.0</v>
      </c>
      <c r="T89" s="8">
        <v>0.0</v>
      </c>
      <c r="U89" s="8">
        <v>0.0</v>
      </c>
      <c r="V89" s="6" t="s">
        <v>49</v>
      </c>
      <c r="W89" s="7" t="s">
        <v>57</v>
      </c>
      <c r="X89" s="10" t="s">
        <v>35</v>
      </c>
      <c r="Y89" s="7">
        <v>30.454</v>
      </c>
      <c r="Z89" s="11">
        <v>81.0</v>
      </c>
      <c r="AA89" s="11">
        <v>0.0</v>
      </c>
      <c r="AB89" s="11">
        <v>0.0</v>
      </c>
      <c r="AC89" s="11">
        <v>90.0</v>
      </c>
      <c r="AD89" s="11">
        <v>1.0</v>
      </c>
      <c r="AE89" s="11">
        <v>12.0</v>
      </c>
      <c r="AF89" s="11">
        <v>76.0</v>
      </c>
      <c r="AG89" s="11">
        <v>16.0</v>
      </c>
      <c r="AH89" s="11">
        <v>1.0</v>
      </c>
      <c r="AI89" s="11">
        <v>33.0</v>
      </c>
      <c r="AJ89" s="11">
        <v>121.0</v>
      </c>
      <c r="AK89" s="11">
        <v>0.0</v>
      </c>
      <c r="AL89" s="11">
        <v>3.0</v>
      </c>
      <c r="AM89" s="11">
        <v>0.0</v>
      </c>
      <c r="AN89" s="11">
        <v>2.0</v>
      </c>
      <c r="AO89" s="11">
        <v>1.0</v>
      </c>
      <c r="AP89" s="11">
        <v>1.0</v>
      </c>
    </row>
    <row r="90" ht="12.0" customHeight="1">
      <c r="A90" s="3">
        <f t="shared" si="7"/>
        <v>90</v>
      </c>
      <c r="B90" s="11">
        <v>135.0</v>
      </c>
      <c r="C90" s="3" t="s">
        <v>214</v>
      </c>
      <c r="D90" s="3" t="s">
        <v>215</v>
      </c>
      <c r="E90" s="6" t="s">
        <v>44</v>
      </c>
      <c r="F90" s="6" t="s">
        <v>44</v>
      </c>
      <c r="G90" s="6" t="s">
        <v>45</v>
      </c>
      <c r="H90" s="7">
        <v>44.018</v>
      </c>
      <c r="I90" s="6" t="s">
        <v>53</v>
      </c>
      <c r="J90" s="6" t="s">
        <v>61</v>
      </c>
      <c r="K90" s="11" t="s">
        <v>62</v>
      </c>
      <c r="L90" s="8">
        <f>5/40</f>
        <v>0.125</v>
      </c>
      <c r="M90" s="8">
        <v>0.0</v>
      </c>
      <c r="N90" s="8">
        <f>1/40</f>
        <v>0.025</v>
      </c>
      <c r="O90" s="8">
        <v>0.0</v>
      </c>
      <c r="P90" s="8">
        <f>34/40</f>
        <v>0.85</v>
      </c>
      <c r="Q90" s="8">
        <v>0.0</v>
      </c>
      <c r="R90" s="8">
        <v>0.0</v>
      </c>
      <c r="S90" s="8">
        <v>0.0</v>
      </c>
      <c r="T90" s="8">
        <v>0.0</v>
      </c>
      <c r="U90" s="8">
        <v>0.0</v>
      </c>
      <c r="V90" s="6" t="s">
        <v>63</v>
      </c>
      <c r="W90" s="7" t="s">
        <v>57</v>
      </c>
      <c r="X90" s="10" t="s">
        <v>35</v>
      </c>
      <c r="Y90" s="7">
        <v>101.333</v>
      </c>
      <c r="Z90" s="11">
        <v>60.0</v>
      </c>
      <c r="AA90" s="11">
        <v>0.0</v>
      </c>
      <c r="AB90" s="11">
        <v>44.0</v>
      </c>
      <c r="AC90" s="11">
        <v>180.0</v>
      </c>
      <c r="AD90" s="11">
        <v>6.0</v>
      </c>
      <c r="AE90" s="11">
        <v>16.0</v>
      </c>
      <c r="AF90" s="11">
        <v>195.0</v>
      </c>
      <c r="AG90" s="11">
        <v>77.0</v>
      </c>
      <c r="AH90" s="11">
        <v>7.0</v>
      </c>
      <c r="AI90" s="11">
        <v>75.0</v>
      </c>
      <c r="AJ90" s="11">
        <v>216.0</v>
      </c>
      <c r="AK90" s="11">
        <v>85.0</v>
      </c>
      <c r="AL90" s="11">
        <v>1.0</v>
      </c>
      <c r="AM90" s="11">
        <v>13.0</v>
      </c>
      <c r="AN90" s="11">
        <v>0.0</v>
      </c>
      <c r="AO90" s="11">
        <v>0.0</v>
      </c>
      <c r="AP90" s="11">
        <v>0.0</v>
      </c>
    </row>
    <row r="91" ht="12.0" customHeight="1">
      <c r="A91" s="3">
        <f t="shared" si="7"/>
        <v>91</v>
      </c>
      <c r="B91" s="11">
        <v>161.0</v>
      </c>
      <c r="C91" s="3" t="s">
        <v>216</v>
      </c>
      <c r="D91" s="3" t="s">
        <v>78</v>
      </c>
      <c r="E91" s="6" t="s">
        <v>44</v>
      </c>
      <c r="F91" s="6" t="s">
        <v>44</v>
      </c>
      <c r="G91" s="6" t="s">
        <v>45</v>
      </c>
      <c r="H91" s="7">
        <v>41.011</v>
      </c>
      <c r="I91" s="6" t="s">
        <v>53</v>
      </c>
      <c r="J91" s="6" t="s">
        <v>61</v>
      </c>
      <c r="K91" s="11" t="s">
        <v>166</v>
      </c>
      <c r="L91" s="8">
        <v>0.05</v>
      </c>
      <c r="M91" s="8">
        <v>0.05</v>
      </c>
      <c r="N91" s="8">
        <v>0.1</v>
      </c>
      <c r="O91" s="8">
        <v>0.05</v>
      </c>
      <c r="P91" s="8">
        <v>0.7</v>
      </c>
      <c r="Q91" s="8">
        <v>0.0</v>
      </c>
      <c r="R91" s="8">
        <v>0.0</v>
      </c>
      <c r="S91" s="8">
        <v>0.0</v>
      </c>
      <c r="T91" s="8">
        <v>0.0</v>
      </c>
      <c r="U91" s="8">
        <v>0.0</v>
      </c>
      <c r="V91" s="6" t="s">
        <v>49</v>
      </c>
      <c r="W91" s="7" t="s">
        <v>57</v>
      </c>
      <c r="X91" s="10" t="s">
        <v>35</v>
      </c>
      <c r="Y91" s="7">
        <v>86.283</v>
      </c>
      <c r="Z91" s="11">
        <v>42.0</v>
      </c>
      <c r="AA91" s="11">
        <v>2.0</v>
      </c>
      <c r="AB91" s="11">
        <v>340.0</v>
      </c>
      <c r="AC91" s="11">
        <v>68.0</v>
      </c>
      <c r="AD91" s="11">
        <v>0.0</v>
      </c>
      <c r="AE91" s="11">
        <v>2.0</v>
      </c>
      <c r="AF91" s="11">
        <v>138.0</v>
      </c>
      <c r="AG91" s="11">
        <v>72.0</v>
      </c>
      <c r="AH91" s="11">
        <v>2.0</v>
      </c>
      <c r="AI91" s="11">
        <v>25.0</v>
      </c>
      <c r="AJ91" s="11">
        <v>167.0</v>
      </c>
      <c r="AK91" s="11">
        <v>10.0</v>
      </c>
      <c r="AL91" s="11">
        <v>4.0</v>
      </c>
      <c r="AM91" s="11">
        <v>5.0</v>
      </c>
      <c r="AN91" s="11">
        <v>6.0</v>
      </c>
      <c r="AO91" s="11">
        <v>2.0</v>
      </c>
      <c r="AP91" s="11">
        <v>0.0</v>
      </c>
    </row>
    <row r="92" ht="12.0" customHeight="1">
      <c r="A92" s="3">
        <f t="shared" si="7"/>
        <v>92</v>
      </c>
      <c r="B92" s="11" t="s">
        <v>217</v>
      </c>
      <c r="C92" s="3" t="s">
        <v>200</v>
      </c>
      <c r="D92" s="3" t="s">
        <v>218</v>
      </c>
      <c r="E92" s="6" t="s">
        <v>44</v>
      </c>
      <c r="F92" s="6" t="s">
        <v>44</v>
      </c>
      <c r="G92" s="6" t="s">
        <v>45</v>
      </c>
      <c r="H92" s="12">
        <f> 2.305 +0.9902654 + 0.7023374 + 1.5512302 + 2.3385536 + 1.1963764 + 1.4018353 + 1.265329 + 1.5116708 + 0.861191</f>
        <v>14.1237891</v>
      </c>
      <c r="I92" s="6" t="s">
        <v>105</v>
      </c>
      <c r="J92" s="6" t="s">
        <v>61</v>
      </c>
      <c r="K92" s="11" t="s">
        <v>166</v>
      </c>
      <c r="L92" s="8">
        <v>1.0</v>
      </c>
      <c r="M92" s="8">
        <v>0.0</v>
      </c>
      <c r="N92" s="8">
        <v>0.0</v>
      </c>
      <c r="O92" s="8">
        <v>0.0</v>
      </c>
      <c r="P92" s="8">
        <v>0.0</v>
      </c>
      <c r="Q92" s="8">
        <v>0.0</v>
      </c>
      <c r="R92" s="8">
        <v>0.0</v>
      </c>
      <c r="S92" s="8">
        <v>0.0</v>
      </c>
      <c r="T92" s="8">
        <v>0.0</v>
      </c>
      <c r="U92" s="8">
        <v>0.0</v>
      </c>
      <c r="V92" s="6" t="s">
        <v>63</v>
      </c>
      <c r="W92" s="7" t="s">
        <v>57</v>
      </c>
      <c r="X92" s="10" t="s">
        <v>35</v>
      </c>
      <c r="Y92" s="7">
        <f> 6* 2.3051233 + 6*0.9902654 + 2*0.7023374 + 2*1.5512302 + 4*2.3385536 + 4* 1.4018353 + 4* 1.51167</f>
        <v>45.287703</v>
      </c>
      <c r="Z92" s="11">
        <v>177.0</v>
      </c>
      <c r="AA92" s="11">
        <v>12.0</v>
      </c>
      <c r="AB92" s="11">
        <v>81.0</v>
      </c>
      <c r="AC92" s="11">
        <v>71.0</v>
      </c>
      <c r="AD92" s="11">
        <v>0.0</v>
      </c>
      <c r="AE92" s="11">
        <v>2.0</v>
      </c>
      <c r="AF92" s="11">
        <v>142.0</v>
      </c>
      <c r="AG92" s="11">
        <v>50.0</v>
      </c>
      <c r="AH92" s="11">
        <v>4.0</v>
      </c>
      <c r="AI92" s="11">
        <v>47.0</v>
      </c>
      <c r="AJ92" s="11">
        <v>171.0</v>
      </c>
      <c r="AK92" s="11">
        <v>66.0</v>
      </c>
      <c r="AL92" s="11">
        <v>4.0</v>
      </c>
      <c r="AM92" s="11">
        <v>9.0</v>
      </c>
      <c r="AN92" s="11">
        <v>1.0</v>
      </c>
      <c r="AO92" s="11">
        <v>2.0</v>
      </c>
      <c r="AP92" s="11">
        <v>0.0</v>
      </c>
    </row>
    <row r="93" ht="12.0" customHeight="1">
      <c r="A93" s="3">
        <f t="shared" si="7"/>
        <v>93</v>
      </c>
      <c r="B93" s="11" t="s">
        <v>219</v>
      </c>
      <c r="C93" s="3" t="s">
        <v>220</v>
      </c>
      <c r="D93" s="3" t="s">
        <v>142</v>
      </c>
      <c r="E93" s="6" t="s">
        <v>44</v>
      </c>
      <c r="F93" s="6" t="s">
        <v>44</v>
      </c>
      <c r="G93" s="6" t="s">
        <v>45</v>
      </c>
      <c r="H93" s="7">
        <v>27.728</v>
      </c>
      <c r="I93" s="6" t="s">
        <v>105</v>
      </c>
      <c r="J93" s="6" t="s">
        <v>61</v>
      </c>
      <c r="K93" s="11" t="s">
        <v>166</v>
      </c>
      <c r="L93" s="8">
        <f>10/29</f>
        <v>0.3448275862</v>
      </c>
      <c r="M93" s="8">
        <v>0.0</v>
      </c>
      <c r="N93" s="8">
        <v>0.0</v>
      </c>
      <c r="O93" s="8">
        <f>2/29</f>
        <v>0.06896551724</v>
      </c>
      <c r="P93" s="8">
        <v>0.0</v>
      </c>
      <c r="Q93" s="8">
        <f>13/29</f>
        <v>0.4482758621</v>
      </c>
      <c r="R93" s="8">
        <v>0.0</v>
      </c>
      <c r="S93" s="8">
        <v>0.0</v>
      </c>
      <c r="T93" s="8">
        <f>4/29</f>
        <v>0.1379310345</v>
      </c>
      <c r="U93" s="8">
        <v>0.0</v>
      </c>
      <c r="V93" s="6" t="s">
        <v>56</v>
      </c>
      <c r="W93" s="7" t="s">
        <v>57</v>
      </c>
      <c r="X93" s="10" t="s">
        <v>35</v>
      </c>
      <c r="Y93" s="7">
        <v>123.261</v>
      </c>
      <c r="Z93" s="11">
        <v>227.0</v>
      </c>
      <c r="AA93" s="11">
        <v>38.0</v>
      </c>
      <c r="AB93" s="11">
        <v>766.0</v>
      </c>
      <c r="AC93" s="11">
        <v>98.0</v>
      </c>
      <c r="AD93" s="11">
        <v>1.0</v>
      </c>
      <c r="AE93" s="11">
        <v>5.0</v>
      </c>
      <c r="AF93" s="11">
        <v>258.0</v>
      </c>
      <c r="AG93" s="11">
        <v>171.0</v>
      </c>
      <c r="AH93" s="11">
        <v>5.0</v>
      </c>
      <c r="AI93" s="11">
        <v>64.0</v>
      </c>
      <c r="AJ93" s="11">
        <v>280.0</v>
      </c>
      <c r="AK93" s="11">
        <v>50.0</v>
      </c>
      <c r="AL93" s="11">
        <v>0.0</v>
      </c>
      <c r="AM93" s="11">
        <v>3.0</v>
      </c>
      <c r="AN93" s="11">
        <v>0.0</v>
      </c>
      <c r="AO93" s="11">
        <v>2.0</v>
      </c>
      <c r="AP93" s="11">
        <v>0.0</v>
      </c>
    </row>
    <row r="94" ht="12.0" customHeight="1">
      <c r="A94" s="3">
        <f t="shared" si="7"/>
        <v>94</v>
      </c>
      <c r="B94" s="11" t="s">
        <v>221</v>
      </c>
      <c r="C94" s="3" t="s">
        <v>222</v>
      </c>
      <c r="E94" s="6" t="s">
        <v>45</v>
      </c>
      <c r="F94" s="6" t="s">
        <v>44</v>
      </c>
      <c r="G94" s="6" t="s">
        <v>45</v>
      </c>
      <c r="H94" s="7">
        <v>9.284</v>
      </c>
      <c r="I94" s="6" t="s">
        <v>105</v>
      </c>
      <c r="J94" s="6" t="s">
        <v>61</v>
      </c>
      <c r="K94" s="11" t="s">
        <v>138</v>
      </c>
      <c r="L94" s="8">
        <v>0.0</v>
      </c>
      <c r="M94" s="8">
        <v>0.0</v>
      </c>
      <c r="N94" s="8">
        <v>0.0</v>
      </c>
      <c r="O94" s="8">
        <v>0.0</v>
      </c>
      <c r="P94" s="8">
        <v>0.0</v>
      </c>
      <c r="Q94" s="8">
        <v>0.0</v>
      </c>
      <c r="R94" s="8">
        <v>0.0</v>
      </c>
      <c r="S94" s="8">
        <v>0.0</v>
      </c>
      <c r="T94" s="8">
        <v>0.0</v>
      </c>
      <c r="U94" s="8">
        <v>1.0</v>
      </c>
      <c r="V94" s="6" t="s">
        <v>63</v>
      </c>
      <c r="W94" s="7" t="s">
        <v>57</v>
      </c>
      <c r="X94" s="10" t="s">
        <v>35</v>
      </c>
      <c r="Y94" s="7">
        <v>94.663</v>
      </c>
      <c r="Z94" s="11">
        <v>380.0</v>
      </c>
      <c r="AA94" s="11">
        <v>10.0</v>
      </c>
      <c r="AB94" s="11">
        <v>46.0</v>
      </c>
      <c r="AC94" s="11">
        <v>288.0</v>
      </c>
      <c r="AD94" s="11">
        <v>6.0</v>
      </c>
      <c r="AE94" s="11">
        <v>29.0</v>
      </c>
      <c r="AF94" s="11">
        <v>285.0</v>
      </c>
      <c r="AG94" s="11">
        <v>151.0</v>
      </c>
      <c r="AH94" s="11">
        <v>5.0</v>
      </c>
      <c r="AI94" s="11">
        <v>135.0</v>
      </c>
      <c r="AJ94" s="11">
        <v>339.0</v>
      </c>
      <c r="AK94" s="11">
        <v>24.0</v>
      </c>
      <c r="AL94" s="11">
        <v>0.0</v>
      </c>
      <c r="AM94" s="11">
        <v>0.0</v>
      </c>
      <c r="AN94" s="11">
        <v>1.0</v>
      </c>
      <c r="AO94" s="11">
        <v>2.0</v>
      </c>
      <c r="AP94" s="11">
        <v>0.0</v>
      </c>
    </row>
    <row r="95" ht="12.0" customHeight="1">
      <c r="A95" s="3">
        <f t="shared" si="7"/>
        <v>95</v>
      </c>
      <c r="B95" s="11" t="s">
        <v>223</v>
      </c>
      <c r="C95" s="3" t="s">
        <v>142</v>
      </c>
      <c r="D95" s="3" t="s">
        <v>213</v>
      </c>
      <c r="E95" s="6" t="s">
        <v>44</v>
      </c>
      <c r="F95" s="6" t="s">
        <v>44</v>
      </c>
      <c r="G95" s="6" t="s">
        <v>44</v>
      </c>
      <c r="H95" s="7">
        <v>15.605</v>
      </c>
      <c r="I95" s="6" t="s">
        <v>53</v>
      </c>
      <c r="J95" s="6" t="s">
        <v>61</v>
      </c>
      <c r="K95" s="11" t="s">
        <v>62</v>
      </c>
      <c r="L95" s="8">
        <v>0.0</v>
      </c>
      <c r="M95" s="8">
        <v>1.0</v>
      </c>
      <c r="N95" s="8">
        <v>0.0</v>
      </c>
      <c r="O95" s="8">
        <v>0.0</v>
      </c>
      <c r="P95" s="8">
        <v>0.0</v>
      </c>
      <c r="Q95" s="8">
        <v>0.0</v>
      </c>
      <c r="R95" s="8">
        <v>0.0</v>
      </c>
      <c r="S95" s="8">
        <v>0.0</v>
      </c>
      <c r="T95" s="8">
        <v>0.0</v>
      </c>
      <c r="U95" s="8">
        <v>0.0</v>
      </c>
      <c r="V95" s="6" t="s">
        <v>63</v>
      </c>
      <c r="W95" s="7" t="s">
        <v>57</v>
      </c>
      <c r="X95" s="10" t="s">
        <v>35</v>
      </c>
      <c r="Y95" s="7">
        <v>39.333</v>
      </c>
      <c r="Z95" s="11">
        <v>80.0</v>
      </c>
      <c r="AA95" s="11">
        <v>4.0</v>
      </c>
      <c r="AB95" s="11">
        <v>0.0</v>
      </c>
      <c r="AC95" s="11">
        <v>52.0</v>
      </c>
      <c r="AD95" s="11">
        <v>1.0</v>
      </c>
      <c r="AE95" s="11">
        <v>5.0</v>
      </c>
      <c r="AF95" s="11">
        <v>95.0</v>
      </c>
      <c r="AG95" s="11">
        <v>51.0</v>
      </c>
      <c r="AH95" s="11">
        <v>2.0</v>
      </c>
      <c r="AI95" s="11">
        <v>33.0</v>
      </c>
      <c r="AJ95" s="11">
        <v>137.0</v>
      </c>
      <c r="AK95" s="11">
        <v>7.0</v>
      </c>
      <c r="AL95" s="11">
        <v>0.0</v>
      </c>
      <c r="AM95" s="11">
        <v>0.0</v>
      </c>
      <c r="AN95" s="11">
        <v>2.0</v>
      </c>
      <c r="AO95" s="11">
        <v>0.0</v>
      </c>
      <c r="AP95" s="11">
        <v>1.0</v>
      </c>
    </row>
    <row r="96" ht="12.0" customHeight="1">
      <c r="A96" s="3">
        <f t="shared" si="7"/>
        <v>96</v>
      </c>
      <c r="B96" s="11">
        <v>95.0</v>
      </c>
      <c r="C96" s="3" t="s">
        <v>210</v>
      </c>
      <c r="D96" s="3" t="s">
        <v>224</v>
      </c>
      <c r="E96" s="6" t="s">
        <v>44</v>
      </c>
      <c r="F96" s="6" t="s">
        <v>44</v>
      </c>
      <c r="G96" s="6" t="s">
        <v>44</v>
      </c>
      <c r="H96" s="7">
        <v>11.808</v>
      </c>
      <c r="I96" s="6" t="s">
        <v>53</v>
      </c>
      <c r="J96" s="6" t="s">
        <v>54</v>
      </c>
      <c r="K96" s="11" t="s">
        <v>55</v>
      </c>
      <c r="L96" s="8">
        <v>0.0</v>
      </c>
      <c r="M96" s="8">
        <v>1.0</v>
      </c>
      <c r="N96" s="8">
        <v>0.0</v>
      </c>
      <c r="O96" s="8">
        <v>0.0</v>
      </c>
      <c r="P96" s="8">
        <v>0.0</v>
      </c>
      <c r="Q96" s="8">
        <v>0.0</v>
      </c>
      <c r="R96" s="8">
        <v>0.0</v>
      </c>
      <c r="S96" s="8">
        <v>0.0</v>
      </c>
      <c r="T96" s="8">
        <v>0.0</v>
      </c>
      <c r="U96" s="8">
        <v>0.0</v>
      </c>
      <c r="V96" s="6" t="s">
        <v>63</v>
      </c>
      <c r="W96" s="7" t="s">
        <v>57</v>
      </c>
      <c r="X96" s="10" t="s">
        <v>35</v>
      </c>
      <c r="Y96" s="7">
        <v>23.617</v>
      </c>
      <c r="Z96" s="11">
        <v>4.0</v>
      </c>
      <c r="AA96" s="11">
        <v>0.0</v>
      </c>
      <c r="AB96" s="11">
        <v>0.0</v>
      </c>
      <c r="AC96" s="11">
        <v>46.0</v>
      </c>
      <c r="AD96" s="11">
        <v>0.0</v>
      </c>
      <c r="AE96" s="11">
        <v>5.0</v>
      </c>
      <c r="AF96" s="11">
        <v>32.0</v>
      </c>
      <c r="AG96" s="11">
        <v>3.0</v>
      </c>
      <c r="AH96" s="11">
        <v>2.0</v>
      </c>
      <c r="AI96" s="11">
        <v>0.0</v>
      </c>
      <c r="AJ96" s="11">
        <v>52.0</v>
      </c>
      <c r="AK96" s="11">
        <v>1.0</v>
      </c>
      <c r="AL96" s="11">
        <v>1.0</v>
      </c>
      <c r="AM96" s="11">
        <v>1.0</v>
      </c>
      <c r="AN96" s="11">
        <v>2.0</v>
      </c>
      <c r="AO96" s="11">
        <v>0.0</v>
      </c>
      <c r="AP96" s="11">
        <v>2.0</v>
      </c>
    </row>
    <row r="97" ht="12.0" customHeight="1">
      <c r="A97" s="3">
        <f t="shared" si="7"/>
        <v>97</v>
      </c>
      <c r="B97" s="11">
        <v>91.0</v>
      </c>
      <c r="C97" s="3" t="s">
        <v>225</v>
      </c>
      <c r="D97" s="3" t="s">
        <v>226</v>
      </c>
      <c r="E97" s="6" t="s">
        <v>44</v>
      </c>
      <c r="F97" s="6" t="s">
        <v>44</v>
      </c>
      <c r="G97" s="6" t="s">
        <v>44</v>
      </c>
      <c r="H97" s="7">
        <v>7.396</v>
      </c>
      <c r="I97" s="6" t="s">
        <v>46</v>
      </c>
      <c r="J97" s="6" t="s">
        <v>54</v>
      </c>
      <c r="K97" s="11" t="s">
        <v>62</v>
      </c>
      <c r="L97" s="8">
        <v>0.0</v>
      </c>
      <c r="M97" s="8">
        <v>1.0</v>
      </c>
      <c r="N97" s="8">
        <v>0.0</v>
      </c>
      <c r="O97" s="8">
        <v>0.0</v>
      </c>
      <c r="P97" s="8">
        <v>0.0</v>
      </c>
      <c r="Q97" s="8">
        <v>0.0</v>
      </c>
      <c r="R97" s="8">
        <v>0.0</v>
      </c>
      <c r="S97" s="8">
        <v>0.0</v>
      </c>
      <c r="T97" s="8">
        <v>0.0</v>
      </c>
      <c r="U97" s="8">
        <v>0.0</v>
      </c>
      <c r="V97" s="6" t="s">
        <v>63</v>
      </c>
      <c r="W97" s="7" t="s">
        <v>57</v>
      </c>
      <c r="X97" s="10" t="s">
        <v>35</v>
      </c>
      <c r="Y97" s="7">
        <v>7.795</v>
      </c>
      <c r="Z97" s="11">
        <v>18.0</v>
      </c>
      <c r="AA97" s="11">
        <v>1.0</v>
      </c>
      <c r="AB97" s="11">
        <v>0.0</v>
      </c>
      <c r="AC97" s="11">
        <v>38.0</v>
      </c>
      <c r="AD97" s="11">
        <v>0.0</v>
      </c>
      <c r="AE97" s="11">
        <v>14.0</v>
      </c>
      <c r="AF97" s="11">
        <v>24.0</v>
      </c>
      <c r="AG97" s="11">
        <v>1.0</v>
      </c>
      <c r="AH97" s="11">
        <v>2.0</v>
      </c>
      <c r="AI97" s="11">
        <v>2.0</v>
      </c>
      <c r="AJ97" s="11">
        <v>50.0</v>
      </c>
      <c r="AK97" s="11">
        <v>3.0</v>
      </c>
      <c r="AL97" s="11">
        <v>0.0</v>
      </c>
      <c r="AM97" s="11">
        <v>1.0</v>
      </c>
      <c r="AN97" s="11">
        <v>0.0</v>
      </c>
      <c r="AO97" s="11">
        <v>0.0</v>
      </c>
      <c r="AP97" s="11">
        <v>0.0</v>
      </c>
    </row>
    <row r="98" ht="12.0" customHeight="1">
      <c r="A98" s="3">
        <f t="shared" si="7"/>
        <v>98</v>
      </c>
      <c r="B98" s="11" t="s">
        <v>227</v>
      </c>
      <c r="C98" s="3" t="s">
        <v>228</v>
      </c>
      <c r="E98" s="6" t="s">
        <v>45</v>
      </c>
      <c r="F98" s="6" t="s">
        <v>44</v>
      </c>
      <c r="G98" s="6" t="s">
        <v>44</v>
      </c>
      <c r="H98" s="7">
        <v>3.963</v>
      </c>
      <c r="I98" s="6" t="s">
        <v>105</v>
      </c>
      <c r="J98" s="6" t="s">
        <v>61</v>
      </c>
      <c r="K98" s="11" t="s">
        <v>77</v>
      </c>
      <c r="L98" s="8">
        <v>0.0</v>
      </c>
      <c r="M98" s="8">
        <v>1.0</v>
      </c>
      <c r="N98" s="8">
        <v>0.0</v>
      </c>
      <c r="O98" s="8">
        <v>0.0</v>
      </c>
      <c r="P98" s="8">
        <v>0.0</v>
      </c>
      <c r="Q98" s="8">
        <v>0.0</v>
      </c>
      <c r="R98" s="8">
        <v>0.0</v>
      </c>
      <c r="S98" s="8">
        <v>0.0</v>
      </c>
      <c r="T98" s="8">
        <v>0.0</v>
      </c>
      <c r="U98" s="8">
        <v>0.0</v>
      </c>
      <c r="V98" s="6" t="s">
        <v>63</v>
      </c>
      <c r="W98" s="7" t="s">
        <v>57</v>
      </c>
      <c r="X98" s="10" t="s">
        <v>35</v>
      </c>
      <c r="Y98" s="7">
        <v>32.728</v>
      </c>
      <c r="Z98" s="11">
        <v>223.0</v>
      </c>
      <c r="AA98" s="11">
        <v>9.0</v>
      </c>
      <c r="AB98" s="11">
        <v>0.0</v>
      </c>
      <c r="AC98" s="11">
        <v>152.0</v>
      </c>
      <c r="AD98" s="11">
        <v>13.0</v>
      </c>
      <c r="AE98" s="11">
        <v>30.0</v>
      </c>
      <c r="AF98" s="11">
        <v>160.0</v>
      </c>
      <c r="AG98" s="11">
        <v>32.0</v>
      </c>
      <c r="AH98" s="11">
        <v>1.0</v>
      </c>
      <c r="AI98" s="11">
        <v>215.0</v>
      </c>
      <c r="AJ98" s="11">
        <v>225.0</v>
      </c>
      <c r="AK98" s="11">
        <v>3.0</v>
      </c>
      <c r="AL98" s="11">
        <v>0.0</v>
      </c>
      <c r="AM98" s="11">
        <v>4.0</v>
      </c>
      <c r="AN98" s="11">
        <v>0.0</v>
      </c>
      <c r="AO98" s="11">
        <v>1.0</v>
      </c>
      <c r="AP98" s="11">
        <v>0.0</v>
      </c>
    </row>
    <row r="99" ht="12.0" customHeight="1">
      <c r="A99" s="11">
        <v>100.0</v>
      </c>
      <c r="B99" s="11" t="s">
        <v>229</v>
      </c>
      <c r="C99" s="3" t="s">
        <v>213</v>
      </c>
      <c r="D99" s="3" t="s">
        <v>81</v>
      </c>
      <c r="E99" s="6" t="s">
        <v>44</v>
      </c>
      <c r="F99" s="6" t="s">
        <v>44</v>
      </c>
      <c r="G99" s="6" t="s">
        <v>44</v>
      </c>
      <c r="H99" s="7">
        <v>54.725</v>
      </c>
      <c r="I99" s="6" t="s">
        <v>53</v>
      </c>
      <c r="J99" s="6" t="s">
        <v>61</v>
      </c>
      <c r="K99" s="11" t="s">
        <v>62</v>
      </c>
      <c r="L99" s="8">
        <v>0.0</v>
      </c>
      <c r="M99" s="8">
        <v>1.0</v>
      </c>
      <c r="N99" s="8">
        <v>0.0</v>
      </c>
      <c r="O99" s="8">
        <v>0.0</v>
      </c>
      <c r="P99" s="8">
        <v>0.0</v>
      </c>
      <c r="Q99" s="8">
        <v>0.0</v>
      </c>
      <c r="R99" s="8">
        <v>0.0</v>
      </c>
      <c r="S99" s="8">
        <v>0.0</v>
      </c>
      <c r="T99" s="8">
        <v>0.0</v>
      </c>
      <c r="U99" s="8">
        <v>0.0</v>
      </c>
      <c r="V99" s="6" t="s">
        <v>49</v>
      </c>
      <c r="W99" s="7" t="s">
        <v>57</v>
      </c>
      <c r="X99" s="10" t="s">
        <v>35</v>
      </c>
      <c r="Y99" s="7">
        <v>121.548</v>
      </c>
      <c r="Z99" s="11">
        <v>101.0</v>
      </c>
      <c r="AA99" s="11">
        <v>12.0</v>
      </c>
      <c r="AB99" s="11">
        <v>0.0</v>
      </c>
      <c r="AC99" s="11">
        <v>107.0</v>
      </c>
      <c r="AD99" s="11">
        <v>0.0</v>
      </c>
      <c r="AE99" s="11">
        <v>36.0</v>
      </c>
      <c r="AF99" s="11">
        <v>177.0</v>
      </c>
      <c r="AG99" s="11">
        <v>43.0</v>
      </c>
      <c r="AH99" s="11">
        <v>5.0</v>
      </c>
      <c r="AI99" s="11">
        <v>36.0</v>
      </c>
      <c r="AJ99" s="11">
        <v>327.0</v>
      </c>
      <c r="AK99" s="11">
        <v>13.0</v>
      </c>
      <c r="AL99" s="11">
        <v>1.0</v>
      </c>
      <c r="AM99" s="11">
        <v>7.0</v>
      </c>
      <c r="AN99" s="11">
        <v>4.0</v>
      </c>
      <c r="AO99" s="11">
        <v>1.0</v>
      </c>
      <c r="AP99" s="11">
        <v>0.0</v>
      </c>
    </row>
    <row r="100" ht="12.0" customHeight="1">
      <c r="A100" s="3">
        <f t="shared" ref="A100:A106" si="9">A99+1</f>
        <v>101</v>
      </c>
      <c r="B100" s="11">
        <v>211.0</v>
      </c>
      <c r="C100" s="5" t="s">
        <v>230</v>
      </c>
      <c r="D100" s="3" t="s">
        <v>231</v>
      </c>
      <c r="E100" s="6" t="s">
        <v>44</v>
      </c>
      <c r="F100" s="6" t="s">
        <v>44</v>
      </c>
      <c r="G100" s="6" t="s">
        <v>44</v>
      </c>
      <c r="H100" s="7">
        <v>17.007</v>
      </c>
      <c r="I100" s="6" t="s">
        <v>46</v>
      </c>
      <c r="J100" s="6" t="s">
        <v>47</v>
      </c>
      <c r="K100" s="11" t="s">
        <v>77</v>
      </c>
      <c r="L100" s="8">
        <v>0.0</v>
      </c>
      <c r="M100" s="8">
        <v>1.0</v>
      </c>
      <c r="N100" s="8">
        <v>0.0</v>
      </c>
      <c r="O100" s="8">
        <v>0.0</v>
      </c>
      <c r="P100" s="8">
        <v>0.0</v>
      </c>
      <c r="Q100" s="8">
        <v>0.0</v>
      </c>
      <c r="R100" s="8">
        <v>0.0</v>
      </c>
      <c r="S100" s="8">
        <v>0.0</v>
      </c>
      <c r="T100" s="8">
        <v>0.0</v>
      </c>
      <c r="U100" s="8">
        <v>0.0</v>
      </c>
      <c r="V100" s="6" t="s">
        <v>49</v>
      </c>
      <c r="W100" s="7" t="s">
        <v>57</v>
      </c>
      <c r="X100" s="10" t="s">
        <v>35</v>
      </c>
      <c r="Y100" s="7">
        <v>18.696</v>
      </c>
      <c r="Z100" s="11">
        <v>21.0</v>
      </c>
      <c r="AA100" s="11">
        <v>0.0</v>
      </c>
      <c r="AB100" s="11">
        <v>0.0</v>
      </c>
      <c r="AC100" s="11">
        <v>96.0</v>
      </c>
      <c r="AD100" s="11">
        <v>0.0</v>
      </c>
      <c r="AE100" s="11">
        <v>39.0</v>
      </c>
      <c r="AF100" s="11">
        <v>26.0</v>
      </c>
      <c r="AG100" s="11">
        <v>0.0</v>
      </c>
      <c r="AH100" s="11">
        <v>4.0</v>
      </c>
      <c r="AI100" s="11">
        <v>7.0</v>
      </c>
      <c r="AJ100" s="11">
        <v>115.0</v>
      </c>
      <c r="AK100" s="11">
        <v>1.0</v>
      </c>
      <c r="AL100" s="11">
        <v>0.0</v>
      </c>
      <c r="AM100" s="11">
        <v>3.0</v>
      </c>
      <c r="AN100" s="11">
        <v>0.0</v>
      </c>
      <c r="AO100" s="11">
        <v>0.0</v>
      </c>
      <c r="AP100" s="11">
        <v>0.0</v>
      </c>
    </row>
    <row r="101" ht="12.0" customHeight="1">
      <c r="A101" s="3">
        <f t="shared" si="9"/>
        <v>102</v>
      </c>
      <c r="B101" s="11">
        <v>17.0</v>
      </c>
      <c r="C101" s="3" t="s">
        <v>213</v>
      </c>
      <c r="D101" s="3" t="s">
        <v>78</v>
      </c>
      <c r="E101" s="6" t="s">
        <v>44</v>
      </c>
      <c r="F101" s="6" t="s">
        <v>44</v>
      </c>
      <c r="G101" s="6" t="s">
        <v>44</v>
      </c>
      <c r="H101" s="7">
        <v>58.832</v>
      </c>
      <c r="I101" s="6" t="s">
        <v>53</v>
      </c>
      <c r="J101" s="6" t="s">
        <v>61</v>
      </c>
      <c r="K101" s="11" t="s">
        <v>62</v>
      </c>
      <c r="L101" s="8">
        <v>0.0</v>
      </c>
      <c r="M101" s="8">
        <v>1.0</v>
      </c>
      <c r="N101" s="8">
        <v>0.0</v>
      </c>
      <c r="O101" s="8">
        <v>0.0</v>
      </c>
      <c r="P101" s="8">
        <v>0.0</v>
      </c>
      <c r="Q101" s="8">
        <v>0.0</v>
      </c>
      <c r="R101" s="8">
        <v>0.0</v>
      </c>
      <c r="S101" s="8">
        <v>0.0</v>
      </c>
      <c r="T101" s="8">
        <v>0.0</v>
      </c>
      <c r="U101" s="8">
        <v>0.0</v>
      </c>
      <c r="V101" s="6" t="s">
        <v>49</v>
      </c>
      <c r="W101" s="7" t="s">
        <v>57</v>
      </c>
      <c r="X101" s="10" t="s">
        <v>35</v>
      </c>
      <c r="Y101" s="7">
        <v>125.85</v>
      </c>
      <c r="Z101" s="11">
        <v>87.0</v>
      </c>
      <c r="AA101" s="11">
        <v>0.0</v>
      </c>
      <c r="AB101" s="11">
        <v>0.0</v>
      </c>
      <c r="AC101" s="11">
        <v>302.0</v>
      </c>
      <c r="AD101" s="11">
        <v>0.0</v>
      </c>
      <c r="AE101" s="11">
        <v>41.0</v>
      </c>
      <c r="AF101" s="11">
        <v>166.0</v>
      </c>
      <c r="AG101" s="11">
        <v>51.0</v>
      </c>
      <c r="AH101" s="11">
        <v>9.0</v>
      </c>
      <c r="AI101" s="11">
        <v>59.0</v>
      </c>
      <c r="AJ101" s="11">
        <v>326.0</v>
      </c>
      <c r="AK101" s="11">
        <v>8.0</v>
      </c>
      <c r="AL101" s="11">
        <v>4.0</v>
      </c>
      <c r="AM101" s="11">
        <v>4.0</v>
      </c>
      <c r="AN101" s="11">
        <v>0.0</v>
      </c>
      <c r="AO101" s="11">
        <v>0.0</v>
      </c>
      <c r="AP101" s="11">
        <v>1.0</v>
      </c>
    </row>
    <row r="102" ht="12.0" customHeight="1">
      <c r="A102" s="3">
        <f t="shared" si="9"/>
        <v>103</v>
      </c>
      <c r="B102" s="11" t="s">
        <v>232</v>
      </c>
      <c r="C102" s="3" t="s">
        <v>142</v>
      </c>
      <c r="D102" s="3" t="s">
        <v>102</v>
      </c>
      <c r="E102" s="6" t="s">
        <v>44</v>
      </c>
      <c r="F102" s="6" t="s">
        <v>44</v>
      </c>
      <c r="G102" s="6" t="s">
        <v>44</v>
      </c>
      <c r="H102" s="7">
        <v>51.75</v>
      </c>
      <c r="I102" s="6" t="s">
        <v>53</v>
      </c>
      <c r="J102" s="6" t="s">
        <v>61</v>
      </c>
      <c r="K102" s="11" t="s">
        <v>138</v>
      </c>
      <c r="L102" s="8">
        <f>3/50</f>
        <v>0.06</v>
      </c>
      <c r="M102" s="8">
        <f>42/50</f>
        <v>0.84</v>
      </c>
      <c r="N102" s="8">
        <v>0.0</v>
      </c>
      <c r="O102" s="8">
        <f>5/50</f>
        <v>0.1</v>
      </c>
      <c r="P102" s="8">
        <v>0.0</v>
      </c>
      <c r="Q102" s="8">
        <v>0.0</v>
      </c>
      <c r="R102" s="8">
        <v>0.0</v>
      </c>
      <c r="S102" s="8">
        <v>0.0</v>
      </c>
      <c r="T102" s="8">
        <v>0.0</v>
      </c>
      <c r="U102" s="8">
        <v>0.0</v>
      </c>
      <c r="V102" s="6" t="s">
        <v>49</v>
      </c>
      <c r="W102" s="7" t="s">
        <v>57</v>
      </c>
      <c r="X102" s="10" t="s">
        <v>35</v>
      </c>
      <c r="Y102" s="7">
        <v>118.501</v>
      </c>
      <c r="Z102" s="11">
        <v>152.0</v>
      </c>
      <c r="AA102" s="11">
        <v>25.0</v>
      </c>
      <c r="AB102" s="11">
        <v>0.0</v>
      </c>
      <c r="AC102" s="11">
        <v>185.0</v>
      </c>
      <c r="AD102" s="11">
        <v>0.0</v>
      </c>
      <c r="AE102" s="11">
        <v>23.0</v>
      </c>
      <c r="AF102" s="11">
        <v>177.0</v>
      </c>
      <c r="AG102" s="11">
        <v>83.0</v>
      </c>
      <c r="AH102" s="11">
        <v>7.0</v>
      </c>
      <c r="AI102" s="11">
        <v>52.0</v>
      </c>
      <c r="AJ102" s="11">
        <v>261.0</v>
      </c>
      <c r="AK102" s="11">
        <v>17.0</v>
      </c>
      <c r="AL102" s="11">
        <v>1.0</v>
      </c>
      <c r="AM102" s="11">
        <v>2.0</v>
      </c>
      <c r="AN102" s="11">
        <v>0.0</v>
      </c>
      <c r="AO102" s="11">
        <v>0.0</v>
      </c>
      <c r="AP102" s="11">
        <v>2.0</v>
      </c>
    </row>
    <row r="103" ht="12.0" customHeight="1">
      <c r="A103" s="3">
        <f t="shared" si="9"/>
        <v>104</v>
      </c>
      <c r="B103" s="11">
        <v>109.0</v>
      </c>
      <c r="C103" s="3" t="s">
        <v>233</v>
      </c>
      <c r="D103" s="3" t="s">
        <v>234</v>
      </c>
      <c r="E103" s="6" t="s">
        <v>44</v>
      </c>
      <c r="F103" s="6" t="s">
        <v>44</v>
      </c>
      <c r="G103" s="6" t="s">
        <v>44</v>
      </c>
      <c r="H103" s="7">
        <v>13.215</v>
      </c>
      <c r="I103" s="6" t="s">
        <v>46</v>
      </c>
      <c r="J103" s="6" t="s">
        <v>47</v>
      </c>
      <c r="K103" s="11" t="s">
        <v>48</v>
      </c>
      <c r="L103" s="8">
        <f>3/14</f>
        <v>0.2142857143</v>
      </c>
      <c r="M103" s="8">
        <f>11/14</f>
        <v>0.7857142857</v>
      </c>
      <c r="N103" s="8">
        <v>0.0</v>
      </c>
      <c r="O103" s="8">
        <v>0.0</v>
      </c>
      <c r="P103" s="8">
        <v>0.0</v>
      </c>
      <c r="Q103" s="8">
        <v>0.0</v>
      </c>
      <c r="R103" s="8">
        <v>0.0</v>
      </c>
      <c r="S103" s="8">
        <v>0.0</v>
      </c>
      <c r="T103" s="8">
        <v>0.0</v>
      </c>
      <c r="U103" s="8">
        <v>0.0</v>
      </c>
      <c r="V103" s="6" t="s">
        <v>49</v>
      </c>
      <c r="W103" s="7" t="s">
        <v>57</v>
      </c>
      <c r="X103" s="10" t="s">
        <v>35</v>
      </c>
      <c r="Y103" s="7">
        <v>20.017</v>
      </c>
      <c r="Z103" s="11">
        <v>9.0</v>
      </c>
      <c r="AA103" s="11">
        <v>0.0</v>
      </c>
      <c r="AB103" s="11">
        <v>0.0</v>
      </c>
      <c r="AC103" s="11">
        <v>83.0</v>
      </c>
      <c r="AD103" s="11">
        <v>0.0</v>
      </c>
      <c r="AE103" s="11">
        <v>12.0</v>
      </c>
      <c r="AF103" s="11">
        <v>24.0</v>
      </c>
      <c r="AG103" s="11">
        <v>4.0</v>
      </c>
      <c r="AH103" s="11">
        <v>3.0</v>
      </c>
      <c r="AI103" s="11">
        <v>8.0</v>
      </c>
      <c r="AJ103" s="11">
        <v>82.0</v>
      </c>
      <c r="AK103" s="11">
        <v>7.0</v>
      </c>
      <c r="AL103" s="11">
        <v>0.0</v>
      </c>
      <c r="AM103" s="11">
        <v>1.0</v>
      </c>
      <c r="AN103" s="11">
        <v>0.0</v>
      </c>
      <c r="AO103" s="11">
        <v>0.0</v>
      </c>
      <c r="AP103" s="11">
        <v>0.0</v>
      </c>
    </row>
    <row r="104" ht="12.0" customHeight="1">
      <c r="A104" s="3">
        <f t="shared" si="9"/>
        <v>105</v>
      </c>
      <c r="B104" s="11" t="s">
        <v>235</v>
      </c>
      <c r="C104" s="3" t="s">
        <v>236</v>
      </c>
      <c r="D104" s="3" t="s">
        <v>237</v>
      </c>
      <c r="E104" s="6" t="s">
        <v>44</v>
      </c>
      <c r="F104" s="6" t="s">
        <v>44</v>
      </c>
      <c r="G104" s="6" t="s">
        <v>44</v>
      </c>
      <c r="H104" s="7">
        <v>40.745</v>
      </c>
      <c r="I104" s="6" t="s">
        <v>46</v>
      </c>
      <c r="J104" s="6" t="s">
        <v>47</v>
      </c>
      <c r="K104" s="11" t="s">
        <v>62</v>
      </c>
      <c r="L104" s="8">
        <f>1/42</f>
        <v>0.02380952381</v>
      </c>
      <c r="M104" s="8">
        <f>16/42</f>
        <v>0.380952381</v>
      </c>
      <c r="N104" s="8">
        <f>17/42</f>
        <v>0.4047619048</v>
      </c>
      <c r="O104" s="8">
        <f>6/42</f>
        <v>0.1428571429</v>
      </c>
      <c r="P104" s="8">
        <f>2/42</f>
        <v>0.04761904762</v>
      </c>
      <c r="Q104" s="8">
        <v>0.0</v>
      </c>
      <c r="R104" s="8">
        <v>0.0</v>
      </c>
      <c r="S104" s="8">
        <v>0.0</v>
      </c>
      <c r="T104" s="8">
        <v>0.0</v>
      </c>
      <c r="U104" s="8">
        <v>0.0</v>
      </c>
      <c r="V104" s="6" t="s">
        <v>56</v>
      </c>
      <c r="W104" s="7" t="s">
        <v>57</v>
      </c>
      <c r="X104" s="10" t="s">
        <v>35</v>
      </c>
      <c r="Y104" s="7">
        <v>69.616</v>
      </c>
      <c r="Z104" s="11">
        <v>96.0</v>
      </c>
      <c r="AA104" s="11">
        <v>0.0</v>
      </c>
      <c r="AB104" s="11">
        <v>0.0</v>
      </c>
      <c r="AC104" s="11">
        <v>173.0</v>
      </c>
      <c r="AD104" s="11">
        <v>0.0</v>
      </c>
      <c r="AE104" s="11">
        <v>35.0</v>
      </c>
      <c r="AF104" s="11">
        <v>135.0</v>
      </c>
      <c r="AG104" s="11">
        <v>47.0</v>
      </c>
      <c r="AH104" s="11">
        <v>6.0</v>
      </c>
      <c r="AI104" s="11">
        <v>41.0</v>
      </c>
      <c r="AJ104" s="11">
        <v>248.0</v>
      </c>
      <c r="AK104" s="11">
        <v>10.0</v>
      </c>
      <c r="AL104" s="11">
        <v>0.0</v>
      </c>
      <c r="AM104" s="11">
        <v>21.0</v>
      </c>
      <c r="AN104" s="11">
        <v>1.0</v>
      </c>
      <c r="AO104" s="11">
        <v>0.0</v>
      </c>
      <c r="AP104" s="11">
        <v>0.0</v>
      </c>
    </row>
    <row r="105" ht="12.0" customHeight="1">
      <c r="A105" s="3">
        <f t="shared" si="9"/>
        <v>106</v>
      </c>
      <c r="B105" s="11" t="s">
        <v>238</v>
      </c>
      <c r="C105" s="3" t="s">
        <v>239</v>
      </c>
      <c r="D105" s="3" t="s">
        <v>240</v>
      </c>
      <c r="E105" s="6" t="s">
        <v>44</v>
      </c>
      <c r="F105" s="6" t="s">
        <v>44</v>
      </c>
      <c r="G105" s="6" t="s">
        <v>44</v>
      </c>
      <c r="H105" s="7">
        <v>48.713</v>
      </c>
      <c r="I105" s="6" t="s">
        <v>53</v>
      </c>
      <c r="J105" s="6" t="s">
        <v>47</v>
      </c>
      <c r="K105" s="11" t="s">
        <v>62</v>
      </c>
      <c r="L105" s="8">
        <v>0.0</v>
      </c>
      <c r="M105" s="8">
        <v>0.0</v>
      </c>
      <c r="N105" s="8">
        <v>0.0</v>
      </c>
      <c r="O105" s="8">
        <v>0.0</v>
      </c>
      <c r="P105" s="8">
        <v>0.0</v>
      </c>
      <c r="Q105" s="8">
        <v>0.0</v>
      </c>
      <c r="R105" s="8">
        <v>0.0</v>
      </c>
      <c r="S105" s="8">
        <v>0.0</v>
      </c>
      <c r="T105" s="8">
        <v>1.0</v>
      </c>
      <c r="U105" s="8">
        <v>0.0</v>
      </c>
      <c r="V105" s="6" t="s">
        <v>49</v>
      </c>
      <c r="W105" s="7" t="s">
        <v>57</v>
      </c>
      <c r="X105" s="10" t="s">
        <v>35</v>
      </c>
      <c r="Y105" s="7">
        <v>94.526</v>
      </c>
      <c r="Z105" s="11">
        <v>97.0</v>
      </c>
      <c r="AA105" s="11">
        <v>0.0</v>
      </c>
      <c r="AB105" s="11">
        <v>0.0</v>
      </c>
      <c r="AC105" s="11">
        <v>302.0</v>
      </c>
      <c r="AD105" s="11">
        <v>2.0</v>
      </c>
      <c r="AE105" s="11">
        <v>45.0</v>
      </c>
      <c r="AF105" s="11">
        <v>175.0</v>
      </c>
      <c r="AG105" s="11">
        <v>34.0</v>
      </c>
      <c r="AH105" s="11">
        <v>10.0</v>
      </c>
      <c r="AI105" s="11">
        <v>60.0</v>
      </c>
      <c r="AJ105" s="11">
        <v>295.0</v>
      </c>
      <c r="AK105" s="11">
        <v>17.0</v>
      </c>
      <c r="AL105" s="11">
        <v>0.0</v>
      </c>
      <c r="AM105" s="11">
        <v>35.0</v>
      </c>
      <c r="AN105" s="11">
        <v>0.0</v>
      </c>
      <c r="AO105" s="11">
        <v>0.0</v>
      </c>
      <c r="AP105" s="11">
        <v>0.0</v>
      </c>
    </row>
    <row r="106" ht="12.0" customHeight="1">
      <c r="A106" s="3">
        <f t="shared" si="9"/>
        <v>107</v>
      </c>
      <c r="B106" s="11">
        <v>216.0</v>
      </c>
      <c r="C106" s="3" t="s">
        <v>241</v>
      </c>
      <c r="D106" s="3" t="s">
        <v>242</v>
      </c>
      <c r="E106" s="6" t="s">
        <v>44</v>
      </c>
      <c r="F106" s="6" t="s">
        <v>44</v>
      </c>
      <c r="G106" s="6" t="s">
        <v>44</v>
      </c>
      <c r="H106" s="7">
        <v>15.113</v>
      </c>
      <c r="I106" s="6" t="s">
        <v>46</v>
      </c>
      <c r="J106" s="6" t="s">
        <v>47</v>
      </c>
      <c r="K106" s="11" t="s">
        <v>77</v>
      </c>
      <c r="L106" s="8">
        <v>0.0</v>
      </c>
      <c r="M106" s="8">
        <f>1/14</f>
        <v>0.07142857143</v>
      </c>
      <c r="N106" s="8">
        <f>3/14</f>
        <v>0.2142857143</v>
      </c>
      <c r="O106" s="8">
        <f>4/14</f>
        <v>0.2857142857</v>
      </c>
      <c r="P106" s="8">
        <f>1/14</f>
        <v>0.07142857143</v>
      </c>
      <c r="Q106" s="8">
        <f>5/14</f>
        <v>0.3571428571</v>
      </c>
      <c r="R106" s="8">
        <v>0.0</v>
      </c>
      <c r="S106" s="8">
        <v>0.0</v>
      </c>
      <c r="T106" s="8">
        <v>0.0</v>
      </c>
      <c r="U106" s="8">
        <v>0.0</v>
      </c>
      <c r="V106" s="6" t="s">
        <v>49</v>
      </c>
      <c r="W106" s="7" t="s">
        <v>57</v>
      </c>
      <c r="X106" s="10" t="s">
        <v>35</v>
      </c>
      <c r="Y106" s="7">
        <v>15.62</v>
      </c>
      <c r="Z106" s="11">
        <v>6.0</v>
      </c>
      <c r="AA106" s="11">
        <v>0.0</v>
      </c>
      <c r="AB106" s="11">
        <v>0.0</v>
      </c>
      <c r="AC106" s="11">
        <v>29.0</v>
      </c>
      <c r="AD106" s="11">
        <v>0.0</v>
      </c>
      <c r="AE106" s="11">
        <v>12.0</v>
      </c>
      <c r="AF106" s="11">
        <v>13.0</v>
      </c>
      <c r="AG106" s="11">
        <v>2.0</v>
      </c>
      <c r="AH106" s="11">
        <v>1.0</v>
      </c>
      <c r="AI106" s="11">
        <v>2.0</v>
      </c>
      <c r="AJ106" s="11">
        <v>51.0</v>
      </c>
      <c r="AK106" s="11">
        <v>0.0</v>
      </c>
      <c r="AL106" s="11">
        <v>0.0</v>
      </c>
      <c r="AM106" s="11">
        <v>4.0</v>
      </c>
      <c r="AN106" s="11">
        <v>0.0</v>
      </c>
      <c r="AO106" s="11">
        <v>0.0</v>
      </c>
      <c r="AP106" s="11">
        <v>0.0</v>
      </c>
    </row>
    <row r="107" ht="12.0" customHeight="1">
      <c r="A107" s="3">
        <v>114.0</v>
      </c>
      <c r="B107" s="11" t="s">
        <v>243</v>
      </c>
      <c r="C107" s="11" t="s">
        <v>150</v>
      </c>
      <c r="D107" s="11" t="s">
        <v>244</v>
      </c>
      <c r="E107" s="6" t="s">
        <v>44</v>
      </c>
      <c r="F107" s="6" t="s">
        <v>44</v>
      </c>
      <c r="G107" s="6" t="s">
        <v>45</v>
      </c>
      <c r="H107" s="12">
        <v>13.6</v>
      </c>
      <c r="I107" s="6" t="s">
        <v>53</v>
      </c>
      <c r="J107" s="6" t="s">
        <v>61</v>
      </c>
      <c r="K107" s="11" t="s">
        <v>62</v>
      </c>
      <c r="L107" s="8">
        <v>0.0</v>
      </c>
      <c r="M107" s="8">
        <f>5/9</f>
        <v>0.5555555556</v>
      </c>
      <c r="N107" s="8">
        <f>1/9</f>
        <v>0.1111111111</v>
      </c>
      <c r="O107" s="8">
        <f>2/9</f>
        <v>0.2222222222</v>
      </c>
      <c r="P107" s="8">
        <f>1/9</f>
        <v>0.1111111111</v>
      </c>
      <c r="Q107" s="8">
        <v>0.0</v>
      </c>
      <c r="R107" s="8">
        <v>0.0</v>
      </c>
      <c r="S107" s="8">
        <v>0.0</v>
      </c>
      <c r="T107" s="8">
        <v>0.0</v>
      </c>
      <c r="U107" s="8">
        <v>0.0</v>
      </c>
      <c r="V107" s="6" t="s">
        <v>56</v>
      </c>
      <c r="W107" s="7" t="s">
        <v>57</v>
      </c>
      <c r="X107" s="10" t="s">
        <v>35</v>
      </c>
      <c r="Y107" s="12">
        <v>28.0</v>
      </c>
      <c r="Z107" s="11">
        <v>28.0</v>
      </c>
      <c r="AA107" s="11">
        <v>41.0</v>
      </c>
      <c r="AB107" s="11">
        <v>120.0</v>
      </c>
      <c r="AC107" s="11">
        <v>54.0</v>
      </c>
      <c r="AD107" s="11">
        <v>0.0</v>
      </c>
      <c r="AE107" s="11">
        <v>3.0</v>
      </c>
      <c r="AF107" s="11">
        <v>35.0</v>
      </c>
      <c r="AG107" s="11">
        <v>24.0</v>
      </c>
      <c r="AH107" s="11">
        <v>1.0</v>
      </c>
      <c r="AI107" s="11">
        <v>16.0</v>
      </c>
      <c r="AJ107" s="11">
        <v>59.0</v>
      </c>
      <c r="AK107" s="11">
        <v>3.0</v>
      </c>
      <c r="AL107" s="11">
        <v>0.0</v>
      </c>
      <c r="AM107" s="11">
        <v>3.0</v>
      </c>
      <c r="AN107" s="11">
        <v>6.0</v>
      </c>
      <c r="AO107" s="11">
        <v>1.0</v>
      </c>
      <c r="AP107" s="11">
        <v>0.0</v>
      </c>
    </row>
    <row r="108" ht="12.0" customHeight="1">
      <c r="A108" s="3">
        <f>A107+1</f>
        <v>115</v>
      </c>
      <c r="B108" s="11">
        <v>542.0</v>
      </c>
      <c r="C108" s="11" t="s">
        <v>245</v>
      </c>
      <c r="D108" s="3" t="s">
        <v>246</v>
      </c>
      <c r="E108" s="6" t="s">
        <v>44</v>
      </c>
      <c r="F108" s="6" t="s">
        <v>45</v>
      </c>
      <c r="G108" s="6" t="s">
        <v>45</v>
      </c>
      <c r="H108" s="12">
        <v>5.0</v>
      </c>
      <c r="I108" s="6" t="s">
        <v>105</v>
      </c>
      <c r="J108" s="6" t="s">
        <v>61</v>
      </c>
      <c r="K108" s="11" t="s">
        <v>62</v>
      </c>
      <c r="L108" s="8">
        <v>0.0</v>
      </c>
      <c r="M108" s="8">
        <v>0.0</v>
      </c>
      <c r="N108" s="8">
        <v>0.0</v>
      </c>
      <c r="O108" s="8">
        <v>0.0</v>
      </c>
      <c r="P108" s="8">
        <v>0.0</v>
      </c>
      <c r="Q108" s="8">
        <v>0.0</v>
      </c>
      <c r="R108" s="8">
        <v>0.0</v>
      </c>
      <c r="S108" s="8">
        <v>0.0</v>
      </c>
      <c r="T108" s="8">
        <v>1.0</v>
      </c>
      <c r="U108" s="8">
        <v>0.0</v>
      </c>
      <c r="V108" s="6" t="s">
        <v>49</v>
      </c>
      <c r="W108" s="7" t="s">
        <v>57</v>
      </c>
      <c r="X108" s="10" t="s">
        <v>35</v>
      </c>
      <c r="Y108" s="12">
        <v>34.0</v>
      </c>
      <c r="Z108" s="11">
        <v>130.0</v>
      </c>
      <c r="AA108" s="11">
        <v>0.0</v>
      </c>
      <c r="AB108" s="11">
        <v>0.0</v>
      </c>
      <c r="AC108" s="11">
        <v>31.0</v>
      </c>
      <c r="AD108" s="11">
        <v>5.0</v>
      </c>
      <c r="AE108" s="11">
        <v>7.0</v>
      </c>
      <c r="AF108" s="11">
        <v>78.0</v>
      </c>
      <c r="AG108" s="11">
        <v>24.0</v>
      </c>
      <c r="AH108" s="11">
        <v>1.0</v>
      </c>
      <c r="AI108" s="11">
        <v>53.0</v>
      </c>
      <c r="AJ108" s="11">
        <v>91.0</v>
      </c>
      <c r="AK108" s="11">
        <v>4.0</v>
      </c>
      <c r="AL108" s="11">
        <v>0.0</v>
      </c>
      <c r="AM108" s="11">
        <v>2.0</v>
      </c>
      <c r="AN108" s="11">
        <v>2.0</v>
      </c>
      <c r="AO108" s="11">
        <v>0.0</v>
      </c>
      <c r="AP108" s="11">
        <v>0.0</v>
      </c>
    </row>
    <row r="109" ht="12.0" customHeight="1">
      <c r="A109" s="3">
        <v>117.0</v>
      </c>
      <c r="B109" s="11">
        <v>46.0</v>
      </c>
      <c r="C109" s="3" t="s">
        <v>247</v>
      </c>
      <c r="D109" s="3" t="s">
        <v>140</v>
      </c>
      <c r="E109" s="6" t="s">
        <v>44</v>
      </c>
      <c r="F109" s="6" t="s">
        <v>44</v>
      </c>
      <c r="G109" s="6" t="s">
        <v>45</v>
      </c>
      <c r="H109" s="7">
        <v>15.1</v>
      </c>
      <c r="I109" s="6" t="s">
        <v>53</v>
      </c>
      <c r="J109" s="6" t="s">
        <v>61</v>
      </c>
      <c r="K109" s="11" t="s">
        <v>138</v>
      </c>
      <c r="L109" s="8">
        <v>0.0</v>
      </c>
      <c r="M109" s="8">
        <v>0.0</v>
      </c>
      <c r="N109" s="8">
        <f>1/15</f>
        <v>0.06666666667</v>
      </c>
      <c r="O109" s="8">
        <f>5/15</f>
        <v>0.3333333333</v>
      </c>
      <c r="P109" s="8">
        <v>0.0</v>
      </c>
      <c r="Q109" s="8">
        <f>2/15</f>
        <v>0.1333333333</v>
      </c>
      <c r="R109" s="8">
        <v>0.0</v>
      </c>
      <c r="S109" s="8">
        <v>0.0</v>
      </c>
      <c r="T109" s="8">
        <f>7/15</f>
        <v>0.4666666667</v>
      </c>
      <c r="U109" s="8">
        <v>0.0</v>
      </c>
      <c r="V109" s="6" t="s">
        <v>49</v>
      </c>
      <c r="W109" s="7" t="s">
        <v>57</v>
      </c>
      <c r="X109" s="10" t="s">
        <v>35</v>
      </c>
      <c r="Y109" s="7">
        <v>50.469</v>
      </c>
      <c r="Z109" s="11">
        <v>42.0</v>
      </c>
      <c r="AA109" s="11">
        <v>0.0</v>
      </c>
      <c r="AB109" s="11">
        <v>10.0</v>
      </c>
      <c r="AC109" s="11">
        <v>40.0</v>
      </c>
      <c r="AD109" s="11">
        <v>0.0</v>
      </c>
      <c r="AE109" s="11">
        <v>5.0</v>
      </c>
      <c r="AF109" s="11">
        <v>54.0</v>
      </c>
      <c r="AG109" s="11">
        <v>30.0</v>
      </c>
      <c r="AH109" s="11">
        <v>1.0</v>
      </c>
      <c r="AI109" s="11">
        <v>11.0</v>
      </c>
      <c r="AJ109" s="11">
        <v>90.0</v>
      </c>
      <c r="AK109" s="11">
        <v>10.0</v>
      </c>
      <c r="AL109" s="11">
        <v>0.0</v>
      </c>
      <c r="AM109" s="11">
        <v>4.0</v>
      </c>
      <c r="AN109" s="11">
        <v>1.0</v>
      </c>
      <c r="AO109" s="11">
        <v>0.0</v>
      </c>
      <c r="AP109" s="11">
        <v>0.0</v>
      </c>
    </row>
    <row r="110" ht="12.0" customHeight="1">
      <c r="B110" s="11"/>
      <c r="E110" s="11"/>
      <c r="F110" s="11"/>
      <c r="G110" s="11"/>
      <c r="H110" s="7"/>
      <c r="I110" s="11"/>
      <c r="J110" s="11"/>
      <c r="K110" s="11"/>
      <c r="L110" s="8"/>
      <c r="M110" s="8"/>
      <c r="N110" s="8"/>
      <c r="O110" s="8"/>
      <c r="P110" s="8"/>
      <c r="Q110" s="8"/>
      <c r="R110" s="8"/>
      <c r="S110" s="8"/>
      <c r="T110" s="8"/>
      <c r="U110" s="8"/>
      <c r="V110" s="11"/>
      <c r="W110" s="7"/>
      <c r="X110" s="7"/>
      <c r="Y110" s="7"/>
      <c r="Z110" s="3"/>
      <c r="AA110" s="3"/>
      <c r="AB110" s="3"/>
      <c r="AC110" s="13"/>
      <c r="AD110" s="3"/>
      <c r="AE110" s="13"/>
      <c r="AF110" s="13"/>
      <c r="AG110" s="13"/>
      <c r="AH110" s="3"/>
      <c r="AI110" s="3"/>
      <c r="AJ110" s="3"/>
      <c r="AK110" s="13"/>
      <c r="AL110" s="13"/>
      <c r="AM110" s="13"/>
      <c r="AN110" s="13"/>
      <c r="AO110" s="3"/>
      <c r="AP110" s="13"/>
    </row>
    <row r="111" ht="12.0" customHeight="1">
      <c r="A111" s="11"/>
      <c r="B111" s="11"/>
      <c r="C111" s="11"/>
      <c r="D111" s="11"/>
      <c r="E111" s="11"/>
      <c r="F111" s="11"/>
      <c r="G111" s="11"/>
      <c r="H111" s="7"/>
      <c r="I111" s="11"/>
      <c r="J111" s="11"/>
      <c r="K111" s="11"/>
      <c r="L111" s="8"/>
      <c r="M111" s="8"/>
      <c r="N111" s="8"/>
      <c r="O111" s="8"/>
      <c r="P111" s="8"/>
      <c r="Q111" s="8"/>
      <c r="R111" s="8"/>
      <c r="S111" s="8"/>
      <c r="T111" s="8"/>
      <c r="U111" s="8"/>
      <c r="W111" s="7"/>
      <c r="X111" s="7"/>
      <c r="Y111" s="12"/>
      <c r="AK111" s="11"/>
      <c r="AL111" s="11"/>
      <c r="AM111" s="11"/>
      <c r="AN111" s="11"/>
      <c r="AO111" s="11"/>
      <c r="AP111" s="11"/>
    </row>
    <row r="112" ht="12.0" customHeight="1">
      <c r="A112" s="11"/>
      <c r="B112" s="11"/>
      <c r="C112" s="11"/>
      <c r="D112" s="11"/>
      <c r="E112" s="11"/>
      <c r="F112" s="11"/>
      <c r="G112" s="11"/>
      <c r="I112" s="11"/>
      <c r="J112" s="11"/>
      <c r="K112" s="11"/>
      <c r="AK112" s="11"/>
      <c r="AL112" s="11"/>
      <c r="AM112" s="11"/>
      <c r="AN112" s="11"/>
      <c r="AO112" s="11"/>
      <c r="AP112" s="11"/>
    </row>
    <row r="113" ht="12.0" customHeight="1">
      <c r="A113" s="11"/>
      <c r="B113" s="11"/>
      <c r="C113" s="11"/>
      <c r="D113" s="11"/>
      <c r="E113" s="11"/>
      <c r="F113" s="11"/>
      <c r="G113" s="11"/>
      <c r="I113" s="11"/>
      <c r="J113" s="11"/>
      <c r="K113" s="11"/>
      <c r="AK113" s="11"/>
      <c r="AL113" s="11"/>
      <c r="AM113" s="11"/>
      <c r="AN113" s="11"/>
      <c r="AO113" s="11"/>
      <c r="AP113" s="11"/>
    </row>
    <row r="114" ht="12.0" customHeight="1">
      <c r="A114" s="11"/>
      <c r="B114" s="11"/>
      <c r="C114" s="11"/>
      <c r="D114" s="11"/>
      <c r="E114" s="11"/>
      <c r="F114" s="11"/>
      <c r="G114" s="11"/>
      <c r="I114" s="11"/>
      <c r="J114" s="11"/>
      <c r="K114" s="11"/>
      <c r="AK114" s="11"/>
      <c r="AL114" s="11"/>
      <c r="AM114" s="11"/>
      <c r="AN114" s="11"/>
      <c r="AO114" s="11"/>
      <c r="AP114" s="11"/>
    </row>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printOptions/>
  <pageMargins bottom="0.75" footer="0.0" header="0.0" left="0.7" right="0.7" top="0.75"/>
  <pageSetup paperSize="9" scale="6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48.71"/>
    <col customWidth="1" min="3" max="3" width="20.43"/>
    <col customWidth="1" min="4" max="4" width="70.71"/>
    <col customWidth="1" min="5" max="5" width="25.86"/>
    <col customWidth="1" min="6" max="26" width="8.71"/>
  </cols>
  <sheetData>
    <row r="1" ht="12.0" customHeight="1">
      <c r="A1" s="14" t="s">
        <v>248</v>
      </c>
      <c r="B1" s="14" t="s">
        <v>249</v>
      </c>
      <c r="C1" s="14" t="s">
        <v>250</v>
      </c>
      <c r="D1" s="14" t="s">
        <v>251</v>
      </c>
      <c r="E1" s="14" t="s">
        <v>252</v>
      </c>
    </row>
    <row r="2" ht="12.0" customHeight="1">
      <c r="A2" s="15" t="s">
        <v>253</v>
      </c>
      <c r="B2" s="16" t="s">
        <v>254</v>
      </c>
      <c r="C2" s="17" t="s">
        <v>255</v>
      </c>
    </row>
    <row r="3" ht="12.0" customHeight="1">
      <c r="A3" s="15" t="s">
        <v>1</v>
      </c>
      <c r="B3" s="16" t="s">
        <v>256</v>
      </c>
      <c r="C3" s="16" t="s">
        <v>257</v>
      </c>
    </row>
    <row r="4" ht="12.0" customHeight="1">
      <c r="A4" s="15" t="s">
        <v>258</v>
      </c>
      <c r="B4" s="16" t="s">
        <v>259</v>
      </c>
      <c r="C4" s="16" t="s">
        <v>257</v>
      </c>
    </row>
    <row r="5" ht="12.0" customHeight="1">
      <c r="A5" s="15" t="s">
        <v>260</v>
      </c>
      <c r="B5" s="16" t="s">
        <v>261</v>
      </c>
      <c r="C5" s="16" t="s">
        <v>257</v>
      </c>
    </row>
    <row r="6" ht="12.0" customHeight="1">
      <c r="A6" s="15" t="s">
        <v>4</v>
      </c>
      <c r="B6" s="18" t="s">
        <v>262</v>
      </c>
      <c r="C6" s="16"/>
    </row>
    <row r="7" ht="12.0" customHeight="1">
      <c r="A7" s="15" t="s">
        <v>5</v>
      </c>
      <c r="B7" s="19" t="s">
        <v>263</v>
      </c>
      <c r="C7" s="20" t="s">
        <v>264</v>
      </c>
    </row>
    <row r="8" ht="12.0" customHeight="1">
      <c r="A8" s="15" t="s">
        <v>6</v>
      </c>
      <c r="B8" s="21" t="s">
        <v>265</v>
      </c>
      <c r="C8" s="22" t="s">
        <v>266</v>
      </c>
    </row>
    <row r="9" ht="12.0" customHeight="1">
      <c r="A9" s="15" t="s">
        <v>267</v>
      </c>
      <c r="B9" s="16" t="s">
        <v>268</v>
      </c>
      <c r="C9" s="16" t="s">
        <v>257</v>
      </c>
    </row>
    <row r="10" ht="12.0" customHeight="1">
      <c r="A10" s="15" t="s">
        <v>269</v>
      </c>
      <c r="B10" s="16" t="s">
        <v>270</v>
      </c>
      <c r="C10" s="22" t="s">
        <v>271</v>
      </c>
    </row>
    <row r="11" ht="12.0" customHeight="1">
      <c r="A11" s="15" t="s">
        <v>272</v>
      </c>
      <c r="B11" s="23" t="s">
        <v>273</v>
      </c>
      <c r="C11" s="24" t="s">
        <v>274</v>
      </c>
      <c r="D11" s="25" t="s">
        <v>275</v>
      </c>
    </row>
    <row r="12" ht="12.0" customHeight="1">
      <c r="A12" s="15" t="s">
        <v>276</v>
      </c>
      <c r="B12" s="21" t="s">
        <v>277</v>
      </c>
      <c r="C12" s="24" t="s">
        <v>278</v>
      </c>
    </row>
    <row r="13" ht="12.0" customHeight="1">
      <c r="A13" s="15" t="s">
        <v>279</v>
      </c>
      <c r="B13" s="19" t="s">
        <v>280</v>
      </c>
      <c r="C13" s="26" t="s">
        <v>281</v>
      </c>
      <c r="D13" s="19" t="s">
        <v>282</v>
      </c>
      <c r="E13" s="27" t="s">
        <v>283</v>
      </c>
      <c r="F13" s="3"/>
      <c r="G13" s="3"/>
      <c r="H13" s="3"/>
      <c r="I13" s="3"/>
      <c r="J13" s="3"/>
    </row>
    <row r="14" ht="12.0" customHeight="1">
      <c r="A14" s="15" t="s">
        <v>284</v>
      </c>
      <c r="B14" s="19" t="s">
        <v>285</v>
      </c>
      <c r="C14" s="22" t="s">
        <v>286</v>
      </c>
      <c r="D14" s="19" t="s">
        <v>282</v>
      </c>
      <c r="E14" s="3"/>
    </row>
    <row r="15" ht="12.0" customHeight="1">
      <c r="A15" s="15" t="s">
        <v>287</v>
      </c>
      <c r="B15" s="19" t="s">
        <v>288</v>
      </c>
      <c r="C15" s="22" t="s">
        <v>286</v>
      </c>
      <c r="D15" s="19" t="s">
        <v>282</v>
      </c>
      <c r="E15" s="3"/>
    </row>
    <row r="16" ht="12.0" customHeight="1">
      <c r="A16" s="15" t="s">
        <v>289</v>
      </c>
      <c r="B16" s="19" t="s">
        <v>290</v>
      </c>
      <c r="C16" s="22" t="s">
        <v>286</v>
      </c>
      <c r="D16" s="19" t="s">
        <v>282</v>
      </c>
      <c r="E16" s="3"/>
    </row>
    <row r="17" ht="12.0" customHeight="1">
      <c r="A17" s="15" t="s">
        <v>291</v>
      </c>
      <c r="B17" s="19" t="s">
        <v>292</v>
      </c>
      <c r="C17" s="22" t="s">
        <v>286</v>
      </c>
      <c r="D17" s="19" t="s">
        <v>282</v>
      </c>
      <c r="E17" s="3"/>
    </row>
    <row r="18" ht="12.0" customHeight="1">
      <c r="A18" s="15" t="s">
        <v>293</v>
      </c>
      <c r="B18" s="19" t="s">
        <v>294</v>
      </c>
      <c r="C18" s="22" t="s">
        <v>286</v>
      </c>
      <c r="D18" s="19" t="s">
        <v>282</v>
      </c>
      <c r="E18" s="3"/>
    </row>
    <row r="19" ht="12.0" customHeight="1">
      <c r="A19" s="15" t="s">
        <v>295</v>
      </c>
      <c r="B19" s="19" t="s">
        <v>296</v>
      </c>
      <c r="C19" s="22" t="s">
        <v>286</v>
      </c>
      <c r="D19" s="19" t="s">
        <v>282</v>
      </c>
      <c r="E19" s="3"/>
    </row>
    <row r="20" ht="12.0" customHeight="1">
      <c r="A20" s="15" t="s">
        <v>297</v>
      </c>
      <c r="B20" s="19" t="s">
        <v>298</v>
      </c>
      <c r="C20" s="22" t="s">
        <v>286</v>
      </c>
      <c r="D20" s="19" t="s">
        <v>282</v>
      </c>
      <c r="E20" s="3"/>
    </row>
    <row r="21" ht="12.0" customHeight="1">
      <c r="A21" s="15" t="s">
        <v>299</v>
      </c>
      <c r="B21" s="25" t="s">
        <v>300</v>
      </c>
      <c r="C21" s="22" t="s">
        <v>286</v>
      </c>
      <c r="D21" s="19" t="s">
        <v>282</v>
      </c>
      <c r="E21" s="3"/>
    </row>
    <row r="22" ht="12.0" customHeight="1">
      <c r="A22" s="28" t="s">
        <v>301</v>
      </c>
      <c r="B22" s="19" t="s">
        <v>302</v>
      </c>
      <c r="C22" s="22" t="s">
        <v>286</v>
      </c>
      <c r="D22" s="19" t="s">
        <v>282</v>
      </c>
      <c r="E22" s="3"/>
    </row>
    <row r="23" ht="12.0" customHeight="1">
      <c r="A23" s="28" t="s">
        <v>303</v>
      </c>
      <c r="B23" s="21" t="s">
        <v>304</v>
      </c>
      <c r="C23" s="29" t="s">
        <v>305</v>
      </c>
    </row>
    <row r="24" ht="12.0" customHeight="1">
      <c r="A24" s="15" t="s">
        <v>306</v>
      </c>
      <c r="B24" s="16" t="s">
        <v>307</v>
      </c>
      <c r="C24" s="16" t="s">
        <v>257</v>
      </c>
    </row>
    <row r="25" ht="12.0" customHeight="1">
      <c r="A25" s="15" t="s">
        <v>308</v>
      </c>
      <c r="B25" s="21" t="s">
        <v>309</v>
      </c>
      <c r="C25" s="16" t="s">
        <v>257</v>
      </c>
    </row>
    <row r="26" ht="12.0" customHeight="1">
      <c r="A26" s="15" t="s">
        <v>310</v>
      </c>
      <c r="B26" s="16" t="s">
        <v>311</v>
      </c>
      <c r="C26" s="16" t="s">
        <v>257</v>
      </c>
    </row>
    <row r="27" ht="12.0" customHeight="1">
      <c r="A27" s="15" t="s">
        <v>312</v>
      </c>
      <c r="B27" s="16" t="s">
        <v>313</v>
      </c>
      <c r="C27" s="16" t="s">
        <v>257</v>
      </c>
      <c r="D27" s="18" t="s">
        <v>314</v>
      </c>
      <c r="E27" s="3"/>
    </row>
    <row r="28" ht="12.0" customHeight="1">
      <c r="A28" s="28" t="s">
        <v>26</v>
      </c>
      <c r="B28" s="21" t="s">
        <v>315</v>
      </c>
      <c r="C28" s="16" t="s">
        <v>257</v>
      </c>
      <c r="D28" s="30" t="s">
        <v>316</v>
      </c>
      <c r="E28" s="3"/>
    </row>
    <row r="29" ht="12.0" customHeight="1">
      <c r="A29" s="15" t="s">
        <v>317</v>
      </c>
      <c r="B29" s="16" t="s">
        <v>318</v>
      </c>
      <c r="C29" s="16"/>
      <c r="D29" s="18" t="s">
        <v>319</v>
      </c>
      <c r="E29" s="3"/>
    </row>
    <row r="30" ht="12.0" customHeight="1">
      <c r="A30" s="15" t="s">
        <v>320</v>
      </c>
      <c r="B30" s="16" t="s">
        <v>321</v>
      </c>
      <c r="C30" s="16" t="s">
        <v>257</v>
      </c>
      <c r="D30" s="18" t="s">
        <v>322</v>
      </c>
      <c r="E30" s="3"/>
    </row>
    <row r="31" ht="12.0" customHeight="1">
      <c r="A31" s="15" t="s">
        <v>323</v>
      </c>
      <c r="B31" s="16" t="s">
        <v>324</v>
      </c>
      <c r="C31" s="19" t="s">
        <v>257</v>
      </c>
      <c r="D31" s="25" t="s">
        <v>325</v>
      </c>
      <c r="E31" s="3"/>
    </row>
    <row r="32" ht="99.0" customHeight="1">
      <c r="A32" s="15" t="s">
        <v>326</v>
      </c>
      <c r="B32" s="16" t="s">
        <v>327</v>
      </c>
      <c r="C32" s="16" t="s">
        <v>257</v>
      </c>
      <c r="D32" s="6" t="s">
        <v>328</v>
      </c>
      <c r="E32" s="3"/>
    </row>
    <row r="33" ht="12.0" customHeight="1">
      <c r="A33" s="15" t="s">
        <v>329</v>
      </c>
      <c r="B33" s="16" t="s">
        <v>330</v>
      </c>
      <c r="C33" s="16" t="s">
        <v>257</v>
      </c>
      <c r="D33" s="18" t="s">
        <v>331</v>
      </c>
    </row>
    <row r="34" ht="81.75" customHeight="1">
      <c r="A34" s="15" t="s">
        <v>332</v>
      </c>
      <c r="B34" s="16" t="s">
        <v>333</v>
      </c>
      <c r="C34" s="16" t="s">
        <v>257</v>
      </c>
      <c r="D34" s="11" t="s">
        <v>334</v>
      </c>
      <c r="E34" s="3"/>
    </row>
    <row r="35" ht="12.0" customHeight="1">
      <c r="A35" s="15" t="s">
        <v>33</v>
      </c>
      <c r="B35" s="16" t="s">
        <v>335</v>
      </c>
      <c r="C35" s="16" t="s">
        <v>257</v>
      </c>
      <c r="D35" s="16" t="s">
        <v>336</v>
      </c>
    </row>
    <row r="36" ht="12.0" customHeight="1">
      <c r="A36" s="15" t="s">
        <v>337</v>
      </c>
      <c r="B36" s="16" t="s">
        <v>338</v>
      </c>
      <c r="C36" s="16" t="s">
        <v>257</v>
      </c>
      <c r="D36" s="25" t="s">
        <v>339</v>
      </c>
      <c r="E36" s="3"/>
    </row>
    <row r="37" ht="70.5" customHeight="1">
      <c r="A37" s="15" t="s">
        <v>340</v>
      </c>
      <c r="B37" s="16" t="s">
        <v>341</v>
      </c>
      <c r="C37" s="16" t="s">
        <v>257</v>
      </c>
      <c r="D37" s="18" t="s">
        <v>342</v>
      </c>
      <c r="E37" s="3"/>
    </row>
    <row r="38" ht="12.0" customHeight="1">
      <c r="A38" s="15" t="s">
        <v>343</v>
      </c>
      <c r="B38" s="19" t="s">
        <v>344</v>
      </c>
      <c r="C38" s="16" t="s">
        <v>257</v>
      </c>
      <c r="D38" s="30" t="s">
        <v>345</v>
      </c>
    </row>
    <row r="39">
      <c r="A39" s="31" t="s">
        <v>37</v>
      </c>
      <c r="B39" s="19" t="s">
        <v>346</v>
      </c>
      <c r="C39" s="16" t="s">
        <v>257</v>
      </c>
      <c r="D39" s="11" t="s">
        <v>347</v>
      </c>
    </row>
    <row r="40" ht="12.0" customHeight="1">
      <c r="A40" s="15" t="s">
        <v>348</v>
      </c>
      <c r="B40" s="16" t="s">
        <v>349</v>
      </c>
      <c r="C40" s="16" t="s">
        <v>257</v>
      </c>
      <c r="D40" s="11" t="s">
        <v>350</v>
      </c>
    </row>
    <row r="41" ht="12.0" customHeight="1">
      <c r="A41" s="15" t="s">
        <v>351</v>
      </c>
      <c r="B41" s="16" t="s">
        <v>352</v>
      </c>
      <c r="C41" s="16" t="s">
        <v>257</v>
      </c>
      <c r="D41" s="11" t="s">
        <v>353</v>
      </c>
    </row>
    <row r="42" ht="12.0" customHeight="1">
      <c r="A42" s="15" t="s">
        <v>354</v>
      </c>
      <c r="B42" s="16" t="s">
        <v>355</v>
      </c>
      <c r="C42" s="16" t="s">
        <v>257</v>
      </c>
      <c r="D42" s="11" t="s">
        <v>356</v>
      </c>
    </row>
    <row r="43">
      <c r="A43" s="31" t="s">
        <v>41</v>
      </c>
      <c r="B43" s="19" t="s">
        <v>357</v>
      </c>
      <c r="C43" s="16" t="s">
        <v>257</v>
      </c>
      <c r="D43" s="19" t="s">
        <v>358</v>
      </c>
    </row>
    <row r="46" ht="12.0" customHeight="1">
      <c r="A46" s="32"/>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row r="1007" ht="12.0" customHeight="1"/>
    <row r="1008" ht="12.0" customHeight="1"/>
    <row r="1009" ht="12.0" customHeight="1"/>
    <row r="1010" ht="12.0" customHeight="1"/>
    <row r="1011" ht="12.0" customHeight="1"/>
  </sheetData>
  <hyperlinks>
    <hyperlink r:id="rId1" ref="C7"/>
    <hyperlink r:id="rId2" ref="C8"/>
    <hyperlink r:id="rId3" ref="C10"/>
    <hyperlink r:id="rId4" ref="C11"/>
    <hyperlink r:id="rId5" ref="C12"/>
    <hyperlink r:id="rId6" ref="C13"/>
    <hyperlink r:id="rId7" ref="E13"/>
    <hyperlink r:id="rId8" ref="C14"/>
    <hyperlink r:id="rId9" ref="C15"/>
    <hyperlink r:id="rId10" ref="C16"/>
    <hyperlink r:id="rId11" ref="C17"/>
    <hyperlink r:id="rId12" ref="C18"/>
    <hyperlink r:id="rId13" ref="C19"/>
    <hyperlink r:id="rId14" ref="C20"/>
    <hyperlink r:id="rId15" ref="C21"/>
    <hyperlink r:id="rId16" ref="C22"/>
    <hyperlink r:id="rId17" ref="C23"/>
  </hyperlinks>
  <printOptions/>
  <pageMargins bottom="0.75" footer="0.0" header="0.0" left="0.7" right="0.7" top="0.75"/>
  <pageSetup paperSize="9" scale="70"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2024-06-04T08:48:32Z</dcterms:created>
  <dc:creator>Halen, E.P. van (Eva)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2024-06-05T07:21:44Z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9c0d0312-1d15-4e3f-8ce7-3153eb79a14b</vt:lpwstr>
  </property>
  <property fmtid="{D5CDD505-2E9C-101B-9397-08002B2CF9AE}" pid="8" name="MSIP_Label_24e57bac-d225-40fb-8a9e-62b5be587a96_ContentBits">
    <vt:lpwstr>0</vt:lpwstr>
  </property>
</Properties>
</file>