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ivotTables/pivotTable1.xml" ContentType="application/vnd.openxmlformats-officedocument.spreadsheetml.pivotTable+xml"/>
  <Override PartName="/xl/drawings/drawing5.xml" ContentType="application/vnd.openxmlformats-officedocument.drawing+xml"/>
  <Override PartName="/xl/slicers/slicer1.xml" ContentType="application/vnd.ms-excel.slicer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6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24deefde66a2ee3/Desktop/"/>
    </mc:Choice>
  </mc:AlternateContent>
  <xr:revisionPtr revIDLastSave="517" documentId="13_ncr:1_{C28D8F11-1622-4B31-9254-62DF8ABA1255}" xr6:coauthVersionLast="47" xr6:coauthVersionMax="47" xr10:uidLastSave="{D50F2255-F7B0-4DF3-BC11-B6FDB94D497A}"/>
  <bookViews>
    <workbookView xWindow="-110" yWindow="-110" windowWidth="25820" windowHeight="15500" activeTab="10" xr2:uid="{04DEEF77-C9F5-43B8-A8E7-0D22E6EC3AFF}"/>
  </bookViews>
  <sheets>
    <sheet name="Sayfa1" sheetId="1" r:id="rId1"/>
    <sheet name="Sayfa2" sheetId="2" r:id="rId2"/>
    <sheet name="Sayfa3" sheetId="3" r:id="rId3"/>
    <sheet name="Sayfa4" sheetId="4" r:id="rId4"/>
    <sheet name="Sayfa5" sheetId="5" r:id="rId5"/>
    <sheet name="Sayfa6" sheetId="6" r:id="rId6"/>
    <sheet name="Sayfa7" sheetId="7" r:id="rId7"/>
    <sheet name="Sayfa8" sheetId="8" r:id="rId8"/>
    <sheet name="Sayfa9" sheetId="10" r:id="rId9"/>
    <sheet name="Sayfa10" sheetId="12" r:id="rId10"/>
    <sheet name="Sayfa11" sheetId="13" r:id="rId11"/>
    <sheet name="Sayfa12" sheetId="14" r:id="rId12"/>
  </sheets>
  <definedNames>
    <definedName name="_xlnm._FilterDatabase" localSheetId="0" hidden="1">Sayfa1!$A$2:$E$9</definedName>
    <definedName name="_xlnm._FilterDatabase" localSheetId="6" hidden="1">Sayfa7!$B$1:$F$17</definedName>
    <definedName name="Dilimleyici_Cari_İsmi">#N/A</definedName>
    <definedName name="GSYH">Sayfa11!$R$45:$R$51</definedName>
    <definedName name="Güvenlik">Sayfa11!$S$45:$S$51</definedName>
    <definedName name="İL">Sayfa11!$P$45:$P$51</definedName>
    <definedName name="Nüfus">Sayfa11!$Q$45:$Q$51</definedName>
    <definedName name="Popülerlik">Sayfa11!$T$45:$T$51</definedName>
  </definedNames>
  <calcPr calcId="191029"/>
  <pivotCaches>
    <pivotCache cacheId="0" r:id="rId13"/>
  </pivotCaches>
  <extLst>
    <ext xmlns:x14="http://schemas.microsoft.com/office/spreadsheetml/2009/9/main" uri="{BBE1A952-AA13-448e-AADC-164F8A28A991}">
      <x14:slicerCaches>
        <x14:slicerCache r:id="rId1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4" i="13" l="1"/>
  <c r="G33" i="13"/>
  <c r="B33" i="13" a="1"/>
  <c r="B33" i="13" s="1"/>
  <c r="D34" i="13"/>
  <c r="D33" i="13"/>
  <c r="F4" i="14"/>
  <c r="G12" i="8"/>
  <c r="F3" i="13"/>
  <c r="F2" i="13"/>
  <c r="H21" i="13" a="1"/>
  <c r="H21" i="13" s="1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10" i="13"/>
  <c r="G10" i="13"/>
  <c r="C26" i="13"/>
  <c r="V8" i="2"/>
  <c r="V9" i="2"/>
  <c r="V10" i="2"/>
  <c r="V11" i="2"/>
  <c r="V12" i="2"/>
  <c r="V13" i="2"/>
  <c r="V14" i="2"/>
  <c r="V15" i="2"/>
  <c r="V16" i="2"/>
  <c r="V17" i="2"/>
  <c r="V18" i="2"/>
  <c r="V7" i="2"/>
  <c r="U7" i="2"/>
  <c r="U8" i="2"/>
  <c r="U9" i="2"/>
  <c r="U10" i="2"/>
  <c r="U11" i="2"/>
  <c r="U12" i="2"/>
  <c r="U13" i="2"/>
  <c r="U14" i="2"/>
  <c r="U15" i="2"/>
  <c r="U16" i="2"/>
  <c r="U17" i="2"/>
  <c r="U18" i="2"/>
  <c r="G32" i="7"/>
  <c r="G33" i="7"/>
  <c r="G34" i="7"/>
  <c r="G35" i="7"/>
  <c r="G36" i="7"/>
  <c r="G31" i="7"/>
  <c r="G9" i="8"/>
  <c r="G10" i="8"/>
  <c r="G11" i="8"/>
  <c r="G13" i="8"/>
  <c r="G8" i="8"/>
  <c r="D4" i="8"/>
  <c r="D5" i="8"/>
  <c r="D6" i="8"/>
  <c r="D7" i="8"/>
  <c r="D3" i="8"/>
  <c r="S5" i="7"/>
  <c r="S3" i="7"/>
  <c r="S7" i="7"/>
  <c r="S4" i="7"/>
  <c r="S2" i="7"/>
  <c r="S8" i="7" s="1"/>
  <c r="S6" i="7"/>
  <c r="T6" i="7" s="1"/>
  <c r="C28" i="7"/>
  <c r="C27" i="7"/>
  <c r="C25" i="7"/>
  <c r="F6" i="7"/>
  <c r="F11" i="7"/>
  <c r="F17" i="7"/>
  <c r="F9" i="7"/>
  <c r="F10" i="7"/>
  <c r="F2" i="7"/>
  <c r="F12" i="7"/>
  <c r="F13" i="7"/>
  <c r="F16" i="7"/>
  <c r="F3" i="7"/>
  <c r="F5" i="7"/>
  <c r="F14" i="7"/>
  <c r="F8" i="7"/>
  <c r="F15" i="7"/>
  <c r="F4" i="7"/>
  <c r="F7" i="7"/>
  <c r="G5" i="6"/>
  <c r="G6" i="6"/>
  <c r="G7" i="6"/>
  <c r="G8" i="6"/>
  <c r="G9" i="6"/>
  <c r="G10" i="6"/>
  <c r="G11" i="6"/>
  <c r="G12" i="6"/>
  <c r="G13" i="6"/>
  <c r="G14" i="6"/>
  <c r="G4" i="6"/>
  <c r="F5" i="6"/>
  <c r="F6" i="6"/>
  <c r="F7" i="6"/>
  <c r="F8" i="6"/>
  <c r="F9" i="6"/>
  <c r="F10" i="6"/>
  <c r="F11" i="6"/>
  <c r="F12" i="6"/>
  <c r="F13" i="6"/>
  <c r="F14" i="6"/>
  <c r="D15" i="6"/>
  <c r="F4" i="6"/>
  <c r="B13" i="2"/>
  <c r="K4" i="5"/>
  <c r="H9" i="4"/>
  <c r="N4" i="5"/>
  <c r="N5" i="5"/>
  <c r="N6" i="5"/>
  <c r="N3" i="5"/>
  <c r="M4" i="5"/>
  <c r="M5" i="5"/>
  <c r="M6" i="5"/>
  <c r="M3" i="5"/>
  <c r="L4" i="5"/>
  <c r="L5" i="5"/>
  <c r="L6" i="5"/>
  <c r="L3" i="5"/>
  <c r="K5" i="5"/>
  <c r="K6" i="5"/>
  <c r="K3" i="5"/>
  <c r="J4" i="5"/>
  <c r="J5" i="5"/>
  <c r="J6" i="5"/>
  <c r="J3" i="5"/>
  <c r="H11" i="4"/>
  <c r="H10" i="4"/>
  <c r="E16" i="3"/>
  <c r="E14" i="3"/>
  <c r="E13" i="3"/>
  <c r="E12" i="3"/>
  <c r="E11" i="3"/>
  <c r="E8" i="3"/>
  <c r="E7" i="3"/>
  <c r="E6" i="3"/>
  <c r="E5" i="3"/>
  <c r="G30" i="2"/>
  <c r="G31" i="2"/>
  <c r="G29" i="2"/>
  <c r="E23" i="1"/>
  <c r="E24" i="1"/>
  <c r="E25" i="1"/>
  <c r="E22" i="1"/>
  <c r="C23" i="1"/>
  <c r="C24" i="1"/>
  <c r="C25" i="1"/>
  <c r="C22" i="1"/>
  <c r="E26" i="13" l="1"/>
  <c r="T4" i="7"/>
  <c r="T7" i="7"/>
  <c r="T3" i="7"/>
  <c r="T5" i="7"/>
  <c r="T2" i="7"/>
  <c r="T8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<sst xmlns="http://schemas.openxmlformats.org/spreadsheetml/2006/main" count="492" uniqueCount="276">
  <si>
    <t>AD SOYAD</t>
  </si>
  <si>
    <t xml:space="preserve">A </t>
  </si>
  <si>
    <t>B</t>
  </si>
  <si>
    <t>C</t>
  </si>
  <si>
    <t>D</t>
  </si>
  <si>
    <t>E</t>
  </si>
  <si>
    <t>F</t>
  </si>
  <si>
    <t>G</t>
  </si>
  <si>
    <t>MESLEK</t>
  </si>
  <si>
    <t>YAŞ</t>
  </si>
  <si>
    <t>MAAŞ</t>
  </si>
  <si>
    <t>MEDENİ DURUM</t>
  </si>
  <si>
    <t>MÜHENDİS</t>
  </si>
  <si>
    <t>ÖĞRETMEN</t>
  </si>
  <si>
    <t>İŞLETMECİ</t>
  </si>
  <si>
    <t>DOKTOR</t>
  </si>
  <si>
    <t>MİMAR</t>
  </si>
  <si>
    <t>BEKAR</t>
  </si>
  <si>
    <t>EVLİ</t>
  </si>
  <si>
    <t>FİLTRE UYGULAMA</t>
  </si>
  <si>
    <t>GRAFİK EKLEME</t>
  </si>
  <si>
    <t>AYLIK ÜRÜN CİROLARI</t>
  </si>
  <si>
    <t>ÜRÜN</t>
  </si>
  <si>
    <t>OCA</t>
  </si>
  <si>
    <t>ŞUB</t>
  </si>
  <si>
    <t>MAR</t>
  </si>
  <si>
    <t>NİS</t>
  </si>
  <si>
    <t>MAY</t>
  </si>
  <si>
    <t>HAZ</t>
  </si>
  <si>
    <t>BİLGİSAYAR</t>
  </si>
  <si>
    <t>KLAVYE</t>
  </si>
  <si>
    <t>KAMERA</t>
  </si>
  <si>
    <t>FARE</t>
  </si>
  <si>
    <t>MİKROFON</t>
  </si>
  <si>
    <t>DEPO DURUMU</t>
  </si>
  <si>
    <t>ÜRÜN KODU      ÜRÜN        ŞEHİR        DEPO DURUMU</t>
  </si>
  <si>
    <t>ELMA</t>
  </si>
  <si>
    <t>ARMUT</t>
  </si>
  <si>
    <t>KİRAZ</t>
  </si>
  <si>
    <t>AVAKADO</t>
  </si>
  <si>
    <t>ANANAS</t>
  </si>
  <si>
    <t>ADANA</t>
  </si>
  <si>
    <t>BURSA</t>
  </si>
  <si>
    <t>İZMİR</t>
  </si>
  <si>
    <t>İSTANBUL</t>
  </si>
  <si>
    <t>ANKARA</t>
  </si>
  <si>
    <t>VAR</t>
  </si>
  <si>
    <t>YOK</t>
  </si>
  <si>
    <t>SIRA NO</t>
  </si>
  <si>
    <t>ÜRÜN CİNSİ</t>
  </si>
  <si>
    <t>STOK DURUMU</t>
  </si>
  <si>
    <t>SATIŞ FİYATI</t>
  </si>
  <si>
    <t>ÇANKAYA</t>
  </si>
  <si>
    <t>KEÇİÖREN</t>
  </si>
  <si>
    <t>MAMAK</t>
  </si>
  <si>
    <t>ELMADAĞ</t>
  </si>
  <si>
    <t>ALTINDAĞ</t>
  </si>
  <si>
    <t>2 TL</t>
  </si>
  <si>
    <t>3 TL</t>
  </si>
  <si>
    <t>12 TL</t>
  </si>
  <si>
    <t>BİLGİ KUTUSU</t>
  </si>
  <si>
    <t>MATEMATİK VE TRİGONOMETRİ FORMÜLLERİ</t>
  </si>
  <si>
    <t>SAYI                                 SONUÇ                               FORMÜL                                    İŞLEVİ</t>
  </si>
  <si>
    <t>ÇARPIM</t>
  </si>
  <si>
    <t>KAREKÖK</t>
  </si>
  <si>
    <t>MOD</t>
  </si>
  <si>
    <t>YUVARLA</t>
  </si>
  <si>
    <t>BÖLÜM</t>
  </si>
  <si>
    <t>Pİ</t>
  </si>
  <si>
    <t>ÇARPINIM</t>
  </si>
  <si>
    <t>TAMSAYI</t>
  </si>
  <si>
    <t>ÇİFT</t>
  </si>
  <si>
    <t>SAYIYI EN YAKIN ÇİFT SAYIYA YUVARLAR</t>
  </si>
  <si>
    <t>VİRGÜLDEN SONRASINI SİLEREK TAM SAYI DEĞERİNİ VERİR</t>
  </si>
  <si>
    <t>SAYININ FAKTÖRİYELİNİ VERİR</t>
  </si>
  <si>
    <t>Pİ SAYISININ 15.BASAMAĞINA KADAR VERİR</t>
  </si>
  <si>
    <t>BÖLÜMÜN TAM SAYISINI VERİR</t>
  </si>
  <si>
    <t>KALANI VERİR</t>
  </si>
  <si>
    <t>KAREKÖKÜNÜ ALIR</t>
  </si>
  <si>
    <t>ARALIĞI ÇARPAR</t>
  </si>
  <si>
    <t>ADI</t>
  </si>
  <si>
    <t>SOYADI</t>
  </si>
  <si>
    <t>NOT1</t>
  </si>
  <si>
    <t>NOT2</t>
  </si>
  <si>
    <t>SERHAT</t>
  </si>
  <si>
    <t>DERİ</t>
  </si>
  <si>
    <t>ERSİN</t>
  </si>
  <si>
    <t>BAKIR</t>
  </si>
  <si>
    <t>DERYA</t>
  </si>
  <si>
    <t>GÜL</t>
  </si>
  <si>
    <t>AYŞE</t>
  </si>
  <si>
    <t>TÜRK</t>
  </si>
  <si>
    <t>EMİR KAĞAN</t>
  </si>
  <si>
    <t>ARDA</t>
  </si>
  <si>
    <t>FATİH</t>
  </si>
  <si>
    <t>METİN</t>
  </si>
  <si>
    <t>ALİ KAAN</t>
  </si>
  <si>
    <t>BERKAY</t>
  </si>
  <si>
    <t>ÇALIŞMA ŞEKLİ</t>
  </si>
  <si>
    <t>TECRÜBE</t>
  </si>
  <si>
    <t xml:space="preserve">MAAŞ </t>
  </si>
  <si>
    <t>DEPARTMAN</t>
  </si>
  <si>
    <t>TAM</t>
  </si>
  <si>
    <t>4K</t>
  </si>
  <si>
    <t>SATIŞ</t>
  </si>
  <si>
    <t>3.5K</t>
  </si>
  <si>
    <t>TASARIM</t>
  </si>
  <si>
    <t>YARI</t>
  </si>
  <si>
    <t>4.5K</t>
  </si>
  <si>
    <t>FABRİKA</t>
  </si>
  <si>
    <t>3.8K</t>
  </si>
  <si>
    <t>İÇ</t>
  </si>
  <si>
    <t>AD</t>
  </si>
  <si>
    <t>SOYAD</t>
  </si>
  <si>
    <t>ŞEN</t>
  </si>
  <si>
    <t>TAŞ</t>
  </si>
  <si>
    <t>ORUÇ</t>
  </si>
  <si>
    <t>TAM ZAMANLI</t>
  </si>
  <si>
    <t>YARI ZAMANLI</t>
  </si>
  <si>
    <t>TAM ZAMANLI VE 10 YIL ÜSTÜ TECRÜBELİLER</t>
  </si>
  <si>
    <t>EĞERSAY-ÇOKEĞERSAY</t>
  </si>
  <si>
    <t xml:space="preserve"> </t>
  </si>
  <si>
    <t>VİZE1</t>
  </si>
  <si>
    <t>VİZE2</t>
  </si>
  <si>
    <t>FİNAL</t>
  </si>
  <si>
    <t>TEZ</t>
  </si>
  <si>
    <t>DEVAMSIZLIK</t>
  </si>
  <si>
    <t>ORTALAMA</t>
  </si>
  <si>
    <t>EĞER</t>
  </si>
  <si>
    <t>VE</t>
  </si>
  <si>
    <t>YA DA</t>
  </si>
  <si>
    <t>İÇ İÇE EĞER</t>
  </si>
  <si>
    <t>PERSONEL LİSTESİ</t>
  </si>
  <si>
    <t>Hatice</t>
  </si>
  <si>
    <t>Mehmet</t>
  </si>
  <si>
    <t>Şule</t>
  </si>
  <si>
    <t>Alper</t>
  </si>
  <si>
    <t>Savaş</t>
  </si>
  <si>
    <t>Onur</t>
  </si>
  <si>
    <t>Şeyma</t>
  </si>
  <si>
    <t>Ebru</t>
  </si>
  <si>
    <t>Bölüm</t>
  </si>
  <si>
    <t>Pazarlama</t>
  </si>
  <si>
    <t>Satış</t>
  </si>
  <si>
    <t>Üretim</t>
  </si>
  <si>
    <t>Kıdem</t>
  </si>
  <si>
    <t>Maaş</t>
  </si>
  <si>
    <t>Besim</t>
  </si>
  <si>
    <t>Finans</t>
  </si>
  <si>
    <t>(Ctrl+shift+;</t>
  </si>
  <si>
    <t>yaparsan o günün tarihini verir</t>
  </si>
  <si>
    <t>(Ctrl+Shift+:)</t>
  </si>
  <si>
    <t xml:space="preserve">Olduğun saati verir </t>
  </si>
  <si>
    <t>Maaşın %10</t>
  </si>
  <si>
    <t>Toplam</t>
  </si>
  <si>
    <t>Hanne</t>
  </si>
  <si>
    <t>Naciye</t>
  </si>
  <si>
    <t>Formullerde hücre adresinin</t>
  </si>
  <si>
    <t xml:space="preserve">değişmesini engellemek için </t>
  </si>
  <si>
    <t>dolar işareti kullan</t>
  </si>
  <si>
    <t>$sütun$satır</t>
  </si>
  <si>
    <t>Sayfa 6 ya basılı tutup ctrl bas yana sürükle</t>
  </si>
  <si>
    <t>sayfa 6 kopyası oluşsun</t>
  </si>
  <si>
    <t>Temsilci</t>
  </si>
  <si>
    <t>Firma</t>
  </si>
  <si>
    <t>Hasan Berber</t>
  </si>
  <si>
    <t>Sinan Karabulut</t>
  </si>
  <si>
    <t>Yavuzalp</t>
  </si>
  <si>
    <t>Tolga</t>
  </si>
  <si>
    <t>Cihan</t>
  </si>
  <si>
    <t>Ece</t>
  </si>
  <si>
    <t>Nafia</t>
  </si>
  <si>
    <t>Ali</t>
  </si>
  <si>
    <t>Şerife</t>
  </si>
  <si>
    <t>Ömer</t>
  </si>
  <si>
    <t>Fernas Rüzgar A.Ş.</t>
  </si>
  <si>
    <t>Fernas Enerji</t>
  </si>
  <si>
    <t>Karsan Plastik</t>
  </si>
  <si>
    <t>Anadolum</t>
  </si>
  <si>
    <t>Filmond Baskı</t>
  </si>
  <si>
    <t>İstanbul nakliyat</t>
  </si>
  <si>
    <t>%Değişim</t>
  </si>
  <si>
    <t xml:space="preserve">Sıralama yapılırken başlık dahil altta toplananlar,formuller hariç </t>
  </si>
  <si>
    <t>tüm tabloyu seçiyoruz</t>
  </si>
  <si>
    <t xml:space="preserve">Koşullu biçimlendirme, yanda gösterildiği gibi bazı değerlerin ya da </t>
  </si>
  <si>
    <t>metinlerin  belirli şarta göre değiştirilmesidir</t>
  </si>
  <si>
    <t>İki alana göre sıralama yapmak:</t>
  </si>
  <si>
    <t>Normal sıralama gibi lakin düzey ekle diyerek ikinci istenen bir durum belrileriz</t>
  </si>
  <si>
    <t>Filtreleme:</t>
  </si>
  <si>
    <t>Seçilen değeri gösterip diğer değerleri gizlemek amacıyla kullanılır</t>
  </si>
  <si>
    <t>Tarih</t>
  </si>
  <si>
    <r>
      <t xml:space="preserve">Excel'de şarta bağlı veri girmek için </t>
    </r>
    <r>
      <rPr>
        <b/>
        <i/>
        <sz val="11"/>
        <color theme="1"/>
        <rFont val="Aptos Narrow"/>
        <family val="2"/>
        <scheme val="minor"/>
      </rPr>
      <t>veri doğrulama</t>
    </r>
    <r>
      <rPr>
        <sz val="11"/>
        <color theme="1"/>
        <rFont val="Aptos Narrow"/>
        <family val="2"/>
        <charset val="162"/>
        <scheme val="minor"/>
      </rPr>
      <t xml:space="preserve"> kullanılır</t>
    </r>
  </si>
  <si>
    <r>
      <t xml:space="preserve">Excel'de şarta bağlı biçimlendirme yapmak için </t>
    </r>
    <r>
      <rPr>
        <b/>
        <i/>
        <sz val="11"/>
        <color theme="8" tint="0.39997558519241921"/>
        <rFont val="Aptos Narrow"/>
        <family val="2"/>
        <scheme val="minor"/>
      </rPr>
      <t>koşullu biçimlendirme</t>
    </r>
    <r>
      <rPr>
        <sz val="11"/>
        <color theme="1"/>
        <rFont val="Aptos Narrow"/>
        <family val="2"/>
        <charset val="162"/>
        <scheme val="minor"/>
      </rPr>
      <t xml:space="preserve"> kullanılır</t>
    </r>
  </si>
  <si>
    <t>Eğersayda parantez içine ilk değer ve son değer arası bakılmak istenen değer grubu yazılır ; ile ayrılır hangi değerden büyük yada küçük olacağı yazılır çift tırnak içinde</t>
  </si>
  <si>
    <t xml:space="preserve">veri doğrulamada listeyi seçtik ve istediğimiz değerleri aralara; koyarak girdik, </t>
  </si>
  <si>
    <t>eğersayda bloğa göre işlem yapacaksak oparetör çift tırnak içine alınır &amp; bağlacı ile bağlanıp istenilen blok yazılır</t>
  </si>
  <si>
    <t xml:space="preserve">  </t>
  </si>
  <si>
    <t>Firma Sayısı</t>
  </si>
  <si>
    <t xml:space="preserve">%Dağılım </t>
  </si>
  <si>
    <t>seçilen kutulardaki kelimelerin soldan istenilen harfine kadar alır ve yazar</t>
  </si>
  <si>
    <t>Sağdan yazmak istersek sağdan(seçilen kutu;sondan istenilen sayı)</t>
  </si>
  <si>
    <t>Aradaki yazı ya da değeri almak için ise parçaal kullanılır</t>
  </si>
  <si>
    <t>Eğer işlevi</t>
  </si>
  <si>
    <t>diğer tabloda olmayan veriyi getirmek için kullanılır</t>
  </si>
  <si>
    <t>Düşeyara, iki tablo arasında ortak alanlardan yararlanarak,bir  tabloda olan</t>
  </si>
  <si>
    <t>=düşeyara(neyi arıyorum;nerede arıyorum;kaçıncı sütunda;eşleştireceğim)</t>
  </si>
  <si>
    <t>Tutar</t>
  </si>
  <si>
    <t>Bölge</t>
  </si>
  <si>
    <t>Gruplar</t>
  </si>
  <si>
    <t>Avrupa-1</t>
  </si>
  <si>
    <t>Akdeniz</t>
  </si>
  <si>
    <t>İç Anadolu</t>
  </si>
  <si>
    <t>Marmara-1</t>
  </si>
  <si>
    <t>Ege</t>
  </si>
  <si>
    <t>Marmara-2</t>
  </si>
  <si>
    <t>Avrupa-2</t>
  </si>
  <si>
    <t>A</t>
  </si>
  <si>
    <t>Fernas enerji</t>
  </si>
  <si>
    <t>Pivot Tablo- Elimizdeki liste şeklinde bulunan verilerden hızlıca raporlama yapmak için kullanılan</t>
  </si>
  <si>
    <t>bir excel özelliğidir</t>
  </si>
  <si>
    <t>Temel kurallar</t>
  </si>
  <si>
    <t xml:space="preserve">Her sütunda mutlaka bşlık olacak </t>
  </si>
  <si>
    <t>veriler aşağıya doru olmalı</t>
  </si>
  <si>
    <t>her sütun başlığı veriyi kapsayacak</t>
  </si>
  <si>
    <t>Fatura Tarihi</t>
  </si>
  <si>
    <t>Satış temsilcisi</t>
  </si>
  <si>
    <t>Musrafa</t>
  </si>
  <si>
    <t>Cari İsmi</t>
  </si>
  <si>
    <t>Gençarslan Baskı</t>
  </si>
  <si>
    <t>Gama İnşaat</t>
  </si>
  <si>
    <t>İstanbul Nakliyat</t>
  </si>
  <si>
    <t>Humancia</t>
  </si>
  <si>
    <t>Bthaber</t>
  </si>
  <si>
    <t>Omega Yazılım</t>
  </si>
  <si>
    <t>Fernas Rüzgar</t>
  </si>
  <si>
    <t>Süleyman</t>
  </si>
  <si>
    <t>Metin Kandiş</t>
  </si>
  <si>
    <t>KTM Kimyasalları</t>
  </si>
  <si>
    <t>Zerkom Bilgisayar</t>
  </si>
  <si>
    <t>Erbakır Elektronik</t>
  </si>
  <si>
    <t>Fatura Tutarı</t>
  </si>
  <si>
    <t>Figen Aydın</t>
  </si>
  <si>
    <t>Şerife Çeliker</t>
  </si>
  <si>
    <t>Satır Etiketleri</t>
  </si>
  <si>
    <t>Genel Toplam</t>
  </si>
  <si>
    <t>Toplam Fatura Tutarı</t>
  </si>
  <si>
    <t>Say Fatura Tutarı2</t>
  </si>
  <si>
    <t>2021 Katsayı</t>
  </si>
  <si>
    <t>sonra diğer terimleri toplar</t>
  </si>
  <si>
    <t xml:space="preserve">Topla.çarpım ifadesi, her iki ifadeyi çarptıktan </t>
  </si>
  <si>
    <t xml:space="preserve">yeşil ok bunun kanıtıdır ve </t>
  </si>
  <si>
    <t>daha özelleştirmek istersek:</t>
  </si>
  <si>
    <t>anadolum firmasının 2021</t>
  </si>
  <si>
    <t xml:space="preserve">yılı için olan KDV li </t>
  </si>
  <si>
    <t>kazançlarını bulduk</t>
  </si>
  <si>
    <t>(Katsayı olan yer KDV olarak düşün)</t>
  </si>
  <si>
    <t>TOPLAMLARLA İLGİLİ FORMULLER</t>
  </si>
  <si>
    <t>alttoplam</t>
  </si>
  <si>
    <t>TOPLAM</t>
  </si>
  <si>
    <t>ortalama</t>
  </si>
  <si>
    <t>filtre uygulandığınıda değişen değerler</t>
  </si>
  <si>
    <t>üstünde işlem yapmak için alttoplam kullanılır</t>
  </si>
  <si>
    <t>Fatura tutarı</t>
  </si>
  <si>
    <t>Sayfa 9'daki tabloyu kulllanarak veri bulduk</t>
  </si>
  <si>
    <t>İL</t>
  </si>
  <si>
    <t>İstanbul</t>
  </si>
  <si>
    <t>Ankara</t>
  </si>
  <si>
    <t>İzmir</t>
  </si>
  <si>
    <t>Bursa</t>
  </si>
  <si>
    <t>Konya</t>
  </si>
  <si>
    <t>Antalya</t>
  </si>
  <si>
    <t>Adana</t>
  </si>
  <si>
    <t>Nüfus</t>
  </si>
  <si>
    <t>GSYH</t>
  </si>
  <si>
    <t>Güvenlik</t>
  </si>
  <si>
    <t>Popülerlik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</si>
</sst>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₺&quot;* #,##0.00_-;\-&quot;₺&quot;* #,##0.00_-;_-&quot;₺&quot;* &quot;-&quot;??_-;_-@_-"/>
    <numFmt numFmtId="43" formatCode="_-* #,##0.00_-;\-* #,##0.00_-;_-* &quot;-&quot;??_-;_-@_-"/>
  </numFmts>
  <fonts count="19" x14ac:knownFonts="1">
    <font>
      <sz val="11"/>
      <color theme="1"/>
      <name val="Aptos Narrow"/>
      <family val="2"/>
      <charset val="162"/>
      <scheme val="minor"/>
    </font>
    <font>
      <sz val="14"/>
      <color theme="1"/>
      <name val="Aptos Narrow"/>
      <family val="2"/>
      <scheme val="minor"/>
    </font>
    <font>
      <sz val="11"/>
      <color theme="4"/>
      <name val="Aptos Narrow"/>
      <family val="2"/>
      <charset val="162"/>
      <scheme val="minor"/>
    </font>
    <font>
      <sz val="14"/>
      <color theme="4"/>
      <name val="Aptos Narrow"/>
      <family val="2"/>
      <scheme val="minor"/>
    </font>
    <font>
      <sz val="8"/>
      <name val="Aptos Narrow"/>
      <family val="2"/>
      <charset val="162"/>
      <scheme val="minor"/>
    </font>
    <font>
      <sz val="11"/>
      <color theme="4" tint="0.39997558519241921"/>
      <name val="Aptos Narrow"/>
      <family val="2"/>
      <charset val="162"/>
      <scheme val="minor"/>
    </font>
    <font>
      <sz val="11"/>
      <color theme="3" tint="0.249977111117893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6"/>
      <color rgb="FF0070C0"/>
      <name val="Algerian"/>
      <family val="5"/>
    </font>
    <font>
      <u/>
      <sz val="11"/>
      <color theme="1"/>
      <name val="Aptos Narrow"/>
      <family val="2"/>
      <charset val="162"/>
      <scheme val="minor"/>
    </font>
    <font>
      <sz val="11"/>
      <color rgb="FFC00000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  <font>
      <sz val="11"/>
      <color rgb="FF00B050"/>
      <name val="Aptos Narrow"/>
      <family val="2"/>
      <charset val="162"/>
      <scheme val="minor"/>
    </font>
    <font>
      <sz val="16"/>
      <color theme="3" tint="0.499984740745262"/>
      <name val="Aptos Narrow"/>
      <family val="2"/>
      <scheme val="minor"/>
    </font>
    <font>
      <sz val="11"/>
      <color theme="1"/>
      <name val="Aptos Narrow"/>
      <family val="2"/>
      <charset val="162"/>
      <scheme val="minor"/>
    </font>
    <font>
      <b/>
      <i/>
      <sz val="11"/>
      <color theme="1"/>
      <name val="Aptos Narrow"/>
      <family val="2"/>
      <scheme val="minor"/>
    </font>
    <font>
      <b/>
      <i/>
      <sz val="11"/>
      <color theme="8" tint="0.39997558519241921"/>
      <name val="Aptos Narrow"/>
      <family val="2"/>
      <scheme val="minor"/>
    </font>
    <font>
      <sz val="12"/>
      <color theme="1"/>
      <name val="Aptos Narrow"/>
      <family val="2"/>
      <charset val="162"/>
      <scheme val="minor"/>
    </font>
    <font>
      <sz val="11"/>
      <color rgb="FF00B0F0"/>
      <name val="Bahnschrift SemiBold Condensed"/>
      <family val="2"/>
      <charset val="162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4" fillId="0" borderId="0" applyFont="0" applyFill="0" applyBorder="0" applyAlignment="0" applyProtection="0"/>
    <xf numFmtId="44" fontId="14" fillId="0" borderId="0" applyFont="0" applyFill="0" applyBorder="0" applyAlignment="0" applyProtection="0"/>
  </cellStyleXfs>
  <cellXfs count="69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2" fillId="0" borderId="2" xfId="0" applyFont="1" applyBorder="1"/>
    <xf numFmtId="0" fontId="5" fillId="0" borderId="1" xfId="0" applyFont="1" applyBorder="1"/>
    <xf numFmtId="9" fontId="0" fillId="0" borderId="0" xfId="0" applyNumberFormat="1"/>
    <xf numFmtId="0" fontId="0" fillId="0" borderId="6" xfId="0" applyBorder="1"/>
    <xf numFmtId="0" fontId="0" fillId="0" borderId="1" xfId="0" applyBorder="1" applyAlignment="1">
      <alignment horizontal="right"/>
    </xf>
    <xf numFmtId="0" fontId="12" fillId="0" borderId="1" xfId="0" applyFont="1" applyBorder="1"/>
    <xf numFmtId="0" fontId="0" fillId="0" borderId="10" xfId="0" applyBorder="1"/>
    <xf numFmtId="0" fontId="12" fillId="0" borderId="2" xfId="0" applyFont="1" applyBorder="1"/>
    <xf numFmtId="43" fontId="0" fillId="0" borderId="0" xfId="1" applyFont="1"/>
    <xf numFmtId="14" fontId="0" fillId="0" borderId="0" xfId="0" applyNumberFormat="1"/>
    <xf numFmtId="20" fontId="0" fillId="0" borderId="0" xfId="0" applyNumberFormat="1"/>
    <xf numFmtId="43" fontId="0" fillId="0" borderId="0" xfId="0" applyNumberFormat="1"/>
    <xf numFmtId="4" fontId="0" fillId="0" borderId="0" xfId="0" applyNumberFormat="1"/>
    <xf numFmtId="0" fontId="0" fillId="0" borderId="11" xfId="0" applyBorder="1"/>
    <xf numFmtId="0" fontId="0" fillId="0" borderId="11" xfId="0" applyBorder="1" applyAlignment="1">
      <alignment horizontal="right"/>
    </xf>
    <xf numFmtId="43" fontId="0" fillId="0" borderId="11" xfId="1" applyFont="1" applyBorder="1"/>
    <xf numFmtId="0" fontId="0" fillId="0" borderId="0" xfId="0" applyAlignment="1">
      <alignment horizontal="left"/>
    </xf>
    <xf numFmtId="43" fontId="0" fillId="0" borderId="0" xfId="1" applyFont="1" applyAlignment="1">
      <alignment horizontal="left"/>
    </xf>
    <xf numFmtId="0" fontId="0" fillId="5" borderId="0" xfId="0" applyFill="1"/>
    <xf numFmtId="10" fontId="0" fillId="0" borderId="0" xfId="0" applyNumberFormat="1"/>
    <xf numFmtId="4" fontId="0" fillId="0" borderId="11" xfId="0" applyNumberFormat="1" applyBorder="1"/>
    <xf numFmtId="10" fontId="0" fillId="0" borderId="11" xfId="0" applyNumberFormat="1" applyBorder="1"/>
    <xf numFmtId="10" fontId="0" fillId="5" borderId="0" xfId="0" applyNumberFormat="1" applyFill="1"/>
    <xf numFmtId="0" fontId="11" fillId="4" borderId="0" xfId="0" applyFont="1" applyFill="1" applyAlignment="1">
      <alignment horizontal="center"/>
    </xf>
    <xf numFmtId="0" fontId="0" fillId="6" borderId="0" xfId="0" applyFill="1"/>
    <xf numFmtId="0" fontId="17" fillId="7" borderId="0" xfId="0" applyFont="1" applyFill="1"/>
    <xf numFmtId="0" fontId="0" fillId="0" borderId="0" xfId="0" quotePrefix="1"/>
    <xf numFmtId="0" fontId="11" fillId="0" borderId="0" xfId="0" applyFont="1"/>
    <xf numFmtId="0" fontId="11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14" fontId="0" fillId="0" borderId="1" xfId="0" applyNumberFormat="1" applyBorder="1"/>
    <xf numFmtId="4" fontId="0" fillId="0" borderId="1" xfId="0" applyNumberFormat="1" applyBorder="1"/>
    <xf numFmtId="0" fontId="0" fillId="0" borderId="0" xfId="0" pivotButton="1"/>
    <xf numFmtId="2" fontId="0" fillId="0" borderId="0" xfId="0" applyNumberFormat="1"/>
    <xf numFmtId="0" fontId="0" fillId="5" borderId="1" xfId="0" applyFill="1" applyBorder="1"/>
    <xf numFmtId="0" fontId="0" fillId="0" borderId="12" xfId="0" applyBorder="1"/>
    <xf numFmtId="4" fontId="0" fillId="0" borderId="12" xfId="0" applyNumberFormat="1" applyBorder="1"/>
    <xf numFmtId="0" fontId="0" fillId="0" borderId="0" xfId="0" quotePrefix="1" applyAlignment="1">
      <alignment horizontal="right"/>
    </xf>
    <xf numFmtId="0" fontId="11" fillId="8" borderId="0" xfId="0" applyFont="1" applyFill="1"/>
    <xf numFmtId="3" fontId="0" fillId="0" borderId="0" xfId="0" applyNumberFormat="1"/>
    <xf numFmtId="44" fontId="0" fillId="0" borderId="0" xfId="2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0" fillId="3" borderId="7" xfId="0" applyFill="1" applyBorder="1"/>
    <xf numFmtId="0" fontId="0" fillId="3" borderId="8" xfId="0" applyFill="1" applyBorder="1"/>
    <xf numFmtId="0" fontId="11" fillId="4" borderId="9" xfId="0" applyFont="1" applyFill="1" applyBorder="1" applyAlignment="1">
      <alignment horizontal="center"/>
    </xf>
    <xf numFmtId="0" fontId="11" fillId="4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NumberFormat="1"/>
  </cellXfs>
  <cellStyles count="3">
    <cellStyle name="Normal" xfId="0" builtinId="0"/>
    <cellStyle name="ParaBirimi" xfId="2" builtinId="4"/>
    <cellStyle name="Virgül" xfId="1" builtinId="3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Sayfa1!$D$15</c:f>
              <c:strCache>
                <c:ptCount val="1"/>
                <c:pt idx="0">
                  <c:v>MAR</c:v>
                </c:pt>
              </c:strCache>
            </c:strRef>
          </c:tx>
          <c:explosion val="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6F7-4BA7-8D77-8A9B607BEFA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6F7-4BA7-8D77-8A9B607BEFA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6F7-4BA7-8D77-8A9B607BEFA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6F7-4BA7-8D77-8A9B607BEFA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6F7-4BA7-8D77-8A9B607BEFAE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Sayfa1!$A$16:$A$20</c:f>
              <c:strCache>
                <c:ptCount val="5"/>
                <c:pt idx="0">
                  <c:v>BİLGİSAYAR</c:v>
                </c:pt>
                <c:pt idx="1">
                  <c:v>KLAVYE</c:v>
                </c:pt>
                <c:pt idx="2">
                  <c:v>KAMERA</c:v>
                </c:pt>
                <c:pt idx="3">
                  <c:v>FARE</c:v>
                </c:pt>
                <c:pt idx="4">
                  <c:v>MİKROFON</c:v>
                </c:pt>
              </c:strCache>
            </c:strRef>
          </c:cat>
          <c:val>
            <c:numRef>
              <c:f>Sayfa1!$D$16:$D$20</c:f>
              <c:numCache>
                <c:formatCode>General</c:formatCode>
                <c:ptCount val="5"/>
                <c:pt idx="0">
                  <c:v>25000</c:v>
                </c:pt>
                <c:pt idx="1">
                  <c:v>2500</c:v>
                </c:pt>
                <c:pt idx="2">
                  <c:v>40000</c:v>
                </c:pt>
                <c:pt idx="3">
                  <c:v>300</c:v>
                </c:pt>
                <c:pt idx="4">
                  <c:v>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21-4026-B41D-865ED99E0C5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[ÇALIŞMA KİTABI.xlsx]Sayfa10!PivotTable1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4185870516185478"/>
          <c:y val="4.6296296296296294E-2"/>
          <c:w val="0.79072703412073486"/>
          <c:h val="0.565158938466025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Sayfa10!$B$3</c:f>
              <c:strCache>
                <c:ptCount val="1"/>
                <c:pt idx="0">
                  <c:v>Toplam Fatura Tutarı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Sayfa10!$A$4:$A$17</c:f>
              <c:strCache>
                <c:ptCount val="13"/>
                <c:pt idx="0">
                  <c:v>Cihan</c:v>
                </c:pt>
                <c:pt idx="1">
                  <c:v>Ece</c:v>
                </c:pt>
                <c:pt idx="2">
                  <c:v>Figen Aydın</c:v>
                </c:pt>
                <c:pt idx="3">
                  <c:v>Hasan Berber</c:v>
                </c:pt>
                <c:pt idx="4">
                  <c:v>Metin Kandiş</c:v>
                </c:pt>
                <c:pt idx="5">
                  <c:v>Musrafa</c:v>
                </c:pt>
                <c:pt idx="6">
                  <c:v>Nafia</c:v>
                </c:pt>
                <c:pt idx="7">
                  <c:v>Sinan Karabulut</c:v>
                </c:pt>
                <c:pt idx="8">
                  <c:v>Süleyman</c:v>
                </c:pt>
                <c:pt idx="9">
                  <c:v>Şerife</c:v>
                </c:pt>
                <c:pt idx="10">
                  <c:v>Şerife Çeliker</c:v>
                </c:pt>
                <c:pt idx="11">
                  <c:v>Tolga</c:v>
                </c:pt>
                <c:pt idx="12">
                  <c:v>Yavuzalp</c:v>
                </c:pt>
              </c:strCache>
            </c:strRef>
          </c:cat>
          <c:val>
            <c:numRef>
              <c:f>Sayfa10!$B$4:$B$17</c:f>
              <c:numCache>
                <c:formatCode>0.00</c:formatCode>
                <c:ptCount val="13"/>
                <c:pt idx="0">
                  <c:v>12485</c:v>
                </c:pt>
                <c:pt idx="1">
                  <c:v>2590</c:v>
                </c:pt>
                <c:pt idx="2">
                  <c:v>1203</c:v>
                </c:pt>
                <c:pt idx="3">
                  <c:v>15646</c:v>
                </c:pt>
                <c:pt idx="4">
                  <c:v>8215</c:v>
                </c:pt>
                <c:pt idx="5">
                  <c:v>8436</c:v>
                </c:pt>
                <c:pt idx="6">
                  <c:v>410</c:v>
                </c:pt>
                <c:pt idx="7">
                  <c:v>11470</c:v>
                </c:pt>
                <c:pt idx="8">
                  <c:v>10060</c:v>
                </c:pt>
                <c:pt idx="9">
                  <c:v>5969</c:v>
                </c:pt>
                <c:pt idx="10">
                  <c:v>3116</c:v>
                </c:pt>
                <c:pt idx="11">
                  <c:v>18389</c:v>
                </c:pt>
                <c:pt idx="12">
                  <c:v>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77-434F-A2A7-ACEDA85417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122045136"/>
        <c:axId val="2122054736"/>
      </c:barChart>
      <c:lineChart>
        <c:grouping val="standard"/>
        <c:varyColors val="0"/>
        <c:ser>
          <c:idx val="1"/>
          <c:order val="1"/>
          <c:tx>
            <c:strRef>
              <c:f>Sayfa10!$C$3</c:f>
              <c:strCache>
                <c:ptCount val="1"/>
                <c:pt idx="0">
                  <c:v>Say Fatura Tutarı2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Sayfa10!$A$4:$A$17</c:f>
              <c:strCache>
                <c:ptCount val="13"/>
                <c:pt idx="0">
                  <c:v>Cihan</c:v>
                </c:pt>
                <c:pt idx="1">
                  <c:v>Ece</c:v>
                </c:pt>
                <c:pt idx="2">
                  <c:v>Figen Aydın</c:v>
                </c:pt>
                <c:pt idx="3">
                  <c:v>Hasan Berber</c:v>
                </c:pt>
                <c:pt idx="4">
                  <c:v>Metin Kandiş</c:v>
                </c:pt>
                <c:pt idx="5">
                  <c:v>Musrafa</c:v>
                </c:pt>
                <c:pt idx="6">
                  <c:v>Nafia</c:v>
                </c:pt>
                <c:pt idx="7">
                  <c:v>Sinan Karabulut</c:v>
                </c:pt>
                <c:pt idx="8">
                  <c:v>Süleyman</c:v>
                </c:pt>
                <c:pt idx="9">
                  <c:v>Şerife</c:v>
                </c:pt>
                <c:pt idx="10">
                  <c:v>Şerife Çeliker</c:v>
                </c:pt>
                <c:pt idx="11">
                  <c:v>Tolga</c:v>
                </c:pt>
                <c:pt idx="12">
                  <c:v>Yavuzalp</c:v>
                </c:pt>
              </c:strCache>
            </c:strRef>
          </c:cat>
          <c:val>
            <c:numRef>
              <c:f>Sayfa10!$C$4:$C$17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77-434F-A2A7-ACEDA85417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7448496"/>
        <c:axId val="1997443216"/>
      </c:lineChart>
      <c:catAx>
        <c:axId val="2122045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122054736"/>
        <c:crosses val="autoZero"/>
        <c:auto val="1"/>
        <c:lblAlgn val="ctr"/>
        <c:lblOffset val="100"/>
        <c:noMultiLvlLbl val="0"/>
      </c:catAx>
      <c:valAx>
        <c:axId val="212205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122045136"/>
        <c:crosses val="autoZero"/>
        <c:crossBetween val="between"/>
      </c:valAx>
      <c:valAx>
        <c:axId val="19974432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997448496"/>
        <c:crosses val="max"/>
        <c:crossBetween val="between"/>
      </c:valAx>
      <c:catAx>
        <c:axId val="19974484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97443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399563</xdr:colOff>
      <xdr:row>1</xdr:row>
      <xdr:rowOff>43472</xdr:rowOff>
    </xdr:from>
    <xdr:to>
      <xdr:col>15</xdr:col>
      <xdr:colOff>87924</xdr:colOff>
      <xdr:row>15</xdr:row>
      <xdr:rowOff>127976</xdr:rowOff>
    </xdr:to>
    <xdr:graphicFrame macro="">
      <xdr:nvGraphicFramePr>
        <xdr:cNvPr id="3" name="Grafik 2">
          <a:extLst>
            <a:ext uri="{FF2B5EF4-FFF2-40B4-BE49-F238E27FC236}">
              <a16:creationId xmlns:a16="http://schemas.microsoft.com/office/drawing/2014/main" id="{0CA0BA02-4A0A-59AB-A074-B44D93FCF2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12700</xdr:colOff>
      <xdr:row>6</xdr:row>
      <xdr:rowOff>171450</xdr:rowOff>
    </xdr:from>
    <xdr:ext cx="4292600" cy="552450"/>
    <xdr:sp macro="" textlink="">
      <xdr:nvSpPr>
        <xdr:cNvPr id="2" name="Metin kutusu 1">
          <a:extLst>
            <a:ext uri="{FF2B5EF4-FFF2-40B4-BE49-F238E27FC236}">
              <a16:creationId xmlns:a16="http://schemas.microsoft.com/office/drawing/2014/main" id="{EEE9665F-4FC7-1227-B137-6171A6FEB339}"/>
            </a:ext>
          </a:extLst>
        </xdr:cNvPr>
        <xdr:cNvSpPr txBox="1"/>
      </xdr:nvSpPr>
      <xdr:spPr>
        <a:xfrm>
          <a:off x="4889500" y="1276350"/>
          <a:ext cx="4292600" cy="552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tr-TR" sz="1100"/>
            <a:t>ONDALIKLI SAYIYI YUVARLAR         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r-TR" sz="1100"/>
            <a:t>0 TAMSAYIYA </a:t>
          </a:r>
          <a: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BİR ONDALIK SAYIYA    2 İKİ ONDALIK SAYIYA YUVARLANIR  </a:t>
          </a:r>
          <a:endParaRPr lang="tr-TR">
            <a:effectLst/>
          </a:endParaRPr>
        </a:p>
        <a:p>
          <a:endParaRPr lang="tr-TR" sz="1100"/>
        </a:p>
        <a:p>
          <a:endParaRPr lang="tr-TR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14</xdr:row>
      <xdr:rowOff>165100</xdr:rowOff>
    </xdr:from>
    <xdr:to>
      <xdr:col>6</xdr:col>
      <xdr:colOff>577850</xdr:colOff>
      <xdr:row>21</xdr:row>
      <xdr:rowOff>0</xdr:rowOff>
    </xdr:to>
    <xdr:sp macro="" textlink="">
      <xdr:nvSpPr>
        <xdr:cNvPr id="3" name="Metin kutusu 2">
          <a:extLst>
            <a:ext uri="{FF2B5EF4-FFF2-40B4-BE49-F238E27FC236}">
              <a16:creationId xmlns:a16="http://schemas.microsoft.com/office/drawing/2014/main" id="{30895E7E-9070-8742-8B3C-E7A1F66A5791}"/>
            </a:ext>
          </a:extLst>
        </xdr:cNvPr>
        <xdr:cNvSpPr txBox="1"/>
      </xdr:nvSpPr>
      <xdr:spPr>
        <a:xfrm>
          <a:off x="647700" y="2743200"/>
          <a:ext cx="3860800" cy="1123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tr-TR" sz="1100"/>
        </a:p>
        <a:p>
          <a:endParaRPr lang="tr-TR" sz="1100"/>
        </a:p>
        <a:p>
          <a:r>
            <a:rPr lang="tr-TR" sz="1100"/>
            <a:t>1- TAM ZAMANLI ÇALIŞANLARIN SAYISI</a:t>
          </a:r>
        </a:p>
        <a:p>
          <a:r>
            <a:rPr lang="tr-TR" sz="1100"/>
            <a:t>2-YARI ZAMANLI ÇALIŞANLARIN SAYISI</a:t>
          </a:r>
        </a:p>
        <a:p>
          <a:r>
            <a:rPr lang="tr-TR" sz="1100"/>
            <a:t>3-TAM ZAMANLI VE 10 YIL ÜSTÜ TECRÜBELİ SAYISI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184150</xdr:colOff>
      <xdr:row>25</xdr:row>
      <xdr:rowOff>88900</xdr:rowOff>
    </xdr:from>
    <xdr:to>
      <xdr:col>3</xdr:col>
      <xdr:colOff>1028700</xdr:colOff>
      <xdr:row>25</xdr:row>
      <xdr:rowOff>95250</xdr:rowOff>
    </xdr:to>
    <xdr:cxnSp macro="">
      <xdr:nvCxnSpPr>
        <xdr:cNvPr id="5" name="Düz Ok Bağlayıcısı 4">
          <a:extLst>
            <a:ext uri="{FF2B5EF4-FFF2-40B4-BE49-F238E27FC236}">
              <a16:creationId xmlns:a16="http://schemas.microsoft.com/office/drawing/2014/main" id="{13FF3177-4CF4-7F36-655E-33DF07015AA2}"/>
            </a:ext>
          </a:extLst>
        </xdr:cNvPr>
        <xdr:cNvCxnSpPr/>
      </xdr:nvCxnSpPr>
      <xdr:spPr>
        <a:xfrm>
          <a:off x="3702050" y="4699000"/>
          <a:ext cx="844550" cy="63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26</xdr:row>
      <xdr:rowOff>120650</xdr:rowOff>
    </xdr:from>
    <xdr:to>
      <xdr:col>3</xdr:col>
      <xdr:colOff>1003300</xdr:colOff>
      <xdr:row>26</xdr:row>
      <xdr:rowOff>133350</xdr:rowOff>
    </xdr:to>
    <xdr:cxnSp macro="">
      <xdr:nvCxnSpPr>
        <xdr:cNvPr id="7" name="Düz Ok Bağlayıcısı 6">
          <a:extLst>
            <a:ext uri="{FF2B5EF4-FFF2-40B4-BE49-F238E27FC236}">
              <a16:creationId xmlns:a16="http://schemas.microsoft.com/office/drawing/2014/main" id="{2ADD4732-4B47-785F-2523-4B22B981F59D}"/>
            </a:ext>
          </a:extLst>
        </xdr:cNvPr>
        <xdr:cNvCxnSpPr/>
      </xdr:nvCxnSpPr>
      <xdr:spPr>
        <a:xfrm>
          <a:off x="3765550" y="4914900"/>
          <a:ext cx="755650" cy="127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92075</xdr:colOff>
      <xdr:row>2</xdr:row>
      <xdr:rowOff>104775</xdr:rowOff>
    </xdr:from>
    <xdr:to>
      <xdr:col>10</xdr:col>
      <xdr:colOff>396875</xdr:colOff>
      <xdr:row>17</xdr:row>
      <xdr:rowOff>85725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3B8716AF-1B2C-1E21-8C2A-643D026036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0</xdr:colOff>
      <xdr:row>18</xdr:row>
      <xdr:rowOff>152400</xdr:rowOff>
    </xdr:from>
    <xdr:to>
      <xdr:col>8</xdr:col>
      <xdr:colOff>0</xdr:colOff>
      <xdr:row>33</xdr:row>
      <xdr:rowOff>9522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Cari İsmi">
              <a:extLst>
                <a:ext uri="{FF2B5EF4-FFF2-40B4-BE49-F238E27FC236}">
                  <a16:creationId xmlns:a16="http://schemas.microsoft.com/office/drawing/2014/main" id="{D8CF196E-4E97-9C51-53AF-28FA1070AFB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ri İsmi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29150" y="3467100"/>
              <a:ext cx="1828800" cy="261937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tr-TR" sz="1100"/>
                <a:t>Bu şekil bir dilimleyiciyi gösterir. Dilimleyiciler Excel 2010 ve sonraki sürümlerde desteklenir.
Şekil daha önceki bir Excel sürümünde değiştirildiyse veya çalışma kitabı Excel 2003 veya önceki sürümünde kaydedildiyse, dilimleyici kullanılamaz.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9</xdr:row>
      <xdr:rowOff>165100</xdr:rowOff>
    </xdr:from>
    <xdr:to>
      <xdr:col>6</xdr:col>
      <xdr:colOff>317500</xdr:colOff>
      <xdr:row>12</xdr:row>
      <xdr:rowOff>95250</xdr:rowOff>
    </xdr:to>
    <xdr:cxnSp macro="">
      <xdr:nvCxnSpPr>
        <xdr:cNvPr id="4" name="Düz Ok Bağlayıcısı 3">
          <a:extLst>
            <a:ext uri="{FF2B5EF4-FFF2-40B4-BE49-F238E27FC236}">
              <a16:creationId xmlns:a16="http://schemas.microsoft.com/office/drawing/2014/main" id="{B3B733E0-0C25-AEB2-8984-5D88227745AE}"/>
            </a:ext>
          </a:extLst>
        </xdr:cNvPr>
        <xdr:cNvCxnSpPr/>
      </xdr:nvCxnSpPr>
      <xdr:spPr>
        <a:xfrm flipH="1" flipV="1">
          <a:off x="5562600" y="349250"/>
          <a:ext cx="12700" cy="4826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15</xdr:row>
      <xdr:rowOff>133350</xdr:rowOff>
    </xdr:from>
    <xdr:to>
      <xdr:col>6</xdr:col>
      <xdr:colOff>304800</xdr:colOff>
      <xdr:row>24</xdr:row>
      <xdr:rowOff>165100</xdr:rowOff>
    </xdr:to>
    <xdr:cxnSp macro="">
      <xdr:nvCxnSpPr>
        <xdr:cNvPr id="6" name="Düz Ok Bağlayıcısı 5">
          <a:extLst>
            <a:ext uri="{FF2B5EF4-FFF2-40B4-BE49-F238E27FC236}">
              <a16:creationId xmlns:a16="http://schemas.microsoft.com/office/drawing/2014/main" id="{780B34B4-71C6-E07E-FA1F-4A7DE44B420B}"/>
            </a:ext>
          </a:extLst>
        </xdr:cNvPr>
        <xdr:cNvCxnSpPr/>
      </xdr:nvCxnSpPr>
      <xdr:spPr>
        <a:xfrm flipH="1">
          <a:off x="4743450" y="1422400"/>
          <a:ext cx="819150" cy="168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254000</xdr:colOff>
      <xdr:row>20</xdr:row>
      <xdr:rowOff>165100</xdr:rowOff>
    </xdr:from>
    <xdr:to>
      <xdr:col>7</xdr:col>
      <xdr:colOff>323850</xdr:colOff>
      <xdr:row>22</xdr:row>
      <xdr:rowOff>177800</xdr:rowOff>
    </xdr:to>
    <xdr:cxnSp macro="">
      <xdr:nvCxnSpPr>
        <xdr:cNvPr id="8" name="Düz Ok Bağlayıcısı 7">
          <a:extLst>
            <a:ext uri="{FF2B5EF4-FFF2-40B4-BE49-F238E27FC236}">
              <a16:creationId xmlns:a16="http://schemas.microsoft.com/office/drawing/2014/main" id="{0BC11233-1ACD-2E0F-DE7F-B34F30CB615C}"/>
            </a:ext>
          </a:extLst>
        </xdr:cNvPr>
        <xdr:cNvCxnSpPr/>
      </xdr:nvCxnSpPr>
      <xdr:spPr>
        <a:xfrm flipV="1">
          <a:off x="6203950" y="2374900"/>
          <a:ext cx="69850" cy="3810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verest" refreshedDate="45480.594748611111" createdVersion="8" refreshedVersion="8" minRefreshableVersion="3" recordCount="18" xr:uid="{05807F17-9567-4064-9869-052B03B171E9}">
  <cacheSource type="worksheet">
    <worksheetSource ref="C12:F30" sheet="Sayfa9"/>
  </cacheSource>
  <cacheFields count="4">
    <cacheField name="Fatura Tarihi" numFmtId="14">
      <sharedItems containsSemiMixedTypes="0" containsNonDate="0" containsDate="1" containsString="0" minDate="2024-07-07T00:00:00" maxDate="2024-07-25T00:00:00"/>
    </cacheField>
    <cacheField name="Satış temsilcisi" numFmtId="0">
      <sharedItems count="13">
        <s v="Nafia"/>
        <s v="Hasan Berber"/>
        <s v="Tolga"/>
        <s v="Şerife"/>
        <s v="Sinan Karabulut"/>
        <s v="Cihan"/>
        <s v="Ece"/>
        <s v="Yavuzalp"/>
        <s v="Musrafa"/>
        <s v="Süleyman"/>
        <s v="Metin Kandiş"/>
        <s v="Figen Aydın"/>
        <s v="Şerife Çeliker"/>
      </sharedItems>
    </cacheField>
    <cacheField name="Cari İsmi" numFmtId="0">
      <sharedItems count="12">
        <s v="Gençarslan Baskı"/>
        <s v="Anadolum"/>
        <s v="Gama İnşaat"/>
        <s v="İstanbul Nakliyat"/>
        <s v="Humancia"/>
        <s v="Bthaber"/>
        <s v="Fernas Enerji"/>
        <s v="Omega Yazılım"/>
        <s v="Fernas Rüzgar"/>
        <s v="KTM Kimyasalları"/>
        <s v="Zerkom Bilgisayar"/>
        <s v="Erbakır Elektronik"/>
      </sharedItems>
    </cacheField>
    <cacheField name="Fatura Tutarı" numFmtId="4">
      <sharedItems containsSemiMixedTypes="0" containsString="0" containsNumber="1" containsInteger="1" minValue="311" maxValue="13173"/>
    </cacheField>
  </cacheFields>
  <extLst>
    <ext xmlns:x14="http://schemas.microsoft.com/office/spreadsheetml/2009/9/main" uri="{725AE2AE-9491-48be-B2B4-4EB974FC3084}">
      <x14:pivotCacheDefinition pivotCacheId="23648147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d v="2024-07-07T00:00:00"/>
    <x v="0"/>
    <x v="0"/>
    <n v="410"/>
  </r>
  <r>
    <d v="2024-07-08T00:00:00"/>
    <x v="1"/>
    <x v="1"/>
    <n v="1885"/>
  </r>
  <r>
    <d v="2024-07-09T00:00:00"/>
    <x v="2"/>
    <x v="2"/>
    <n v="7003"/>
  </r>
  <r>
    <d v="2024-07-10T00:00:00"/>
    <x v="3"/>
    <x v="3"/>
    <n v="5969"/>
  </r>
  <r>
    <d v="2024-07-11T00:00:00"/>
    <x v="4"/>
    <x v="4"/>
    <n v="11470"/>
  </r>
  <r>
    <d v="2024-07-12T00:00:00"/>
    <x v="1"/>
    <x v="5"/>
    <n v="588"/>
  </r>
  <r>
    <d v="2024-07-13T00:00:00"/>
    <x v="1"/>
    <x v="6"/>
    <n v="13173"/>
  </r>
  <r>
    <d v="2024-07-14T00:00:00"/>
    <x v="5"/>
    <x v="4"/>
    <n v="12485"/>
  </r>
  <r>
    <d v="2024-07-15T00:00:00"/>
    <x v="6"/>
    <x v="7"/>
    <n v="311"/>
  </r>
  <r>
    <d v="2024-07-16T00:00:00"/>
    <x v="7"/>
    <x v="7"/>
    <n v="854"/>
  </r>
  <r>
    <d v="2024-07-17T00:00:00"/>
    <x v="8"/>
    <x v="8"/>
    <n v="8436"/>
  </r>
  <r>
    <d v="2024-07-18T00:00:00"/>
    <x v="9"/>
    <x v="9"/>
    <n v="10060"/>
  </r>
  <r>
    <d v="2024-07-19T00:00:00"/>
    <x v="2"/>
    <x v="6"/>
    <n v="11386"/>
  </r>
  <r>
    <d v="2024-07-20T00:00:00"/>
    <x v="10"/>
    <x v="10"/>
    <n v="1334"/>
  </r>
  <r>
    <d v="2024-07-21T00:00:00"/>
    <x v="10"/>
    <x v="11"/>
    <n v="6881"/>
  </r>
  <r>
    <d v="2024-07-22T00:00:00"/>
    <x v="11"/>
    <x v="7"/>
    <n v="1203"/>
  </r>
  <r>
    <d v="2024-07-23T00:00:00"/>
    <x v="12"/>
    <x v="1"/>
    <n v="3116"/>
  </r>
  <r>
    <d v="2024-07-24T00:00:00"/>
    <x v="6"/>
    <x v="6"/>
    <n v="227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512AF9-BD38-4503-BD29-94B5E178C650}" name="PivotTable1" cacheId="0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outline="1" outlineData="1" multipleFieldFilters="0" chartFormat="4">
  <location ref="A3:C17" firstHeaderRow="0" firstDataRow="1" firstDataCol="1"/>
  <pivotFields count="4">
    <pivotField numFmtId="14" showAll="0"/>
    <pivotField axis="axisRow" showAll="0">
      <items count="14">
        <item x="5"/>
        <item x="6"/>
        <item x="11"/>
        <item x="1"/>
        <item x="10"/>
        <item x="8"/>
        <item x="0"/>
        <item x="4"/>
        <item x="9"/>
        <item x="3"/>
        <item x="12"/>
        <item x="2"/>
        <item x="7"/>
        <item t="default"/>
      </items>
    </pivotField>
    <pivotField showAll="0">
      <items count="13">
        <item x="1"/>
        <item x="5"/>
        <item x="11"/>
        <item x="6"/>
        <item x="8"/>
        <item x="2"/>
        <item x="0"/>
        <item x="4"/>
        <item x="3"/>
        <item x="9"/>
        <item x="7"/>
        <item x="10"/>
        <item t="default"/>
      </items>
    </pivotField>
    <pivotField dataField="1" numFmtId="4"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Toplam Fatura Tutarı" fld="3" baseField="0" baseItem="0" numFmtId="2"/>
    <dataField name="Say Fatura Tutarı2" fld="3" subtotal="count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Dilimleyici_Cari_İsmi" xr10:uid="{F78B153C-FDB0-4A98-AEE4-71E68AEDEC63}" sourceName="Cari İsmi">
  <pivotTables>
    <pivotTable tabId="12" name="PivotTable1"/>
  </pivotTables>
  <data>
    <tabular pivotCacheId="236481473">
      <items count="12">
        <i x="1" s="1"/>
        <i x="5" s="1"/>
        <i x="11" s="1"/>
        <i x="6" s="1"/>
        <i x="8" s="1"/>
        <i x="2" s="1"/>
        <i x="0" s="1"/>
        <i x="4" s="1"/>
        <i x="3" s="1"/>
        <i x="9" s="1"/>
        <i x="7" s="1"/>
        <i x="1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ri İsmi" xr10:uid="{C64CF88A-519A-477A-A71A-172FD2D7F0B7}" cache="Dilimleyici_Cari_İsmi" caption="Cari İsmi" rowHeight="251883"/>
</slicer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53A87-5418-49A2-8C58-ACD435340B40}">
  <dimension ref="A1:G25"/>
  <sheetViews>
    <sheetView zoomScaleNormal="100" workbookViewId="0">
      <selection activeCell="E23" sqref="E23"/>
    </sheetView>
  </sheetViews>
  <sheetFormatPr defaultRowHeight="14.5" x14ac:dyDescent="0.35"/>
  <cols>
    <col min="1" max="1" width="11.54296875" bestFit="1" customWidth="1"/>
    <col min="2" max="2" width="10.36328125" bestFit="1" customWidth="1"/>
    <col min="3" max="3" width="8.7265625" customWidth="1"/>
    <col min="5" max="5" width="14.1796875" bestFit="1" customWidth="1"/>
  </cols>
  <sheetData>
    <row r="1" spans="1:7" ht="18.5" x14ac:dyDescent="0.45">
      <c r="A1" s="44" t="s">
        <v>19</v>
      </c>
      <c r="B1" s="45"/>
      <c r="C1" s="45"/>
      <c r="D1" s="45"/>
      <c r="E1" s="45"/>
    </row>
    <row r="2" spans="1:7" x14ac:dyDescent="0.35">
      <c r="A2" s="3" t="s">
        <v>0</v>
      </c>
      <c r="B2" s="3" t="s">
        <v>8</v>
      </c>
      <c r="C2" s="3" t="s">
        <v>9</v>
      </c>
      <c r="D2" s="3" t="s">
        <v>10</v>
      </c>
      <c r="E2" s="3" t="s">
        <v>11</v>
      </c>
    </row>
    <row r="3" spans="1:7" x14ac:dyDescent="0.35">
      <c r="A3" s="1" t="s">
        <v>1</v>
      </c>
      <c r="B3" s="1" t="s">
        <v>12</v>
      </c>
      <c r="C3" s="1">
        <v>30</v>
      </c>
      <c r="D3" s="2">
        <v>5000</v>
      </c>
      <c r="E3" s="1" t="s">
        <v>17</v>
      </c>
    </row>
    <row r="4" spans="1:7" x14ac:dyDescent="0.35">
      <c r="A4" s="1" t="s">
        <v>2</v>
      </c>
      <c r="B4" s="1" t="s">
        <v>13</v>
      </c>
      <c r="C4" s="1">
        <v>35</v>
      </c>
      <c r="D4" s="2">
        <v>6000</v>
      </c>
      <c r="E4" s="1" t="s">
        <v>17</v>
      </c>
    </row>
    <row r="5" spans="1:7" x14ac:dyDescent="0.35">
      <c r="A5" s="1" t="s">
        <v>3</v>
      </c>
      <c r="B5" s="1" t="s">
        <v>14</v>
      </c>
      <c r="C5" s="1">
        <v>40</v>
      </c>
      <c r="D5" s="2">
        <v>3500</v>
      </c>
      <c r="E5" s="1" t="s">
        <v>18</v>
      </c>
    </row>
    <row r="6" spans="1:7" x14ac:dyDescent="0.35">
      <c r="A6" s="1" t="s">
        <v>4</v>
      </c>
      <c r="B6" s="1" t="s">
        <v>13</v>
      </c>
      <c r="C6" s="1">
        <v>30</v>
      </c>
      <c r="D6" s="2">
        <v>5000</v>
      </c>
      <c r="E6" s="1" t="s">
        <v>17</v>
      </c>
    </row>
    <row r="7" spans="1:7" x14ac:dyDescent="0.35">
      <c r="A7" s="1" t="s">
        <v>6</v>
      </c>
      <c r="B7" s="1" t="s">
        <v>15</v>
      </c>
      <c r="C7" s="1">
        <v>24</v>
      </c>
      <c r="D7" s="2">
        <v>3500</v>
      </c>
      <c r="E7" s="1" t="s">
        <v>17</v>
      </c>
    </row>
    <row r="8" spans="1:7" x14ac:dyDescent="0.35">
      <c r="A8" s="1" t="s">
        <v>7</v>
      </c>
      <c r="B8" s="1" t="s">
        <v>12</v>
      </c>
      <c r="C8" s="1">
        <v>36</v>
      </c>
      <c r="D8" s="2">
        <v>7000</v>
      </c>
      <c r="E8" s="1" t="s">
        <v>17</v>
      </c>
    </row>
    <row r="9" spans="1:7" x14ac:dyDescent="0.35">
      <c r="A9" s="1" t="s">
        <v>5</v>
      </c>
      <c r="B9" s="1" t="s">
        <v>16</v>
      </c>
      <c r="C9" s="1">
        <v>42</v>
      </c>
      <c r="D9" s="2">
        <v>5000</v>
      </c>
      <c r="E9" s="1" t="s">
        <v>18</v>
      </c>
    </row>
    <row r="12" spans="1:7" ht="15" thickBot="1" x14ac:dyDescent="0.4"/>
    <row r="13" spans="1:7" ht="19" thickBot="1" x14ac:dyDescent="0.5">
      <c r="A13" s="46" t="s">
        <v>20</v>
      </c>
      <c r="B13" s="47"/>
      <c r="C13" s="47"/>
      <c r="D13" s="47"/>
      <c r="E13" s="47"/>
      <c r="F13" s="47"/>
      <c r="G13" s="48"/>
    </row>
    <row r="14" spans="1:7" x14ac:dyDescent="0.35">
      <c r="A14" s="49" t="s">
        <v>21</v>
      </c>
      <c r="B14" s="49"/>
      <c r="C14" s="49"/>
      <c r="D14" s="49"/>
      <c r="E14" s="49"/>
      <c r="F14" s="49"/>
      <c r="G14" s="49"/>
    </row>
    <row r="15" spans="1:7" x14ac:dyDescent="0.35">
      <c r="A15" s="4" t="s">
        <v>22</v>
      </c>
      <c r="B15" s="4" t="s">
        <v>23</v>
      </c>
      <c r="C15" s="4" t="s">
        <v>24</v>
      </c>
      <c r="D15" s="4" t="s">
        <v>25</v>
      </c>
      <c r="E15" s="4" t="s">
        <v>26</v>
      </c>
      <c r="F15" s="4" t="s">
        <v>27</v>
      </c>
      <c r="G15" s="4" t="s">
        <v>28</v>
      </c>
    </row>
    <row r="16" spans="1:7" x14ac:dyDescent="0.35">
      <c r="A16" s="1" t="s">
        <v>29</v>
      </c>
      <c r="B16" s="1">
        <v>10000</v>
      </c>
      <c r="C16" s="1">
        <v>20000</v>
      </c>
      <c r="D16" s="1">
        <v>25000</v>
      </c>
      <c r="E16" s="1">
        <v>25000</v>
      </c>
      <c r="F16" s="1">
        <v>30000</v>
      </c>
      <c r="G16" s="1">
        <v>40000</v>
      </c>
    </row>
    <row r="17" spans="1:7" x14ac:dyDescent="0.35">
      <c r="A17" s="1" t="s">
        <v>30</v>
      </c>
      <c r="B17" s="1">
        <v>1000</v>
      </c>
      <c r="C17" s="1">
        <v>2000</v>
      </c>
      <c r="D17" s="1">
        <v>2500</v>
      </c>
      <c r="E17" s="1">
        <v>3000</v>
      </c>
      <c r="F17" s="1">
        <v>3100</v>
      </c>
      <c r="G17" s="1">
        <v>2500</v>
      </c>
    </row>
    <row r="18" spans="1:7" x14ac:dyDescent="0.35">
      <c r="A18" s="1" t="s">
        <v>31</v>
      </c>
      <c r="B18" s="1">
        <v>20000</v>
      </c>
      <c r="C18" s="1">
        <v>30000</v>
      </c>
      <c r="D18" s="1">
        <v>40000</v>
      </c>
      <c r="E18" s="1">
        <v>35000</v>
      </c>
      <c r="F18" s="1">
        <v>15000</v>
      </c>
      <c r="G18" s="1">
        <v>17000</v>
      </c>
    </row>
    <row r="19" spans="1:7" x14ac:dyDescent="0.35">
      <c r="A19" s="1" t="s">
        <v>32</v>
      </c>
      <c r="B19" s="1">
        <v>500</v>
      </c>
      <c r="C19" s="1">
        <v>600</v>
      </c>
      <c r="D19" s="1">
        <v>300</v>
      </c>
      <c r="E19" s="1">
        <v>700</v>
      </c>
      <c r="F19" s="1">
        <v>500</v>
      </c>
      <c r="G19" s="1">
        <v>250</v>
      </c>
    </row>
    <row r="20" spans="1:7" x14ac:dyDescent="0.35">
      <c r="A20" s="1" t="s">
        <v>33</v>
      </c>
      <c r="B20" s="1">
        <v>500</v>
      </c>
      <c r="C20" s="1">
        <v>550</v>
      </c>
      <c r="D20" s="1">
        <v>650</v>
      </c>
      <c r="E20" s="1">
        <v>450</v>
      </c>
      <c r="F20" s="1">
        <v>500</v>
      </c>
      <c r="G20" s="1">
        <v>150</v>
      </c>
    </row>
    <row r="22" spans="1:7" x14ac:dyDescent="0.35">
      <c r="B22" t="s">
        <v>121</v>
      </c>
      <c r="C22" t="e">
        <f>B22*$B$23</f>
        <v>#VALUE!</v>
      </c>
      <c r="E22" t="e">
        <f>B22*$G$22</f>
        <v>#VALUE!</v>
      </c>
      <c r="G22" s="5">
        <v>0.18</v>
      </c>
    </row>
    <row r="23" spans="1:7" x14ac:dyDescent="0.35">
      <c r="B23">
        <v>12</v>
      </c>
      <c r="C23">
        <f t="shared" ref="C23:C25" si="0">B23*$B$23</f>
        <v>144</v>
      </c>
      <c r="E23">
        <f t="shared" ref="E23:E25" si="1">B23*$G$22</f>
        <v>2.16</v>
      </c>
    </row>
    <row r="24" spans="1:7" x14ac:dyDescent="0.35">
      <c r="B24">
        <v>8</v>
      </c>
      <c r="C24">
        <f t="shared" si="0"/>
        <v>96</v>
      </c>
      <c r="E24">
        <f t="shared" si="1"/>
        <v>1.44</v>
      </c>
    </row>
    <row r="25" spans="1:7" x14ac:dyDescent="0.35">
      <c r="B25">
        <v>30</v>
      </c>
      <c r="C25">
        <f t="shared" si="0"/>
        <v>360</v>
      </c>
      <c r="E25">
        <f t="shared" si="1"/>
        <v>5.3999999999999995</v>
      </c>
    </row>
  </sheetData>
  <autoFilter ref="A2:E9" xr:uid="{15C53A87-5418-49A2-8C58-ACD435340B40}"/>
  <mergeCells count="3">
    <mergeCell ref="A1:E1"/>
    <mergeCell ref="A13:G13"/>
    <mergeCell ref="A14:G14"/>
  </mergeCells>
  <phoneticPr fontId="4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0738D-2BC0-4480-BD8D-337E9A0F45C7}">
  <dimension ref="A1:AD31"/>
  <sheetViews>
    <sheetView zoomScale="85" zoomScaleNormal="85" workbookViewId="0">
      <selection activeCell="U7" sqref="U7"/>
    </sheetView>
  </sheetViews>
  <sheetFormatPr defaultRowHeight="14.5" x14ac:dyDescent="0.35"/>
  <cols>
    <col min="1" max="1" width="13.6328125" bestFit="1" customWidth="1"/>
    <col min="2" max="2" width="10.81640625" customWidth="1"/>
    <col min="3" max="3" width="11" bestFit="1" customWidth="1"/>
    <col min="6" max="6" width="13.6328125" bestFit="1" customWidth="1"/>
    <col min="9" max="9" width="10.7265625" bestFit="1" customWidth="1"/>
    <col min="10" max="10" width="13.1796875" bestFit="1" customWidth="1"/>
    <col min="11" max="11" width="13.6328125" bestFit="1" customWidth="1"/>
    <col min="12" max="12" width="10.54296875" bestFit="1" customWidth="1"/>
    <col min="18" max="18" width="14.08984375" bestFit="1" customWidth="1"/>
    <col min="19" max="19" width="16.26953125" bestFit="1" customWidth="1"/>
    <col min="20" max="20" width="9.54296875" bestFit="1" customWidth="1"/>
    <col min="21" max="21" width="9.90625" bestFit="1" customWidth="1"/>
    <col min="25" max="25" width="14.08984375" bestFit="1" customWidth="1"/>
    <col min="26" max="26" width="9.90625" bestFit="1" customWidth="1"/>
    <col min="29" max="29" width="16.26953125" bestFit="1" customWidth="1"/>
  </cols>
  <sheetData>
    <row r="1" spans="1:30" ht="16" x14ac:dyDescent="0.4">
      <c r="J1" s="28" t="s">
        <v>204</v>
      </c>
      <c r="K1" s="28"/>
      <c r="L1" s="28"/>
      <c r="M1" s="28"/>
      <c r="N1" s="28"/>
      <c r="O1" s="28"/>
    </row>
    <row r="2" spans="1:30" ht="16" x14ac:dyDescent="0.4">
      <c r="J2" s="28" t="s">
        <v>203</v>
      </c>
      <c r="K2" s="28"/>
      <c r="L2" s="28"/>
      <c r="M2" s="28"/>
      <c r="N2" s="28"/>
      <c r="O2" s="28"/>
      <c r="Y2" s="31" t="s">
        <v>163</v>
      </c>
      <c r="AB2" s="30" t="s">
        <v>164</v>
      </c>
      <c r="AC2" s="31" t="s">
        <v>164</v>
      </c>
    </row>
    <row r="3" spans="1:30" x14ac:dyDescent="0.35">
      <c r="K3" s="29" t="s">
        <v>205</v>
      </c>
      <c r="Y3" t="s">
        <v>171</v>
      </c>
      <c r="Z3" t="s">
        <v>209</v>
      </c>
      <c r="AC3" t="s">
        <v>178</v>
      </c>
      <c r="AD3" t="s">
        <v>216</v>
      </c>
    </row>
    <row r="4" spans="1:30" x14ac:dyDescent="0.35">
      <c r="C4" s="50" t="s">
        <v>35</v>
      </c>
      <c r="D4" s="51"/>
      <c r="E4" s="51"/>
      <c r="F4" s="51"/>
      <c r="Y4" t="s">
        <v>165</v>
      </c>
      <c r="Z4" t="s">
        <v>210</v>
      </c>
      <c r="AC4" t="s">
        <v>217</v>
      </c>
      <c r="AD4" t="s">
        <v>3</v>
      </c>
    </row>
    <row r="5" spans="1:30" x14ac:dyDescent="0.35">
      <c r="C5" s="1">
        <v>620</v>
      </c>
      <c r="D5" s="1" t="s">
        <v>36</v>
      </c>
      <c r="E5" s="1" t="s">
        <v>44</v>
      </c>
      <c r="F5" s="1" t="s">
        <v>46</v>
      </c>
      <c r="Y5" t="s">
        <v>168</v>
      </c>
      <c r="Z5" t="s">
        <v>211</v>
      </c>
      <c r="AC5" t="s">
        <v>175</v>
      </c>
      <c r="AD5" t="s">
        <v>2</v>
      </c>
    </row>
    <row r="6" spans="1:30" x14ac:dyDescent="0.35">
      <c r="C6" s="1">
        <v>540</v>
      </c>
      <c r="D6" s="1" t="s">
        <v>37</v>
      </c>
      <c r="E6" s="1" t="s">
        <v>43</v>
      </c>
      <c r="F6" s="1" t="s">
        <v>47</v>
      </c>
      <c r="R6" s="31" t="s">
        <v>163</v>
      </c>
      <c r="S6" s="31" t="s">
        <v>164</v>
      </c>
      <c r="T6" s="32" t="s">
        <v>206</v>
      </c>
      <c r="U6" s="31" t="s">
        <v>207</v>
      </c>
      <c r="V6" s="31" t="s">
        <v>208</v>
      </c>
      <c r="Y6" t="s">
        <v>173</v>
      </c>
      <c r="Z6" t="s">
        <v>212</v>
      </c>
      <c r="AC6" t="s">
        <v>179</v>
      </c>
      <c r="AD6" t="s">
        <v>4</v>
      </c>
    </row>
    <row r="7" spans="1:30" x14ac:dyDescent="0.35">
      <c r="C7" s="1">
        <v>321</v>
      </c>
      <c r="D7" s="1" t="s">
        <v>38</v>
      </c>
      <c r="E7" s="1" t="s">
        <v>45</v>
      </c>
      <c r="F7" s="1" t="s">
        <v>46</v>
      </c>
      <c r="R7" t="s">
        <v>171</v>
      </c>
      <c r="S7" t="s">
        <v>178</v>
      </c>
      <c r="T7" s="15">
        <v>23889</v>
      </c>
      <c r="U7" t="str">
        <f>VLOOKUP(R7,Y:Z,2,0)</f>
        <v>Avrupa-1</v>
      </c>
      <c r="V7" t="str">
        <f>VLOOKUP(S7,AC:AD,2,0)</f>
        <v>A</v>
      </c>
      <c r="Y7" t="s">
        <v>166</v>
      </c>
      <c r="Z7" t="s">
        <v>213</v>
      </c>
    </row>
    <row r="8" spans="1:30" x14ac:dyDescent="0.35">
      <c r="C8" s="1">
        <v>250</v>
      </c>
      <c r="D8" s="1" t="s">
        <v>39</v>
      </c>
      <c r="E8" s="1" t="s">
        <v>42</v>
      </c>
      <c r="F8" s="1" t="s">
        <v>46</v>
      </c>
      <c r="R8" t="s">
        <v>165</v>
      </c>
      <c r="S8" t="s">
        <v>178</v>
      </c>
      <c r="T8" s="15">
        <v>16613</v>
      </c>
      <c r="U8" t="str">
        <f t="shared" ref="U8:U18" si="0">VLOOKUP(R8,Y:Z,2,0)</f>
        <v>Akdeniz</v>
      </c>
      <c r="V8" t="str">
        <f t="shared" ref="V8:V18" si="1">VLOOKUP(S8,AC:AD,2,0)</f>
        <v>A</v>
      </c>
      <c r="Y8" t="s">
        <v>165</v>
      </c>
      <c r="Z8" t="s">
        <v>213</v>
      </c>
    </row>
    <row r="9" spans="1:30" x14ac:dyDescent="0.35">
      <c r="C9" s="1">
        <v>480</v>
      </c>
      <c r="D9" s="1" t="s">
        <v>40</v>
      </c>
      <c r="E9" s="1" t="s">
        <v>41</v>
      </c>
      <c r="F9" s="1" t="s">
        <v>47</v>
      </c>
      <c r="R9" t="s">
        <v>168</v>
      </c>
      <c r="S9" t="s">
        <v>178</v>
      </c>
      <c r="T9" s="15">
        <v>23980</v>
      </c>
      <c r="U9" t="str">
        <f t="shared" si="0"/>
        <v>İç Anadolu</v>
      </c>
      <c r="V9" t="str">
        <f t="shared" si="1"/>
        <v>A</v>
      </c>
      <c r="Y9" t="s">
        <v>165</v>
      </c>
      <c r="Z9" t="s">
        <v>214</v>
      </c>
    </row>
    <row r="10" spans="1:30" x14ac:dyDescent="0.35">
      <c r="R10" t="s">
        <v>173</v>
      </c>
      <c r="S10" t="s">
        <v>176</v>
      </c>
      <c r="T10" s="15">
        <v>38681</v>
      </c>
      <c r="U10" t="str">
        <f t="shared" si="0"/>
        <v>Marmara-1</v>
      </c>
      <c r="V10" t="str">
        <f t="shared" si="1"/>
        <v>C</v>
      </c>
      <c r="Y10" t="s">
        <v>169</v>
      </c>
      <c r="Z10" t="s">
        <v>215</v>
      </c>
    </row>
    <row r="11" spans="1:30" x14ac:dyDescent="0.35">
      <c r="R11" t="s">
        <v>166</v>
      </c>
      <c r="S11" t="s">
        <v>176</v>
      </c>
      <c r="T11" s="15">
        <v>21437</v>
      </c>
      <c r="U11" t="str">
        <f t="shared" si="0"/>
        <v>Ege</v>
      </c>
      <c r="V11" t="str">
        <f t="shared" si="1"/>
        <v>C</v>
      </c>
      <c r="Y11" t="s">
        <v>170</v>
      </c>
      <c r="Z11" t="s">
        <v>213</v>
      </c>
    </row>
    <row r="12" spans="1:30" x14ac:dyDescent="0.35">
      <c r="A12" s="1" t="s">
        <v>48</v>
      </c>
      <c r="B12" s="1">
        <v>480</v>
      </c>
      <c r="R12" t="s">
        <v>165</v>
      </c>
      <c r="S12" s="15" t="s">
        <v>175</v>
      </c>
      <c r="T12" s="15">
        <v>35537</v>
      </c>
      <c r="U12" t="str">
        <f t="shared" si="0"/>
        <v>Akdeniz</v>
      </c>
      <c r="V12" t="str">
        <f t="shared" si="1"/>
        <v>B</v>
      </c>
      <c r="Y12" t="s">
        <v>167</v>
      </c>
      <c r="Z12" t="s">
        <v>213</v>
      </c>
    </row>
    <row r="13" spans="1:30" x14ac:dyDescent="0.35">
      <c r="A13" s="1" t="s">
        <v>34</v>
      </c>
      <c r="B13" s="1" t="str">
        <f>VLOOKUP(B12,C5:F9,4,FALSE)</f>
        <v>YOK</v>
      </c>
      <c r="R13" t="s">
        <v>165</v>
      </c>
      <c r="S13" t="s">
        <v>175</v>
      </c>
      <c r="T13" s="15">
        <v>32154</v>
      </c>
      <c r="U13" t="str">
        <f t="shared" si="0"/>
        <v>Akdeniz</v>
      </c>
      <c r="V13" t="str">
        <f t="shared" si="1"/>
        <v>B</v>
      </c>
    </row>
    <row r="14" spans="1:30" x14ac:dyDescent="0.35">
      <c r="R14" t="s">
        <v>169</v>
      </c>
      <c r="S14" t="s">
        <v>175</v>
      </c>
      <c r="T14" s="15">
        <v>25846</v>
      </c>
      <c r="U14" t="str">
        <f t="shared" si="0"/>
        <v>Avrupa-2</v>
      </c>
      <c r="V14" t="str">
        <f t="shared" si="1"/>
        <v>B</v>
      </c>
    </row>
    <row r="15" spans="1:30" ht="15" thickBot="1" x14ac:dyDescent="0.4">
      <c r="A15" s="6"/>
      <c r="B15" s="6"/>
      <c r="C15" s="6"/>
      <c r="D15" s="6"/>
      <c r="E15" s="6"/>
      <c r="F15" s="6"/>
      <c r="G15" s="6"/>
      <c r="H15" s="6"/>
      <c r="R15" t="s">
        <v>170</v>
      </c>
      <c r="S15" t="s">
        <v>175</v>
      </c>
      <c r="T15" s="15">
        <v>36515</v>
      </c>
      <c r="U15" t="str">
        <f t="shared" si="0"/>
        <v>Ege</v>
      </c>
      <c r="V15" t="str">
        <f t="shared" si="1"/>
        <v>B</v>
      </c>
    </row>
    <row r="16" spans="1:30" ht="15" thickTop="1" x14ac:dyDescent="0.35">
      <c r="R16" t="s">
        <v>167</v>
      </c>
      <c r="S16" t="s">
        <v>175</v>
      </c>
      <c r="T16" s="15">
        <v>18952</v>
      </c>
      <c r="U16" t="str">
        <f t="shared" si="0"/>
        <v>Ege</v>
      </c>
      <c r="V16" t="str">
        <f t="shared" si="1"/>
        <v>B</v>
      </c>
    </row>
    <row r="17" spans="6:22" x14ac:dyDescent="0.35">
      <c r="R17" t="s">
        <v>168</v>
      </c>
      <c r="S17" t="s">
        <v>179</v>
      </c>
      <c r="T17" s="15">
        <v>20542</v>
      </c>
      <c r="U17" t="str">
        <f t="shared" si="0"/>
        <v>İç Anadolu</v>
      </c>
      <c r="V17" t="str">
        <f t="shared" si="1"/>
        <v>D</v>
      </c>
    </row>
    <row r="18" spans="6:22" x14ac:dyDescent="0.35">
      <c r="I18" s="4" t="s">
        <v>49</v>
      </c>
      <c r="J18" s="4" t="s">
        <v>50</v>
      </c>
      <c r="K18" s="4" t="s">
        <v>34</v>
      </c>
      <c r="L18" s="4" t="s">
        <v>51</v>
      </c>
      <c r="R18" t="s">
        <v>165</v>
      </c>
      <c r="S18" t="s">
        <v>179</v>
      </c>
      <c r="T18" s="15">
        <v>26558</v>
      </c>
      <c r="U18" t="str">
        <f t="shared" si="0"/>
        <v>Akdeniz</v>
      </c>
      <c r="V18" t="str">
        <f t="shared" si="1"/>
        <v>D</v>
      </c>
    </row>
    <row r="19" spans="6:22" x14ac:dyDescent="0.35">
      <c r="I19" s="1" t="s">
        <v>36</v>
      </c>
      <c r="J19" s="1" t="s">
        <v>46</v>
      </c>
      <c r="K19" s="1" t="s">
        <v>52</v>
      </c>
      <c r="L19" s="7" t="s">
        <v>57</v>
      </c>
    </row>
    <row r="20" spans="6:22" x14ac:dyDescent="0.35">
      <c r="I20" s="1" t="s">
        <v>37</v>
      </c>
      <c r="J20" s="1" t="s">
        <v>47</v>
      </c>
      <c r="K20" s="1" t="s">
        <v>53</v>
      </c>
      <c r="L20" s="7" t="s">
        <v>58</v>
      </c>
    </row>
    <row r="21" spans="6:22" x14ac:dyDescent="0.35">
      <c r="I21" s="1" t="s">
        <v>38</v>
      </c>
      <c r="J21" s="1" t="s">
        <v>46</v>
      </c>
      <c r="K21" s="1" t="s">
        <v>54</v>
      </c>
      <c r="L21" s="7" t="s">
        <v>59</v>
      </c>
    </row>
    <row r="22" spans="6:22" x14ac:dyDescent="0.35">
      <c r="I22" s="1" t="s">
        <v>39</v>
      </c>
      <c r="J22" s="1" t="s">
        <v>47</v>
      </c>
      <c r="K22" s="1" t="s">
        <v>55</v>
      </c>
      <c r="L22" s="7" t="s">
        <v>58</v>
      </c>
    </row>
    <row r="23" spans="6:22" x14ac:dyDescent="0.35">
      <c r="I23" s="1" t="s">
        <v>40</v>
      </c>
      <c r="J23" s="1" t="s">
        <v>47</v>
      </c>
      <c r="K23" s="1" t="s">
        <v>56</v>
      </c>
      <c r="L23" s="7" t="s">
        <v>57</v>
      </c>
    </row>
    <row r="27" spans="6:22" x14ac:dyDescent="0.35">
      <c r="F27" s="52" t="s">
        <v>60</v>
      </c>
      <c r="G27" s="53"/>
      <c r="H27" s="53"/>
      <c r="I27" s="53"/>
    </row>
    <row r="28" spans="6:22" x14ac:dyDescent="0.35">
      <c r="F28" s="1" t="s">
        <v>49</v>
      </c>
      <c r="G28" s="1" t="s">
        <v>38</v>
      </c>
      <c r="H28" s="1"/>
      <c r="I28" s="1"/>
    </row>
    <row r="29" spans="6:22" x14ac:dyDescent="0.35">
      <c r="F29" s="1" t="s">
        <v>50</v>
      </c>
      <c r="G29" s="1" t="str">
        <f>VLOOKUP($G$28,$I$19:$L$23,MATCH(F29,$I$18:$L$18,0),FALSE)</f>
        <v>VAR</v>
      </c>
      <c r="H29" s="1"/>
      <c r="I29" s="1"/>
    </row>
    <row r="30" spans="6:22" x14ac:dyDescent="0.35">
      <c r="F30" s="1" t="s">
        <v>34</v>
      </c>
      <c r="G30" s="1" t="str">
        <f t="shared" ref="G30:G31" si="2">VLOOKUP($G$28,$I$19:$L$23,MATCH(F30,$I$18:$L$18,0),FALSE)</f>
        <v>MAMAK</v>
      </c>
      <c r="H30" s="1"/>
      <c r="I30" s="1"/>
    </row>
    <row r="31" spans="6:22" x14ac:dyDescent="0.35">
      <c r="F31" s="1" t="s">
        <v>51</v>
      </c>
      <c r="G31" s="1" t="str">
        <f t="shared" si="2"/>
        <v>12 TL</v>
      </c>
      <c r="H31" s="1"/>
      <c r="I31" s="1"/>
    </row>
  </sheetData>
  <mergeCells count="2">
    <mergeCell ref="C4:F4"/>
    <mergeCell ref="F27:I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A036B-3C80-45CB-A94F-C38FD9E0FA7D}">
  <dimension ref="C2:K26"/>
  <sheetViews>
    <sheetView topLeftCell="D1" workbookViewId="0">
      <selection activeCell="E22" sqref="E22"/>
    </sheetView>
  </sheetViews>
  <sheetFormatPr defaultRowHeight="14.5" x14ac:dyDescent="0.35"/>
  <cols>
    <col min="10" max="10" width="40.08984375" customWidth="1"/>
  </cols>
  <sheetData>
    <row r="2" spans="3:10" x14ac:dyDescent="0.35">
      <c r="C2" s="54" t="s">
        <v>61</v>
      </c>
      <c r="D2" s="55"/>
      <c r="E2" s="55"/>
      <c r="F2" s="55"/>
      <c r="G2" s="55"/>
      <c r="H2" s="55"/>
      <c r="I2" s="55"/>
      <c r="J2" s="55"/>
    </row>
    <row r="3" spans="3:10" x14ac:dyDescent="0.35">
      <c r="C3" s="55"/>
      <c r="D3" s="55"/>
      <c r="E3" s="55"/>
      <c r="F3" s="55"/>
      <c r="G3" s="55"/>
      <c r="H3" s="55"/>
      <c r="I3" s="55"/>
      <c r="J3" s="55"/>
    </row>
    <row r="4" spans="3:10" x14ac:dyDescent="0.35">
      <c r="C4" s="56" t="s">
        <v>62</v>
      </c>
      <c r="D4" s="56"/>
      <c r="E4" s="56"/>
      <c r="F4" s="56"/>
      <c r="G4" s="56"/>
      <c r="H4" s="56"/>
      <c r="I4" s="56"/>
      <c r="J4" s="56"/>
    </row>
    <row r="5" spans="3:10" x14ac:dyDescent="0.35">
      <c r="C5" s="1">
        <v>27</v>
      </c>
      <c r="D5" s="1">
        <v>9</v>
      </c>
      <c r="E5" s="51">
        <f>PRODUCT(C5,D5)</f>
        <v>243</v>
      </c>
      <c r="F5" s="51"/>
      <c r="G5" s="51" t="s">
        <v>63</v>
      </c>
      <c r="H5" s="51"/>
      <c r="I5" s="51" t="s">
        <v>79</v>
      </c>
      <c r="J5" s="51"/>
    </row>
    <row r="6" spans="3:10" x14ac:dyDescent="0.35">
      <c r="C6" s="51">
        <v>9</v>
      </c>
      <c r="D6" s="51"/>
      <c r="E6" s="51">
        <f>SQRT(C6)</f>
        <v>3</v>
      </c>
      <c r="F6" s="51"/>
      <c r="G6" s="51" t="s">
        <v>64</v>
      </c>
      <c r="H6" s="51"/>
      <c r="I6" s="51" t="s">
        <v>78</v>
      </c>
      <c r="J6" s="51"/>
    </row>
    <row r="7" spans="3:10" x14ac:dyDescent="0.35">
      <c r="C7" s="1">
        <v>5</v>
      </c>
      <c r="D7" s="1">
        <v>3</v>
      </c>
      <c r="E7" s="51">
        <f>MOD(C7,D7)</f>
        <v>2</v>
      </c>
      <c r="F7" s="51"/>
      <c r="G7" s="51" t="s">
        <v>65</v>
      </c>
      <c r="H7" s="51"/>
      <c r="I7" s="51" t="s">
        <v>77</v>
      </c>
      <c r="J7" s="51"/>
    </row>
    <row r="8" spans="3:10" x14ac:dyDescent="0.35">
      <c r="C8" s="51">
        <v>12.54</v>
      </c>
      <c r="D8" s="51"/>
      <c r="E8" s="51">
        <f>ROUND(C8,2)</f>
        <v>12.54</v>
      </c>
      <c r="F8" s="51"/>
      <c r="G8" s="51" t="s">
        <v>66</v>
      </c>
      <c r="H8" s="51"/>
      <c r="I8" s="51"/>
      <c r="J8" s="51"/>
    </row>
    <row r="9" spans="3:10" x14ac:dyDescent="0.35">
      <c r="C9" s="51"/>
      <c r="D9" s="51"/>
      <c r="E9" s="51"/>
      <c r="F9" s="51"/>
      <c r="G9" s="51"/>
      <c r="H9" s="51"/>
      <c r="I9" s="51"/>
      <c r="J9" s="51"/>
    </row>
    <row r="10" spans="3:10" x14ac:dyDescent="0.35">
      <c r="C10" s="51"/>
      <c r="D10" s="51"/>
      <c r="E10" s="51"/>
      <c r="F10" s="51"/>
      <c r="G10" s="51"/>
      <c r="H10" s="51"/>
      <c r="I10" s="51"/>
      <c r="J10" s="51"/>
    </row>
    <row r="11" spans="3:10" x14ac:dyDescent="0.35">
      <c r="C11" s="1">
        <v>3</v>
      </c>
      <c r="D11" s="1">
        <v>2</v>
      </c>
      <c r="E11" s="51">
        <f>QUOTIENT(C11,D11)</f>
        <v>1</v>
      </c>
      <c r="F11" s="51"/>
      <c r="G11" s="51" t="s">
        <v>67</v>
      </c>
      <c r="H11" s="51"/>
      <c r="I11" s="51" t="s">
        <v>76</v>
      </c>
      <c r="J11" s="51"/>
    </row>
    <row r="12" spans="3:10" x14ac:dyDescent="0.35">
      <c r="C12" s="58"/>
      <c r="D12" s="59"/>
      <c r="E12" s="51">
        <f>PI()</f>
        <v>3.1415926535897931</v>
      </c>
      <c r="F12" s="51"/>
      <c r="G12" s="51" t="s">
        <v>68</v>
      </c>
      <c r="H12" s="51"/>
      <c r="I12" s="51" t="s">
        <v>75</v>
      </c>
      <c r="J12" s="51"/>
    </row>
    <row r="13" spans="3:10" x14ac:dyDescent="0.35">
      <c r="C13" s="51">
        <v>5</v>
      </c>
      <c r="D13" s="51"/>
      <c r="E13" s="51">
        <f>FACT(C13)</f>
        <v>120</v>
      </c>
      <c r="F13" s="51"/>
      <c r="G13" s="51" t="s">
        <v>69</v>
      </c>
      <c r="H13" s="51"/>
      <c r="I13" s="51" t="s">
        <v>74</v>
      </c>
      <c r="J13" s="51"/>
    </row>
    <row r="14" spans="3:10" x14ac:dyDescent="0.35">
      <c r="C14" s="51">
        <v>12.545999999999999</v>
      </c>
      <c r="D14" s="51"/>
      <c r="E14" s="51">
        <f>INT(C14)</f>
        <v>12</v>
      </c>
      <c r="F14" s="51"/>
      <c r="G14" s="51" t="s">
        <v>70</v>
      </c>
      <c r="H14" s="51"/>
      <c r="I14" s="57" t="s">
        <v>73</v>
      </c>
      <c r="J14" s="57"/>
    </row>
    <row r="15" spans="3:10" x14ac:dyDescent="0.35">
      <c r="C15" s="51"/>
      <c r="D15" s="51"/>
      <c r="E15" s="51"/>
      <c r="F15" s="51"/>
      <c r="G15" s="51"/>
      <c r="H15" s="51"/>
      <c r="I15" s="57"/>
      <c r="J15" s="57"/>
    </row>
    <row r="16" spans="3:10" x14ac:dyDescent="0.35">
      <c r="C16" s="51">
        <v>1</v>
      </c>
      <c r="D16" s="51"/>
      <c r="E16" s="51">
        <f>EVEN(C16)</f>
        <v>2</v>
      </c>
      <c r="F16" s="51"/>
      <c r="G16" s="51" t="s">
        <v>71</v>
      </c>
      <c r="H16" s="51"/>
      <c r="I16" s="51" t="s">
        <v>72</v>
      </c>
      <c r="J16" s="51"/>
    </row>
    <row r="21" spans="4:11" x14ac:dyDescent="0.35">
      <c r="D21" t="s">
        <v>80</v>
      </c>
      <c r="E21" t="s">
        <v>81</v>
      </c>
      <c r="F21" t="s">
        <v>82</v>
      </c>
      <c r="G21" t="s">
        <v>83</v>
      </c>
      <c r="K21" t="s">
        <v>92</v>
      </c>
    </row>
    <row r="22" spans="4:11" x14ac:dyDescent="0.35">
      <c r="D22" t="s">
        <v>84</v>
      </c>
      <c r="E22" t="s">
        <v>85</v>
      </c>
      <c r="F22">
        <v>90</v>
      </c>
      <c r="G22">
        <v>80</v>
      </c>
      <c r="K22" t="s">
        <v>93</v>
      </c>
    </row>
    <row r="23" spans="4:11" x14ac:dyDescent="0.35">
      <c r="D23" t="s">
        <v>86</v>
      </c>
      <c r="E23" t="s">
        <v>87</v>
      </c>
      <c r="F23">
        <v>20</v>
      </c>
      <c r="G23">
        <v>30</v>
      </c>
      <c r="K23" t="s">
        <v>94</v>
      </c>
    </row>
    <row r="24" spans="4:11" x14ac:dyDescent="0.35">
      <c r="D24" t="s">
        <v>88</v>
      </c>
      <c r="E24" t="s">
        <v>89</v>
      </c>
      <c r="F24">
        <v>40</v>
      </c>
      <c r="G24">
        <v>50</v>
      </c>
      <c r="K24" t="s">
        <v>95</v>
      </c>
    </row>
    <row r="25" spans="4:11" x14ac:dyDescent="0.35">
      <c r="D25" t="s">
        <v>90</v>
      </c>
      <c r="E25" t="s">
        <v>91</v>
      </c>
      <c r="F25">
        <v>90</v>
      </c>
      <c r="G25">
        <v>70</v>
      </c>
      <c r="K25" t="s">
        <v>96</v>
      </c>
    </row>
    <row r="26" spans="4:11" x14ac:dyDescent="0.35">
      <c r="K26" t="s">
        <v>97</v>
      </c>
    </row>
  </sheetData>
  <mergeCells count="35">
    <mergeCell ref="I16:J16"/>
    <mergeCell ref="C12:D12"/>
    <mergeCell ref="G13:H13"/>
    <mergeCell ref="G14:H15"/>
    <mergeCell ref="G16:H16"/>
    <mergeCell ref="I12:J12"/>
    <mergeCell ref="I13:J13"/>
    <mergeCell ref="E12:F12"/>
    <mergeCell ref="E13:F13"/>
    <mergeCell ref="E14:F15"/>
    <mergeCell ref="E16:F16"/>
    <mergeCell ref="G12:H12"/>
    <mergeCell ref="C14:D15"/>
    <mergeCell ref="C16:D16"/>
    <mergeCell ref="E6:F6"/>
    <mergeCell ref="E7:F7"/>
    <mergeCell ref="E8:F10"/>
    <mergeCell ref="E11:F11"/>
    <mergeCell ref="I14:J15"/>
    <mergeCell ref="C2:J3"/>
    <mergeCell ref="C4:J4"/>
    <mergeCell ref="C6:D6"/>
    <mergeCell ref="C8:D10"/>
    <mergeCell ref="C13:D13"/>
    <mergeCell ref="G5:H5"/>
    <mergeCell ref="G6:H6"/>
    <mergeCell ref="G7:H7"/>
    <mergeCell ref="G8:H10"/>
    <mergeCell ref="G11:H11"/>
    <mergeCell ref="I5:J5"/>
    <mergeCell ref="I6:J6"/>
    <mergeCell ref="I7:J7"/>
    <mergeCell ref="I8:J10"/>
    <mergeCell ref="I11:J11"/>
    <mergeCell ref="E5:F5"/>
  </mergeCells>
  <phoneticPr fontId="4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3C822-2414-4BB1-81DC-4EE21A0CDAE0}">
  <dimension ref="B1:I11"/>
  <sheetViews>
    <sheetView workbookViewId="0">
      <selection activeCell="H6" sqref="H6"/>
    </sheetView>
  </sheetViews>
  <sheetFormatPr defaultRowHeight="14.5" x14ac:dyDescent="0.35"/>
  <cols>
    <col min="5" max="5" width="12.90625" bestFit="1" customWidth="1"/>
    <col min="6" max="6" width="8.453125" bestFit="1" customWidth="1"/>
    <col min="8" max="8" width="11.08984375" bestFit="1" customWidth="1"/>
  </cols>
  <sheetData>
    <row r="1" spans="2:9" x14ac:dyDescent="0.35">
      <c r="B1" s="62" t="s">
        <v>120</v>
      </c>
      <c r="C1" s="63"/>
      <c r="D1" s="63"/>
      <c r="E1" s="63"/>
      <c r="F1" s="63"/>
      <c r="G1" s="63"/>
      <c r="H1" s="63"/>
    </row>
    <row r="2" spans="2:9" ht="15" thickBot="1" x14ac:dyDescent="0.4">
      <c r="B2" s="64"/>
      <c r="C2" s="64"/>
      <c r="D2" s="64"/>
      <c r="E2" s="64"/>
      <c r="F2" s="64"/>
      <c r="G2" s="64"/>
      <c r="H2" s="64"/>
    </row>
    <row r="3" spans="2:9" x14ac:dyDescent="0.35">
      <c r="B3" s="10" t="s">
        <v>112</v>
      </c>
      <c r="C3" s="10" t="s">
        <v>113</v>
      </c>
      <c r="D3" s="10" t="s">
        <v>9</v>
      </c>
      <c r="E3" s="10" t="s">
        <v>98</v>
      </c>
      <c r="F3" s="10" t="s">
        <v>99</v>
      </c>
      <c r="G3" s="10" t="s">
        <v>100</v>
      </c>
      <c r="H3" s="10" t="s">
        <v>101</v>
      </c>
    </row>
    <row r="4" spans="2:9" ht="15" thickBot="1" x14ac:dyDescent="0.4">
      <c r="B4" s="1" t="s">
        <v>84</v>
      </c>
      <c r="C4" s="1" t="s">
        <v>85</v>
      </c>
      <c r="D4" s="1">
        <v>30</v>
      </c>
      <c r="E4" s="1" t="s">
        <v>102</v>
      </c>
      <c r="F4" s="1">
        <v>10</v>
      </c>
      <c r="G4" s="1" t="s">
        <v>103</v>
      </c>
      <c r="H4" s="1" t="s">
        <v>104</v>
      </c>
      <c r="I4" s="9"/>
    </row>
    <row r="5" spans="2:9" x14ac:dyDescent="0.35">
      <c r="B5" s="1" t="s">
        <v>88</v>
      </c>
      <c r="C5" s="1" t="s">
        <v>114</v>
      </c>
      <c r="D5" s="1">
        <v>29</v>
      </c>
      <c r="E5" s="1" t="s">
        <v>107</v>
      </c>
      <c r="F5" s="1">
        <v>9</v>
      </c>
      <c r="G5" s="1" t="s">
        <v>105</v>
      </c>
      <c r="H5" s="1" t="s">
        <v>106</v>
      </c>
    </row>
    <row r="6" spans="2:9" x14ac:dyDescent="0.35">
      <c r="B6" s="1" t="s">
        <v>86</v>
      </c>
      <c r="C6" s="1" t="s">
        <v>115</v>
      </c>
      <c r="D6" s="1">
        <v>34</v>
      </c>
      <c r="E6" s="1" t="s">
        <v>107</v>
      </c>
      <c r="F6" s="1">
        <v>16</v>
      </c>
      <c r="G6" s="1" t="s">
        <v>108</v>
      </c>
      <c r="H6" s="1" t="s">
        <v>109</v>
      </c>
    </row>
    <row r="7" spans="2:9" x14ac:dyDescent="0.35">
      <c r="B7" s="1" t="s">
        <v>93</v>
      </c>
      <c r="C7" s="1" t="s">
        <v>116</v>
      </c>
      <c r="D7" s="1">
        <v>30</v>
      </c>
      <c r="E7" s="1" t="s">
        <v>102</v>
      </c>
      <c r="F7" s="1">
        <v>10</v>
      </c>
      <c r="G7" s="1" t="s">
        <v>110</v>
      </c>
      <c r="H7" s="1" t="s">
        <v>106</v>
      </c>
    </row>
    <row r="8" spans="2:9" x14ac:dyDescent="0.35">
      <c r="B8" s="1" t="s">
        <v>90</v>
      </c>
      <c r="C8" s="1" t="s">
        <v>91</v>
      </c>
      <c r="D8" s="1">
        <v>40</v>
      </c>
      <c r="E8" s="1" t="s">
        <v>102</v>
      </c>
      <c r="F8" s="1">
        <v>20</v>
      </c>
      <c r="G8" s="1" t="s">
        <v>105</v>
      </c>
      <c r="H8" s="1" t="s">
        <v>111</v>
      </c>
    </row>
    <row r="9" spans="2:9" x14ac:dyDescent="0.35">
      <c r="B9" s="60" t="s">
        <v>117</v>
      </c>
      <c r="C9" s="60"/>
      <c r="D9" s="60"/>
      <c r="E9" s="60"/>
      <c r="F9" s="60"/>
      <c r="G9" s="60"/>
      <c r="H9">
        <f>COUNTIF(E4:E8,"TAM")</f>
        <v>3</v>
      </c>
    </row>
    <row r="10" spans="2:9" x14ac:dyDescent="0.35">
      <c r="B10" s="61" t="s">
        <v>118</v>
      </c>
      <c r="C10" s="61"/>
      <c r="D10" s="61"/>
      <c r="E10" s="61"/>
      <c r="F10" s="61"/>
      <c r="G10" s="61"/>
      <c r="H10">
        <f>COUNTIF(E4:E8,"YARI")</f>
        <v>2</v>
      </c>
    </row>
    <row r="11" spans="2:9" x14ac:dyDescent="0.35">
      <c r="B11" s="61" t="s">
        <v>119</v>
      </c>
      <c r="C11" s="61"/>
      <c r="D11" s="61"/>
      <c r="E11" s="61"/>
      <c r="F11" s="61"/>
      <c r="G11" s="61"/>
      <c r="H11">
        <f>COUNTIFS(E4:E8,"TAM",F4:F8,"&gt;10")</f>
        <v>1</v>
      </c>
    </row>
  </sheetData>
  <mergeCells count="4">
    <mergeCell ref="B9:G9"/>
    <mergeCell ref="B10:G10"/>
    <mergeCell ref="B11:G11"/>
    <mergeCell ref="B1:H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0D763-62D0-4D80-8986-C77E63BF4990}">
  <dimension ref="A2:N18"/>
  <sheetViews>
    <sheetView topLeftCell="D1" workbookViewId="0">
      <selection activeCell="L3" sqref="L3"/>
    </sheetView>
  </sheetViews>
  <sheetFormatPr defaultRowHeight="14.5" x14ac:dyDescent="0.35"/>
  <cols>
    <col min="1" max="1" width="8.90625" bestFit="1" customWidth="1"/>
    <col min="2" max="2" width="10.54296875" bestFit="1" customWidth="1"/>
    <col min="9" max="9" width="11.453125" bestFit="1" customWidth="1"/>
    <col min="10" max="10" width="9.81640625" bestFit="1" customWidth="1"/>
    <col min="14" max="14" width="10.36328125" bestFit="1" customWidth="1"/>
  </cols>
  <sheetData>
    <row r="2" spans="1:14" x14ac:dyDescent="0.35">
      <c r="C2" s="8" t="s">
        <v>112</v>
      </c>
      <c r="D2" s="8" t="s">
        <v>113</v>
      </c>
      <c r="E2" s="8" t="s">
        <v>122</v>
      </c>
      <c r="F2" s="8" t="s">
        <v>123</v>
      </c>
      <c r="G2" s="8" t="s">
        <v>124</v>
      </c>
      <c r="H2" s="8" t="s">
        <v>125</v>
      </c>
      <c r="I2" s="8" t="s">
        <v>126</v>
      </c>
      <c r="J2" s="8" t="s">
        <v>127</v>
      </c>
      <c r="K2" s="8" t="s">
        <v>128</v>
      </c>
      <c r="L2" s="8" t="s">
        <v>129</v>
      </c>
      <c r="M2" s="8" t="s">
        <v>130</v>
      </c>
      <c r="N2" s="8" t="s">
        <v>131</v>
      </c>
    </row>
    <row r="3" spans="1:14" x14ac:dyDescent="0.35">
      <c r="C3" s="1" t="s">
        <v>84</v>
      </c>
      <c r="D3" s="1" t="s">
        <v>85</v>
      </c>
      <c r="E3" s="1">
        <v>30</v>
      </c>
      <c r="F3" s="1">
        <v>60</v>
      </c>
      <c r="G3" s="1">
        <v>90</v>
      </c>
      <c r="H3" s="1">
        <v>80</v>
      </c>
      <c r="I3" s="1">
        <v>10</v>
      </c>
      <c r="J3" s="1">
        <f>E3*20%+F3*20%+G3*60%</f>
        <v>72</v>
      </c>
      <c r="K3" s="1" t="str">
        <f>IF(J3&gt;=70,"GEÇTİ","KALDI")</f>
        <v>GEÇTİ</v>
      </c>
      <c r="L3" s="1" t="str">
        <f>IF(AND(J3&gt;70,I3&lt;10),"GEÇTİ","KALDI")</f>
        <v>KALDI</v>
      </c>
      <c r="M3" s="1" t="str">
        <f>IF(OR(G3&gt;70,H3&gt;80),"BAŞARILI","BAŞARISIZ")</f>
        <v>BAŞARILI</v>
      </c>
      <c r="N3" s="1" t="str">
        <f>IF(J3&lt;=20,"FF",IF(J3&lt;=40,"CC",IF(J3&lt;=50,"BB",IF(J3&lt;=60,"AA",IF(J3&lt;=75,"A0")))))</f>
        <v>A0</v>
      </c>
    </row>
    <row r="4" spans="1:14" x14ac:dyDescent="0.35">
      <c r="C4" s="1" t="s">
        <v>88</v>
      </c>
      <c r="D4" s="1" t="s">
        <v>114</v>
      </c>
      <c r="E4" s="1">
        <v>45</v>
      </c>
      <c r="F4" s="1">
        <v>45</v>
      </c>
      <c r="G4" s="1">
        <v>82</v>
      </c>
      <c r="H4" s="1">
        <v>40</v>
      </c>
      <c r="I4" s="1">
        <v>2</v>
      </c>
      <c r="J4" s="1">
        <f t="shared" ref="J4:J6" si="0">E4*20%+F4*20%+G4*60%</f>
        <v>67.199999999999989</v>
      </c>
      <c r="K4" s="1" t="str">
        <f t="shared" ref="K4:K6" si="1">IF(J4&gt;=70,"GEÇTİ","KALDI")</f>
        <v>KALDI</v>
      </c>
      <c r="L4" s="1" t="str">
        <f t="shared" ref="L4:L6" si="2">IF(AND(J4&gt;70,I4&lt;10),"GEÇTİ","KALDI")</f>
        <v>KALDI</v>
      </c>
      <c r="M4" s="1" t="str">
        <f t="shared" ref="M4:M6" si="3">IF(OR(G4&gt;70,H4&gt;80),"BAŞARILI","BAŞARISIZ")</f>
        <v>BAŞARILI</v>
      </c>
      <c r="N4" s="1" t="str">
        <f t="shared" ref="N4:N6" si="4">IF(J4&lt;=20,"FF",IF(J4&lt;=40,"CC",IF(J4&lt;=50,"BB",IF(J4&lt;=60,"AA",IF(J4&lt;=75,"A0")))))</f>
        <v>A0</v>
      </c>
    </row>
    <row r="5" spans="1:14" x14ac:dyDescent="0.35">
      <c r="C5" s="1" t="s">
        <v>86</v>
      </c>
      <c r="D5" s="1" t="s">
        <v>115</v>
      </c>
      <c r="E5" s="1">
        <v>17</v>
      </c>
      <c r="F5" s="1">
        <v>20</v>
      </c>
      <c r="G5" s="1">
        <v>60</v>
      </c>
      <c r="H5" s="1">
        <v>60</v>
      </c>
      <c r="I5" s="1">
        <v>11</v>
      </c>
      <c r="J5" s="1">
        <f t="shared" si="0"/>
        <v>43.4</v>
      </c>
      <c r="K5" s="1" t="str">
        <f t="shared" si="1"/>
        <v>KALDI</v>
      </c>
      <c r="L5" s="1" t="str">
        <f t="shared" si="2"/>
        <v>KALDI</v>
      </c>
      <c r="M5" s="1" t="str">
        <f t="shared" si="3"/>
        <v>BAŞARISIZ</v>
      </c>
      <c r="N5" s="1" t="str">
        <f t="shared" si="4"/>
        <v>BB</v>
      </c>
    </row>
    <row r="6" spans="1:14" x14ac:dyDescent="0.35">
      <c r="C6" s="1" t="s">
        <v>93</v>
      </c>
      <c r="D6" s="1" t="s">
        <v>116</v>
      </c>
      <c r="E6" s="1">
        <v>80</v>
      </c>
      <c r="F6" s="1">
        <v>10</v>
      </c>
      <c r="G6" s="1">
        <v>40</v>
      </c>
      <c r="H6" s="1">
        <v>90</v>
      </c>
      <c r="I6" s="1">
        <v>5</v>
      </c>
      <c r="J6" s="1">
        <f t="shared" si="0"/>
        <v>42</v>
      </c>
      <c r="K6" s="1" t="str">
        <f t="shared" si="1"/>
        <v>KALDI</v>
      </c>
      <c r="L6" s="1" t="str">
        <f t="shared" si="2"/>
        <v>KALDI</v>
      </c>
      <c r="M6" s="1" t="str">
        <f t="shared" si="3"/>
        <v>BAŞARILI</v>
      </c>
      <c r="N6" s="1" t="str">
        <f t="shared" si="4"/>
        <v>BB</v>
      </c>
    </row>
    <row r="7" spans="1:14" x14ac:dyDescent="0.35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15" spans="1:14" x14ac:dyDescent="0.35">
      <c r="A15" s="12">
        <v>45474</v>
      </c>
      <c r="B15" t="s">
        <v>149</v>
      </c>
    </row>
    <row r="16" spans="1:14" x14ac:dyDescent="0.35">
      <c r="A16" s="63" t="s">
        <v>150</v>
      </c>
      <c r="B16" s="63"/>
    </row>
    <row r="17" spans="1:2" x14ac:dyDescent="0.35">
      <c r="A17" s="13">
        <v>0.94374999999999998</v>
      </c>
      <c r="B17" t="s">
        <v>151</v>
      </c>
    </row>
    <row r="18" spans="1:2" x14ac:dyDescent="0.35">
      <c r="A18" s="63" t="s">
        <v>152</v>
      </c>
      <c r="B18" s="63"/>
    </row>
  </sheetData>
  <mergeCells count="2">
    <mergeCell ref="A16:B16"/>
    <mergeCell ref="A18:B1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5471A-DC98-47A0-8245-4D7202E561A4}">
  <dimension ref="A1:I20"/>
  <sheetViews>
    <sheetView zoomScale="85" zoomScaleNormal="85" workbookViewId="0">
      <selection activeCell="G12" sqref="G12"/>
    </sheetView>
  </sheetViews>
  <sheetFormatPr defaultRowHeight="14.5" x14ac:dyDescent="0.35"/>
  <cols>
    <col min="1" max="1" width="15.7265625" bestFit="1" customWidth="1"/>
    <col min="2" max="2" width="9.36328125" bestFit="1" customWidth="1"/>
    <col min="3" max="3" width="8.81640625" bestFit="1" customWidth="1"/>
    <col min="4" max="4" width="11.81640625" bestFit="1" customWidth="1"/>
    <col min="6" max="6" width="10.81640625" bestFit="1" customWidth="1"/>
    <col min="8" max="8" width="15.7265625" bestFit="1" customWidth="1"/>
    <col min="9" max="9" width="9.36328125" bestFit="1" customWidth="1"/>
    <col min="11" max="11" width="9.1796875" bestFit="1" customWidth="1"/>
  </cols>
  <sheetData>
    <row r="1" spans="1:9" x14ac:dyDescent="0.35">
      <c r="H1" s="5">
        <v>0.15</v>
      </c>
    </row>
    <row r="2" spans="1:9" x14ac:dyDescent="0.35">
      <c r="I2" t="s">
        <v>157</v>
      </c>
    </row>
    <row r="3" spans="1:9" ht="15" thickBot="1" x14ac:dyDescent="0.4">
      <c r="A3" s="16" t="s">
        <v>132</v>
      </c>
      <c r="B3" s="16" t="s">
        <v>141</v>
      </c>
      <c r="C3" s="17" t="s">
        <v>145</v>
      </c>
      <c r="D3" s="17" t="s">
        <v>146</v>
      </c>
      <c r="E3" s="16"/>
      <c r="F3" s="16" t="s">
        <v>153</v>
      </c>
      <c r="I3" t="s">
        <v>158</v>
      </c>
    </row>
    <row r="4" spans="1:9" x14ac:dyDescent="0.35">
      <c r="A4" t="s">
        <v>133</v>
      </c>
      <c r="B4" t="s">
        <v>142</v>
      </c>
      <c r="C4">
        <v>12</v>
      </c>
      <c r="D4" s="11">
        <v>3600</v>
      </c>
      <c r="F4" s="15">
        <f>D4*25%</f>
        <v>900</v>
      </c>
      <c r="G4" s="14">
        <f>D4*$H$1</f>
        <v>540</v>
      </c>
      <c r="I4" t="s">
        <v>159</v>
      </c>
    </row>
    <row r="5" spans="1:9" x14ac:dyDescent="0.35">
      <c r="A5" t="s">
        <v>134</v>
      </c>
      <c r="B5" t="s">
        <v>142</v>
      </c>
      <c r="C5">
        <v>10</v>
      </c>
      <c r="D5" s="11">
        <v>5600</v>
      </c>
      <c r="F5" s="15">
        <f t="shared" ref="F5:F14" si="0">D5*25%</f>
        <v>1400</v>
      </c>
      <c r="G5" s="14">
        <f>D5*$H$1</f>
        <v>840</v>
      </c>
    </row>
    <row r="6" spans="1:9" x14ac:dyDescent="0.35">
      <c r="A6" t="s">
        <v>147</v>
      </c>
      <c r="B6" t="s">
        <v>148</v>
      </c>
      <c r="C6">
        <v>6</v>
      </c>
      <c r="D6" s="11">
        <v>4500</v>
      </c>
      <c r="F6" s="15">
        <f t="shared" si="0"/>
        <v>1125</v>
      </c>
      <c r="G6" s="14">
        <f t="shared" ref="G6:G14" si="1">D6*$H$1</f>
        <v>675</v>
      </c>
      <c r="I6" t="s">
        <v>160</v>
      </c>
    </row>
    <row r="7" spans="1:9" x14ac:dyDescent="0.35">
      <c r="A7" t="s">
        <v>135</v>
      </c>
      <c r="B7" t="s">
        <v>143</v>
      </c>
      <c r="C7">
        <v>2</v>
      </c>
      <c r="D7" s="11">
        <v>4500</v>
      </c>
      <c r="F7" s="15">
        <f t="shared" si="0"/>
        <v>1125</v>
      </c>
      <c r="G7" s="14">
        <f t="shared" si="1"/>
        <v>675</v>
      </c>
    </row>
    <row r="8" spans="1:9" x14ac:dyDescent="0.35">
      <c r="A8" t="s">
        <v>136</v>
      </c>
      <c r="B8" t="s">
        <v>143</v>
      </c>
      <c r="C8">
        <v>6</v>
      </c>
      <c r="D8" s="11">
        <v>3890</v>
      </c>
      <c r="F8" s="15">
        <f t="shared" si="0"/>
        <v>972.5</v>
      </c>
      <c r="G8" s="14">
        <f t="shared" si="1"/>
        <v>583.5</v>
      </c>
    </row>
    <row r="9" spans="1:9" x14ac:dyDescent="0.35">
      <c r="A9" s="19" t="s">
        <v>155</v>
      </c>
      <c r="B9" s="19" t="s">
        <v>142</v>
      </c>
      <c r="C9" s="19">
        <v>5</v>
      </c>
      <c r="D9" s="20">
        <v>3800</v>
      </c>
      <c r="F9" s="15">
        <f t="shared" si="0"/>
        <v>950</v>
      </c>
      <c r="G9" s="14">
        <f t="shared" si="1"/>
        <v>570</v>
      </c>
    </row>
    <row r="10" spans="1:9" x14ac:dyDescent="0.35">
      <c r="A10" s="19" t="s">
        <v>156</v>
      </c>
      <c r="B10" s="19" t="s">
        <v>142</v>
      </c>
      <c r="C10" s="19">
        <v>1</v>
      </c>
      <c r="D10" s="20">
        <v>3800</v>
      </c>
      <c r="F10" s="15">
        <f t="shared" si="0"/>
        <v>950</v>
      </c>
      <c r="G10" s="14">
        <f t="shared" si="1"/>
        <v>570</v>
      </c>
    </row>
    <row r="11" spans="1:9" x14ac:dyDescent="0.35">
      <c r="A11" s="19" t="s">
        <v>137</v>
      </c>
      <c r="B11" s="19" t="s">
        <v>142</v>
      </c>
      <c r="C11" s="19">
        <v>8</v>
      </c>
      <c r="D11" s="20">
        <v>3800</v>
      </c>
      <c r="F11" s="15">
        <f t="shared" si="0"/>
        <v>950</v>
      </c>
      <c r="G11" s="14">
        <f t="shared" si="1"/>
        <v>570</v>
      </c>
    </row>
    <row r="12" spans="1:9" x14ac:dyDescent="0.35">
      <c r="A12" t="s">
        <v>138</v>
      </c>
      <c r="B12" t="s">
        <v>144</v>
      </c>
      <c r="C12">
        <v>12</v>
      </c>
      <c r="D12" s="11">
        <v>5000</v>
      </c>
      <c r="F12" s="15">
        <f t="shared" si="0"/>
        <v>1250</v>
      </c>
      <c r="G12" s="14">
        <f t="shared" si="1"/>
        <v>750</v>
      </c>
    </row>
    <row r="13" spans="1:9" x14ac:dyDescent="0.35">
      <c r="A13" t="s">
        <v>139</v>
      </c>
      <c r="B13" t="s">
        <v>144</v>
      </c>
      <c r="C13">
        <v>10</v>
      </c>
      <c r="D13" s="11">
        <v>5420</v>
      </c>
      <c r="F13" s="15">
        <f t="shared" si="0"/>
        <v>1355</v>
      </c>
      <c r="G13" s="14">
        <f t="shared" si="1"/>
        <v>813</v>
      </c>
    </row>
    <row r="14" spans="1:9" ht="15" thickBot="1" x14ac:dyDescent="0.4">
      <c r="A14" s="16" t="s">
        <v>140</v>
      </c>
      <c r="B14" s="16" t="s">
        <v>144</v>
      </c>
      <c r="C14" s="16">
        <v>7</v>
      </c>
      <c r="D14" s="18">
        <v>5826</v>
      </c>
      <c r="E14" s="16"/>
      <c r="F14" s="15">
        <f t="shared" si="0"/>
        <v>1456.5</v>
      </c>
      <c r="G14" s="14">
        <f t="shared" si="1"/>
        <v>873.9</v>
      </c>
    </row>
    <row r="15" spans="1:9" x14ac:dyDescent="0.35">
      <c r="B15" t="s">
        <v>154</v>
      </c>
      <c r="D15" s="14">
        <f>SUM(D4:D14)</f>
        <v>49736</v>
      </c>
    </row>
    <row r="19" spans="9:9" x14ac:dyDescent="0.35">
      <c r="I19" t="s">
        <v>161</v>
      </c>
    </row>
    <row r="20" spans="9:9" x14ac:dyDescent="0.35">
      <c r="I20" t="s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DD9A5-9009-4DFF-8F83-ED425C500EF8}">
  <dimension ref="A1:T36"/>
  <sheetViews>
    <sheetView topLeftCell="C1" workbookViewId="0">
      <selection activeCell="G31" sqref="G31"/>
    </sheetView>
  </sheetViews>
  <sheetFormatPr defaultRowHeight="14.5" x14ac:dyDescent="0.35"/>
  <cols>
    <col min="1" max="1" width="9.90625" bestFit="1" customWidth="1"/>
    <col min="2" max="2" width="17.6328125" customWidth="1"/>
    <col min="3" max="3" width="22.81640625" customWidth="1"/>
    <col min="4" max="4" width="15.1796875" customWidth="1"/>
    <col min="5" max="5" width="18.81640625" customWidth="1"/>
    <col min="6" max="6" width="12.6328125" customWidth="1"/>
    <col min="18" max="18" width="22.81640625" customWidth="1"/>
    <col min="19" max="19" width="10.453125" bestFit="1" customWidth="1"/>
    <col min="20" max="20" width="8.81640625" bestFit="1" customWidth="1"/>
  </cols>
  <sheetData>
    <row r="1" spans="1:20" x14ac:dyDescent="0.35">
      <c r="A1" s="21" t="s">
        <v>190</v>
      </c>
      <c r="B1" s="21" t="s">
        <v>163</v>
      </c>
      <c r="C1" s="21" t="s">
        <v>164</v>
      </c>
      <c r="D1" s="21">
        <v>2017</v>
      </c>
      <c r="E1" s="21">
        <v>2018</v>
      </c>
      <c r="F1" s="21" t="s">
        <v>181</v>
      </c>
      <c r="R1" s="21" t="s">
        <v>164</v>
      </c>
      <c r="S1" s="25" t="s">
        <v>197</v>
      </c>
      <c r="T1" s="25" t="s">
        <v>198</v>
      </c>
    </row>
    <row r="2" spans="1:20" x14ac:dyDescent="0.35">
      <c r="A2" s="12">
        <v>45475</v>
      </c>
      <c r="B2" t="s">
        <v>171</v>
      </c>
      <c r="C2" t="s">
        <v>178</v>
      </c>
      <c r="D2" s="15">
        <v>21876</v>
      </c>
      <c r="E2" s="15">
        <v>6178</v>
      </c>
      <c r="F2" s="22">
        <f t="shared" ref="F2:F17" si="0">E2/D2-1</f>
        <v>-0.71759005302614742</v>
      </c>
      <c r="R2" t="s">
        <v>180</v>
      </c>
      <c r="S2">
        <f t="shared" ref="S2:S7" si="1">COUNTIF(C:C,R2)</f>
        <v>1</v>
      </c>
      <c r="T2" s="22">
        <f t="shared" ref="T2:T7" si="2">S2/$S$8</f>
        <v>6.25E-2</v>
      </c>
    </row>
    <row r="3" spans="1:20" x14ac:dyDescent="0.35">
      <c r="A3" s="12">
        <v>45476</v>
      </c>
      <c r="B3" t="s">
        <v>165</v>
      </c>
      <c r="C3" t="s">
        <v>178</v>
      </c>
      <c r="D3" s="15">
        <v>31519</v>
      </c>
      <c r="E3" s="15">
        <v>20462</v>
      </c>
      <c r="F3" s="22">
        <f t="shared" si="0"/>
        <v>-0.35080427678543102</v>
      </c>
      <c r="R3" t="s">
        <v>176</v>
      </c>
      <c r="S3">
        <f t="shared" si="1"/>
        <v>2</v>
      </c>
      <c r="T3" s="22">
        <f t="shared" si="2"/>
        <v>0.125</v>
      </c>
    </row>
    <row r="4" spans="1:20" x14ac:dyDescent="0.35">
      <c r="A4" s="12">
        <v>45477</v>
      </c>
      <c r="B4" t="s">
        <v>168</v>
      </c>
      <c r="C4" t="s">
        <v>178</v>
      </c>
      <c r="D4" s="15">
        <v>27697</v>
      </c>
      <c r="E4" s="15">
        <v>36511</v>
      </c>
      <c r="F4" s="22">
        <f t="shared" si="0"/>
        <v>0.31822941112755898</v>
      </c>
      <c r="R4" t="s">
        <v>179</v>
      </c>
      <c r="S4">
        <f t="shared" si="1"/>
        <v>2</v>
      </c>
      <c r="T4" s="22">
        <f t="shared" si="2"/>
        <v>0.125</v>
      </c>
    </row>
    <row r="5" spans="1:20" x14ac:dyDescent="0.35">
      <c r="A5" s="12">
        <v>45478</v>
      </c>
      <c r="B5" t="s">
        <v>173</v>
      </c>
      <c r="C5" t="s">
        <v>176</v>
      </c>
      <c r="D5" s="15">
        <v>17613</v>
      </c>
      <c r="E5" s="15">
        <v>5863</v>
      </c>
      <c r="F5" s="22">
        <f t="shared" si="0"/>
        <v>-0.66712087662522002</v>
      </c>
      <c r="R5" t="s">
        <v>178</v>
      </c>
      <c r="S5">
        <f t="shared" si="1"/>
        <v>3</v>
      </c>
      <c r="T5" s="22">
        <f t="shared" si="2"/>
        <v>0.1875</v>
      </c>
    </row>
    <row r="6" spans="1:20" x14ac:dyDescent="0.35">
      <c r="A6" s="12">
        <v>45479</v>
      </c>
      <c r="B6" t="s">
        <v>166</v>
      </c>
      <c r="C6" t="s">
        <v>176</v>
      </c>
      <c r="D6" s="15">
        <v>25448</v>
      </c>
      <c r="E6" s="15">
        <v>20000</v>
      </c>
      <c r="F6" s="22">
        <f t="shared" si="0"/>
        <v>-0.21408362150267213</v>
      </c>
      <c r="I6" t="s">
        <v>182</v>
      </c>
      <c r="R6" t="s">
        <v>177</v>
      </c>
      <c r="S6">
        <f t="shared" si="1"/>
        <v>3</v>
      </c>
      <c r="T6" s="22">
        <f t="shared" si="2"/>
        <v>0.1875</v>
      </c>
    </row>
    <row r="7" spans="1:20" x14ac:dyDescent="0.35">
      <c r="A7" s="12">
        <v>45480</v>
      </c>
      <c r="B7" t="s">
        <v>165</v>
      </c>
      <c r="C7" s="15" t="s">
        <v>175</v>
      </c>
      <c r="D7" s="15">
        <v>33221</v>
      </c>
      <c r="E7" s="15">
        <v>11239</v>
      </c>
      <c r="F7" s="22">
        <f t="shared" si="0"/>
        <v>-0.66168989494596797</v>
      </c>
      <c r="I7" t="s">
        <v>183</v>
      </c>
      <c r="R7" s="15" t="s">
        <v>175</v>
      </c>
      <c r="S7">
        <f t="shared" si="1"/>
        <v>5</v>
      </c>
      <c r="T7" s="22">
        <f t="shared" si="2"/>
        <v>0.3125</v>
      </c>
    </row>
    <row r="8" spans="1:20" x14ac:dyDescent="0.35">
      <c r="A8" s="12">
        <v>45481</v>
      </c>
      <c r="B8" t="s">
        <v>165</v>
      </c>
      <c r="C8" t="s">
        <v>175</v>
      </c>
      <c r="D8" s="15">
        <v>18231</v>
      </c>
      <c r="E8" s="15">
        <v>27130</v>
      </c>
      <c r="F8" s="22">
        <f t="shared" si="0"/>
        <v>0.48812462289506886</v>
      </c>
      <c r="S8">
        <f>SUM(S2:S7)</f>
        <v>16</v>
      </c>
      <c r="T8" s="22">
        <f>SUM(T2:T7)</f>
        <v>1</v>
      </c>
    </row>
    <row r="9" spans="1:20" x14ac:dyDescent="0.35">
      <c r="A9" s="12">
        <v>45482</v>
      </c>
      <c r="B9" t="s">
        <v>169</v>
      </c>
      <c r="C9" t="s">
        <v>175</v>
      </c>
      <c r="D9" s="15">
        <v>21107</v>
      </c>
      <c r="E9" s="15">
        <v>34999</v>
      </c>
      <c r="F9" s="22">
        <f t="shared" si="0"/>
        <v>0.6581702752641303</v>
      </c>
      <c r="I9" t="s">
        <v>184</v>
      </c>
    </row>
    <row r="10" spans="1:20" x14ac:dyDescent="0.35">
      <c r="A10" s="12">
        <v>45483</v>
      </c>
      <c r="B10" t="s">
        <v>170</v>
      </c>
      <c r="C10" t="s">
        <v>175</v>
      </c>
      <c r="D10" s="15">
        <v>18959</v>
      </c>
      <c r="E10" s="15">
        <v>32151</v>
      </c>
      <c r="F10" s="22">
        <f t="shared" si="0"/>
        <v>0.69581728994145253</v>
      </c>
      <c r="I10" t="s">
        <v>185</v>
      </c>
    </row>
    <row r="11" spans="1:20" x14ac:dyDescent="0.35">
      <c r="A11" s="12">
        <v>45484</v>
      </c>
      <c r="B11" t="s">
        <v>167</v>
      </c>
      <c r="C11" t="s">
        <v>175</v>
      </c>
      <c r="D11" s="15">
        <v>12255</v>
      </c>
      <c r="E11" s="15">
        <v>31502</v>
      </c>
      <c r="F11" s="22">
        <f t="shared" si="0"/>
        <v>1.5705426356589149</v>
      </c>
    </row>
    <row r="12" spans="1:20" x14ac:dyDescent="0.35">
      <c r="A12" s="12">
        <v>45485</v>
      </c>
      <c r="B12" t="s">
        <v>168</v>
      </c>
      <c r="C12" t="s">
        <v>179</v>
      </c>
      <c r="D12" s="15">
        <v>18912</v>
      </c>
      <c r="E12" s="15">
        <v>15788</v>
      </c>
      <c r="F12" s="22">
        <f t="shared" si="0"/>
        <v>-0.16518612521150589</v>
      </c>
    </row>
    <row r="13" spans="1:20" x14ac:dyDescent="0.35">
      <c r="A13" s="12">
        <v>45486</v>
      </c>
      <c r="B13" t="s">
        <v>165</v>
      </c>
      <c r="C13" t="s">
        <v>179</v>
      </c>
      <c r="D13" s="15">
        <v>30048</v>
      </c>
      <c r="E13" s="15">
        <v>38668</v>
      </c>
      <c r="F13" s="22">
        <f t="shared" si="0"/>
        <v>0.28687433439829602</v>
      </c>
      <c r="I13" t="s">
        <v>186</v>
      </c>
    </row>
    <row r="14" spans="1:20" x14ac:dyDescent="0.35">
      <c r="A14" s="12">
        <v>45487</v>
      </c>
      <c r="B14" t="s">
        <v>174</v>
      </c>
      <c r="C14" t="s">
        <v>180</v>
      </c>
      <c r="D14" s="15">
        <v>10071</v>
      </c>
      <c r="E14" s="15">
        <v>39150</v>
      </c>
      <c r="F14" s="22">
        <f t="shared" si="0"/>
        <v>2.8873994638069704</v>
      </c>
      <c r="I14" t="s">
        <v>187</v>
      </c>
      <c r="R14" t="s">
        <v>191</v>
      </c>
    </row>
    <row r="15" spans="1:20" x14ac:dyDescent="0.35">
      <c r="A15" s="12">
        <v>45488</v>
      </c>
      <c r="B15" t="s">
        <v>166</v>
      </c>
      <c r="C15" t="s">
        <v>177</v>
      </c>
      <c r="D15" s="15">
        <v>39665</v>
      </c>
      <c r="E15" s="15">
        <v>11964</v>
      </c>
      <c r="F15" s="22">
        <f t="shared" si="0"/>
        <v>-0.69837388125551492</v>
      </c>
      <c r="R15" t="s">
        <v>192</v>
      </c>
    </row>
    <row r="16" spans="1:20" x14ac:dyDescent="0.35">
      <c r="A16" s="12">
        <v>45489</v>
      </c>
      <c r="B16" t="s">
        <v>172</v>
      </c>
      <c r="C16" t="s">
        <v>177</v>
      </c>
      <c r="D16" s="15">
        <v>31519</v>
      </c>
      <c r="E16" s="15">
        <v>31036</v>
      </c>
      <c r="F16" s="22">
        <f t="shared" si="0"/>
        <v>-1.5324090231289111E-2</v>
      </c>
    </row>
    <row r="17" spans="1:8" ht="15" thickBot="1" x14ac:dyDescent="0.4">
      <c r="A17" s="12">
        <v>45490</v>
      </c>
      <c r="B17" s="16" t="s">
        <v>168</v>
      </c>
      <c r="C17" s="16" t="s">
        <v>177</v>
      </c>
      <c r="D17" s="23">
        <v>32284</v>
      </c>
      <c r="E17" s="23">
        <v>39356</v>
      </c>
      <c r="F17" s="24">
        <f t="shared" si="0"/>
        <v>0.2190558790732251</v>
      </c>
    </row>
    <row r="18" spans="1:8" x14ac:dyDescent="0.35">
      <c r="D18" s="15"/>
      <c r="E18" s="15"/>
      <c r="F18" s="22"/>
    </row>
    <row r="19" spans="1:8" x14ac:dyDescent="0.35">
      <c r="H19" t="s">
        <v>188</v>
      </c>
    </row>
    <row r="20" spans="1:8" x14ac:dyDescent="0.35">
      <c r="H20" t="s">
        <v>189</v>
      </c>
    </row>
    <row r="22" spans="1:8" x14ac:dyDescent="0.35">
      <c r="B22" s="12">
        <v>45475</v>
      </c>
    </row>
    <row r="23" spans="1:8" x14ac:dyDescent="0.35">
      <c r="B23" s="12">
        <v>45487</v>
      </c>
    </row>
    <row r="24" spans="1:8" x14ac:dyDescent="0.35">
      <c r="E24" t="s">
        <v>193</v>
      </c>
    </row>
    <row r="25" spans="1:8" x14ac:dyDescent="0.35">
      <c r="C25">
        <f>COUNTIF(D2:E17,"&gt;34000 ")</f>
        <v>6</v>
      </c>
      <c r="H25" s="15"/>
    </row>
    <row r="26" spans="1:8" x14ac:dyDescent="0.35">
      <c r="C26">
        <v>15000</v>
      </c>
      <c r="E26" t="s">
        <v>194</v>
      </c>
    </row>
    <row r="27" spans="1:8" x14ac:dyDescent="0.35">
      <c r="C27">
        <f>COUNTIF(D2:E17,"&gt;"&amp;C26)</f>
        <v>26</v>
      </c>
      <c r="E27" t="s">
        <v>195</v>
      </c>
    </row>
    <row r="28" spans="1:8" x14ac:dyDescent="0.35">
      <c r="C28">
        <f>COUNTIFS(A2:A17,"&gt;="&amp;B22,A2:A17,"&lt;="&amp;B23)</f>
        <v>13</v>
      </c>
    </row>
    <row r="29" spans="1:8" x14ac:dyDescent="0.35">
      <c r="C29" t="s">
        <v>196</v>
      </c>
    </row>
    <row r="30" spans="1:8" x14ac:dyDescent="0.35">
      <c r="G30" s="27" t="s">
        <v>202</v>
      </c>
    </row>
    <row r="31" spans="1:8" x14ac:dyDescent="0.35">
      <c r="G31">
        <f>IF(D3&gt;=30000,D3*5%,D3*1%)</f>
        <v>1575.95</v>
      </c>
    </row>
    <row r="32" spans="1:8" x14ac:dyDescent="0.35">
      <c r="G32">
        <f t="shared" ref="G32:G36" si="3">IF(D4&gt;=30000,D4*5%,D4*1%)</f>
        <v>276.97000000000003</v>
      </c>
    </row>
    <row r="33" spans="7:7" x14ac:dyDescent="0.35">
      <c r="G33">
        <f t="shared" si="3"/>
        <v>176.13</v>
      </c>
    </row>
    <row r="34" spans="7:7" x14ac:dyDescent="0.35">
      <c r="G34">
        <f t="shared" si="3"/>
        <v>254.48000000000002</v>
      </c>
    </row>
    <row r="35" spans="7:7" x14ac:dyDescent="0.35">
      <c r="G35">
        <f t="shared" si="3"/>
        <v>1661.0500000000002</v>
      </c>
    </row>
    <row r="36" spans="7:7" x14ac:dyDescent="0.35">
      <c r="G36">
        <f t="shared" si="3"/>
        <v>182.31</v>
      </c>
    </row>
  </sheetData>
  <autoFilter ref="B1:F17" xr:uid="{5E2DD9A5-9009-4DFF-8F83-ED425C500EF8}"/>
  <sortState xmlns:xlrd2="http://schemas.microsoft.com/office/spreadsheetml/2017/richdata2" ref="R2:T7">
    <sortCondition ref="T2:T7"/>
  </sortState>
  <conditionalFormatting sqref="F2:F17">
    <cfRule type="cellIs" dxfId="1" priority="1" operator="lessThan">
      <formula>0</formula>
    </cfRule>
  </conditionalFormatting>
  <dataValidations count="1">
    <dataValidation type="list" allowBlank="1" showInputMessage="1" showErrorMessage="1" sqref="C26" xr:uid="{82924F6C-6139-4D71-B836-4866D5BFC6AD}">
      <formula1>"15000,25000,35000,45000,55000"</formula1>
    </dataValidation>
  </dataValidation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F386F-94E7-43E2-B9DC-D6DA886EABE2}">
  <dimension ref="A1:L13"/>
  <sheetViews>
    <sheetView workbookViewId="0">
      <selection activeCell="A2" sqref="A2"/>
    </sheetView>
  </sheetViews>
  <sheetFormatPr defaultRowHeight="14.5" x14ac:dyDescent="0.35"/>
  <cols>
    <col min="1" max="1" width="15.81640625" bestFit="1" customWidth="1"/>
  </cols>
  <sheetData>
    <row r="1" spans="1:12" x14ac:dyDescent="0.35">
      <c r="A1" t="s">
        <v>180</v>
      </c>
    </row>
    <row r="2" spans="1:12" x14ac:dyDescent="0.35">
      <c r="A2" t="s">
        <v>176</v>
      </c>
      <c r="D2" s="27" t="s">
        <v>199</v>
      </c>
      <c r="E2" s="27"/>
      <c r="F2" s="27"/>
      <c r="G2" s="27"/>
      <c r="H2" s="27"/>
      <c r="I2" s="27"/>
      <c r="J2" s="27"/>
    </row>
    <row r="3" spans="1:12" x14ac:dyDescent="0.35">
      <c r="A3" t="s">
        <v>179</v>
      </c>
      <c r="D3" t="str">
        <f>LEFT(A1,7)</f>
        <v>İstanbu</v>
      </c>
    </row>
    <row r="4" spans="1:12" x14ac:dyDescent="0.35">
      <c r="A4" t="s">
        <v>178</v>
      </c>
      <c r="D4" t="str">
        <f t="shared" ref="D4:D7" si="0">LEFT(A2,7)</f>
        <v xml:space="preserve">Fernas </v>
      </c>
      <c r="G4" s="27" t="s">
        <v>200</v>
      </c>
      <c r="H4" s="27"/>
      <c r="I4" s="27"/>
      <c r="J4" s="27"/>
      <c r="K4" s="27"/>
      <c r="L4" s="27"/>
    </row>
    <row r="5" spans="1:12" x14ac:dyDescent="0.35">
      <c r="A5" t="s">
        <v>177</v>
      </c>
      <c r="D5" t="str">
        <f t="shared" si="0"/>
        <v>Filmond</v>
      </c>
    </row>
    <row r="6" spans="1:12" x14ac:dyDescent="0.35">
      <c r="A6" s="15" t="s">
        <v>175</v>
      </c>
      <c r="D6" t="str">
        <f t="shared" si="0"/>
        <v>Anadolu</v>
      </c>
    </row>
    <row r="7" spans="1:12" x14ac:dyDescent="0.35">
      <c r="D7" t="str">
        <f t="shared" si="0"/>
        <v xml:space="preserve">Karsan </v>
      </c>
      <c r="G7" s="27" t="s">
        <v>201</v>
      </c>
      <c r="H7" s="27"/>
      <c r="I7" s="27"/>
      <c r="J7" s="27"/>
      <c r="K7" s="27"/>
    </row>
    <row r="8" spans="1:12" x14ac:dyDescent="0.35">
      <c r="G8" t="str">
        <f>MID(A1,10,5)</f>
        <v>nakli</v>
      </c>
    </row>
    <row r="9" spans="1:12" x14ac:dyDescent="0.35">
      <c r="G9" t="str">
        <f t="shared" ref="G9:G13" si="1">MID(A2,10,5)</f>
        <v>erji</v>
      </c>
    </row>
    <row r="10" spans="1:12" x14ac:dyDescent="0.35">
      <c r="G10" t="str">
        <f t="shared" si="1"/>
        <v>askı</v>
      </c>
    </row>
    <row r="11" spans="1:12" x14ac:dyDescent="0.35">
      <c r="G11" t="str">
        <f t="shared" si="1"/>
        <v/>
      </c>
    </row>
    <row r="12" spans="1:12" x14ac:dyDescent="0.35">
      <c r="E12" t="s">
        <v>196</v>
      </c>
      <c r="G12" t="str">
        <f>MID(A5,10,5)</f>
        <v>astik</v>
      </c>
    </row>
    <row r="13" spans="1:12" x14ac:dyDescent="0.35">
      <c r="G13" t="str">
        <f t="shared" si="1"/>
        <v xml:space="preserve">zgar 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7EC36-67DD-4182-93D1-B387B32110F2}">
  <dimension ref="A1:F30"/>
  <sheetViews>
    <sheetView topLeftCell="A12" workbookViewId="0">
      <selection activeCell="D21" sqref="D21"/>
    </sheetView>
  </sheetViews>
  <sheetFormatPr defaultRowHeight="14.5" x14ac:dyDescent="0.35"/>
  <cols>
    <col min="3" max="3" width="15.36328125" customWidth="1"/>
    <col min="4" max="4" width="19.26953125" customWidth="1"/>
    <col min="5" max="5" width="19" customWidth="1"/>
    <col min="6" max="6" width="11.08984375" bestFit="1" customWidth="1"/>
  </cols>
  <sheetData>
    <row r="1" spans="1:6" x14ac:dyDescent="0.35">
      <c r="A1" t="s">
        <v>218</v>
      </c>
    </row>
    <row r="2" spans="1:6" x14ac:dyDescent="0.35">
      <c r="A2" t="s">
        <v>219</v>
      </c>
    </row>
    <row r="5" spans="1:6" x14ac:dyDescent="0.35">
      <c r="A5" t="s">
        <v>220</v>
      </c>
    </row>
    <row r="6" spans="1:6" x14ac:dyDescent="0.35">
      <c r="A6" t="s">
        <v>221</v>
      </c>
    </row>
    <row r="7" spans="1:6" x14ac:dyDescent="0.35">
      <c r="A7" t="s">
        <v>222</v>
      </c>
    </row>
    <row r="8" spans="1:6" x14ac:dyDescent="0.35">
      <c r="A8" t="s">
        <v>223</v>
      </c>
    </row>
    <row r="12" spans="1:6" x14ac:dyDescent="0.35">
      <c r="C12" s="26" t="s">
        <v>224</v>
      </c>
      <c r="D12" s="26" t="s">
        <v>225</v>
      </c>
      <c r="E12" s="26" t="s">
        <v>227</v>
      </c>
      <c r="F12" s="26" t="s">
        <v>240</v>
      </c>
    </row>
    <row r="13" spans="1:6" x14ac:dyDescent="0.35">
      <c r="C13" s="33">
        <v>45480</v>
      </c>
      <c r="D13" s="1" t="s">
        <v>171</v>
      </c>
      <c r="E13" s="1" t="s">
        <v>228</v>
      </c>
      <c r="F13" s="34">
        <v>410</v>
      </c>
    </row>
    <row r="14" spans="1:6" x14ac:dyDescent="0.35">
      <c r="C14" s="33">
        <v>45481</v>
      </c>
      <c r="D14" s="1" t="s">
        <v>165</v>
      </c>
      <c r="E14" s="1" t="s">
        <v>178</v>
      </c>
      <c r="F14" s="34">
        <v>1885</v>
      </c>
    </row>
    <row r="15" spans="1:6" x14ac:dyDescent="0.35">
      <c r="C15" s="33">
        <v>45482</v>
      </c>
      <c r="D15" s="1" t="s">
        <v>168</v>
      </c>
      <c r="E15" s="1" t="s">
        <v>229</v>
      </c>
      <c r="F15" s="34">
        <v>7003</v>
      </c>
    </row>
    <row r="16" spans="1:6" x14ac:dyDescent="0.35">
      <c r="C16" s="33">
        <v>45483</v>
      </c>
      <c r="D16" s="1" t="s">
        <v>173</v>
      </c>
      <c r="E16" s="1" t="s">
        <v>230</v>
      </c>
      <c r="F16" s="34">
        <v>5969</v>
      </c>
    </row>
    <row r="17" spans="3:6" x14ac:dyDescent="0.35">
      <c r="C17" s="33">
        <v>45484</v>
      </c>
      <c r="D17" s="1" t="s">
        <v>166</v>
      </c>
      <c r="E17" s="1" t="s">
        <v>231</v>
      </c>
      <c r="F17" s="34">
        <v>11470</v>
      </c>
    </row>
    <row r="18" spans="3:6" x14ac:dyDescent="0.35">
      <c r="C18" s="33">
        <v>45485</v>
      </c>
      <c r="D18" s="1" t="s">
        <v>165</v>
      </c>
      <c r="E18" s="1" t="s">
        <v>232</v>
      </c>
      <c r="F18" s="34">
        <v>588</v>
      </c>
    </row>
    <row r="19" spans="3:6" x14ac:dyDescent="0.35">
      <c r="C19" s="33">
        <v>45486</v>
      </c>
      <c r="D19" s="1" t="s">
        <v>165</v>
      </c>
      <c r="E19" s="1" t="s">
        <v>176</v>
      </c>
      <c r="F19" s="34">
        <v>13173</v>
      </c>
    </row>
    <row r="20" spans="3:6" x14ac:dyDescent="0.35">
      <c r="C20" s="33">
        <v>45487</v>
      </c>
      <c r="D20" s="1" t="s">
        <v>169</v>
      </c>
      <c r="E20" s="1" t="s">
        <v>231</v>
      </c>
      <c r="F20" s="34">
        <v>12485</v>
      </c>
    </row>
    <row r="21" spans="3:6" x14ac:dyDescent="0.35">
      <c r="C21" s="33">
        <v>45488</v>
      </c>
      <c r="D21" s="1" t="s">
        <v>170</v>
      </c>
      <c r="E21" s="1" t="s">
        <v>233</v>
      </c>
      <c r="F21" s="34">
        <v>311</v>
      </c>
    </row>
    <row r="22" spans="3:6" x14ac:dyDescent="0.35">
      <c r="C22" s="33">
        <v>45489</v>
      </c>
      <c r="D22" s="1" t="s">
        <v>167</v>
      </c>
      <c r="E22" s="1" t="s">
        <v>233</v>
      </c>
      <c r="F22" s="34">
        <v>854</v>
      </c>
    </row>
    <row r="23" spans="3:6" x14ac:dyDescent="0.35">
      <c r="C23" s="33">
        <v>45490</v>
      </c>
      <c r="D23" s="1" t="s">
        <v>226</v>
      </c>
      <c r="E23" s="1" t="s">
        <v>234</v>
      </c>
      <c r="F23" s="34">
        <v>8436</v>
      </c>
    </row>
    <row r="24" spans="3:6" x14ac:dyDescent="0.35">
      <c r="C24" s="33">
        <v>45491</v>
      </c>
      <c r="D24" s="1" t="s">
        <v>235</v>
      </c>
      <c r="E24" s="1" t="s">
        <v>237</v>
      </c>
      <c r="F24" s="34">
        <v>10060</v>
      </c>
    </row>
    <row r="25" spans="3:6" x14ac:dyDescent="0.35">
      <c r="C25" s="33">
        <v>45492</v>
      </c>
      <c r="D25" s="1" t="s">
        <v>168</v>
      </c>
      <c r="E25" s="1" t="s">
        <v>176</v>
      </c>
      <c r="F25" s="34">
        <v>11386</v>
      </c>
    </row>
    <row r="26" spans="3:6" x14ac:dyDescent="0.35">
      <c r="C26" s="33">
        <v>45493</v>
      </c>
      <c r="D26" t="s">
        <v>236</v>
      </c>
      <c r="E26" s="1" t="s">
        <v>238</v>
      </c>
      <c r="F26" s="34">
        <v>1334</v>
      </c>
    </row>
    <row r="27" spans="3:6" x14ac:dyDescent="0.35">
      <c r="C27" s="33">
        <v>45494</v>
      </c>
      <c r="D27" t="s">
        <v>236</v>
      </c>
      <c r="E27" s="1" t="s">
        <v>239</v>
      </c>
      <c r="F27" s="34">
        <v>6881</v>
      </c>
    </row>
    <row r="28" spans="3:6" x14ac:dyDescent="0.35">
      <c r="C28" s="33">
        <v>45495</v>
      </c>
      <c r="D28" s="1" t="s">
        <v>241</v>
      </c>
      <c r="E28" s="1" t="s">
        <v>233</v>
      </c>
      <c r="F28" s="34">
        <v>1203</v>
      </c>
    </row>
    <row r="29" spans="3:6" x14ac:dyDescent="0.35">
      <c r="C29" s="33">
        <v>45496</v>
      </c>
      <c r="D29" s="1" t="s">
        <v>242</v>
      </c>
      <c r="E29" s="1" t="s">
        <v>178</v>
      </c>
      <c r="F29" s="34">
        <v>3116</v>
      </c>
    </row>
    <row r="30" spans="3:6" x14ac:dyDescent="0.35">
      <c r="C30" s="33">
        <v>45497</v>
      </c>
      <c r="D30" s="1" t="s">
        <v>170</v>
      </c>
      <c r="E30" s="1" t="s">
        <v>176</v>
      </c>
      <c r="F30" s="34">
        <v>2279</v>
      </c>
    </row>
  </sheetData>
  <conditionalFormatting sqref="C12:F25 C26:C27 E26:F27 C28:F30">
    <cfRule type="containsText" dxfId="0" priority="1" operator="containsText" text="Metin ">
      <formula>NOT(ISERROR(SEARCH("Metin ",C12)))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51113-3C44-4E6E-A51E-ADF2CF93F2F7}">
  <dimension ref="A3:C17"/>
  <sheetViews>
    <sheetView workbookViewId="0">
      <selection activeCell="K30" sqref="K30"/>
    </sheetView>
  </sheetViews>
  <sheetFormatPr defaultRowHeight="14.5" x14ac:dyDescent="0.35"/>
  <cols>
    <col min="1" max="1" width="14.90625" bestFit="1" customWidth="1"/>
    <col min="2" max="2" width="18.08984375" bestFit="1" customWidth="1"/>
    <col min="3" max="3" width="15.81640625" bestFit="1" customWidth="1"/>
  </cols>
  <sheetData>
    <row r="3" spans="1:3" x14ac:dyDescent="0.35">
      <c r="A3" s="35" t="s">
        <v>243</v>
      </c>
      <c r="B3" t="s">
        <v>245</v>
      </c>
      <c r="C3" t="s">
        <v>246</v>
      </c>
    </row>
    <row r="4" spans="1:3" x14ac:dyDescent="0.35">
      <c r="A4" s="19" t="s">
        <v>169</v>
      </c>
      <c r="B4" s="36">
        <v>12485</v>
      </c>
      <c r="C4" s="68">
        <v>1</v>
      </c>
    </row>
    <row r="5" spans="1:3" x14ac:dyDescent="0.35">
      <c r="A5" s="19" t="s">
        <v>170</v>
      </c>
      <c r="B5" s="36">
        <v>2590</v>
      </c>
      <c r="C5" s="68">
        <v>2</v>
      </c>
    </row>
    <row r="6" spans="1:3" x14ac:dyDescent="0.35">
      <c r="A6" s="19" t="s">
        <v>241</v>
      </c>
      <c r="B6" s="36">
        <v>1203</v>
      </c>
      <c r="C6" s="68">
        <v>1</v>
      </c>
    </row>
    <row r="7" spans="1:3" x14ac:dyDescent="0.35">
      <c r="A7" s="19" t="s">
        <v>165</v>
      </c>
      <c r="B7" s="36">
        <v>15646</v>
      </c>
      <c r="C7" s="68">
        <v>3</v>
      </c>
    </row>
    <row r="8" spans="1:3" x14ac:dyDescent="0.35">
      <c r="A8" s="19" t="s">
        <v>236</v>
      </c>
      <c r="B8" s="36">
        <v>8215</v>
      </c>
      <c r="C8" s="68">
        <v>2</v>
      </c>
    </row>
    <row r="9" spans="1:3" x14ac:dyDescent="0.35">
      <c r="A9" s="19" t="s">
        <v>226</v>
      </c>
      <c r="B9" s="36">
        <v>8436</v>
      </c>
      <c r="C9" s="68">
        <v>1</v>
      </c>
    </row>
    <row r="10" spans="1:3" x14ac:dyDescent="0.35">
      <c r="A10" s="19" t="s">
        <v>171</v>
      </c>
      <c r="B10" s="36">
        <v>410</v>
      </c>
      <c r="C10" s="68">
        <v>1</v>
      </c>
    </row>
    <row r="11" spans="1:3" x14ac:dyDescent="0.35">
      <c r="A11" s="19" t="s">
        <v>166</v>
      </c>
      <c r="B11" s="36">
        <v>11470</v>
      </c>
      <c r="C11" s="68">
        <v>1</v>
      </c>
    </row>
    <row r="12" spans="1:3" x14ac:dyDescent="0.35">
      <c r="A12" s="19" t="s">
        <v>235</v>
      </c>
      <c r="B12" s="36">
        <v>10060</v>
      </c>
      <c r="C12" s="68">
        <v>1</v>
      </c>
    </row>
    <row r="13" spans="1:3" x14ac:dyDescent="0.35">
      <c r="A13" s="19" t="s">
        <v>173</v>
      </c>
      <c r="B13" s="36">
        <v>5969</v>
      </c>
      <c r="C13" s="68">
        <v>1</v>
      </c>
    </row>
    <row r="14" spans="1:3" x14ac:dyDescent="0.35">
      <c r="A14" s="19" t="s">
        <v>242</v>
      </c>
      <c r="B14" s="36">
        <v>3116</v>
      </c>
      <c r="C14" s="68">
        <v>1</v>
      </c>
    </row>
    <row r="15" spans="1:3" x14ac:dyDescent="0.35">
      <c r="A15" s="19" t="s">
        <v>168</v>
      </c>
      <c r="B15" s="36">
        <v>18389</v>
      </c>
      <c r="C15" s="68">
        <v>2</v>
      </c>
    </row>
    <row r="16" spans="1:3" x14ac:dyDescent="0.35">
      <c r="A16" s="19" t="s">
        <v>167</v>
      </c>
      <c r="B16" s="36">
        <v>854</v>
      </c>
      <c r="C16" s="68">
        <v>1</v>
      </c>
    </row>
    <row r="17" spans="1:3" x14ac:dyDescent="0.35">
      <c r="A17" s="19" t="s">
        <v>244</v>
      </c>
      <c r="B17" s="36">
        <v>98843</v>
      </c>
      <c r="C17" s="68">
        <v>18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75509-A16A-43E8-A8F8-7E4F50735788}">
  <dimension ref="A1:T59"/>
  <sheetViews>
    <sheetView tabSelected="1" topLeftCell="A37" workbookViewId="0">
      <selection activeCell="O58" sqref="O58"/>
    </sheetView>
  </sheetViews>
  <sheetFormatPr defaultRowHeight="14.5" x14ac:dyDescent="0.35"/>
  <cols>
    <col min="1" max="1" width="13.453125" bestFit="1" customWidth="1"/>
    <col min="2" max="2" width="15.81640625" bestFit="1" customWidth="1"/>
    <col min="3" max="3" width="15.08984375" customWidth="1"/>
    <col min="4" max="4" width="13.453125" customWidth="1"/>
    <col min="7" max="7" width="9.90625" bestFit="1" customWidth="1"/>
    <col min="10" max="10" width="12.1796875" bestFit="1" customWidth="1"/>
    <col min="17" max="17" width="9.90625" bestFit="1" customWidth="1"/>
  </cols>
  <sheetData>
    <row r="1" spans="1:9" x14ac:dyDescent="0.35">
      <c r="E1" s="67" t="s">
        <v>256</v>
      </c>
      <c r="F1" s="63"/>
      <c r="G1" s="63"/>
      <c r="H1" s="63"/>
      <c r="I1" s="63"/>
    </row>
    <row r="2" spans="1:9" x14ac:dyDescent="0.35">
      <c r="B2" t="s">
        <v>260</v>
      </c>
      <c r="D2" s="40" t="s">
        <v>257</v>
      </c>
      <c r="E2" t="s">
        <v>258</v>
      </c>
      <c r="F2">
        <f>SUBTOTAL(9,E10:E25)</f>
        <v>914331.87999999989</v>
      </c>
    </row>
    <row r="3" spans="1:9" x14ac:dyDescent="0.35">
      <c r="B3" t="s">
        <v>261</v>
      </c>
      <c r="E3" t="s">
        <v>259</v>
      </c>
      <c r="F3">
        <f>SUBTOTAL(1,E10:E25)</f>
        <v>57145.742499999993</v>
      </c>
    </row>
    <row r="9" spans="1:9" x14ac:dyDescent="0.35">
      <c r="A9" s="37" t="s">
        <v>163</v>
      </c>
      <c r="B9" s="37" t="s">
        <v>164</v>
      </c>
      <c r="C9" s="65" t="s">
        <v>247</v>
      </c>
      <c r="D9" s="66"/>
    </row>
    <row r="10" spans="1:9" x14ac:dyDescent="0.35">
      <c r="A10" s="1" t="s">
        <v>171</v>
      </c>
      <c r="B10" s="1" t="s">
        <v>178</v>
      </c>
      <c r="C10" s="34">
        <v>25157.4</v>
      </c>
      <c r="D10">
        <v>2.4</v>
      </c>
      <c r="E10">
        <f>C10*D10</f>
        <v>60377.760000000002</v>
      </c>
      <c r="G10">
        <f>SUMPRODUCT(C10:C25,D10:D25)</f>
        <v>914331.87999999989</v>
      </c>
    </row>
    <row r="11" spans="1:9" x14ac:dyDescent="0.35">
      <c r="A11" s="1" t="s">
        <v>165</v>
      </c>
      <c r="B11" s="1" t="s">
        <v>178</v>
      </c>
      <c r="C11" s="34">
        <v>36246.85</v>
      </c>
      <c r="D11">
        <v>3.2</v>
      </c>
      <c r="E11">
        <f t="shared" ref="E11:E25" si="0">C11*D11</f>
        <v>115989.92</v>
      </c>
    </row>
    <row r="12" spans="1:9" x14ac:dyDescent="0.35">
      <c r="A12" s="1" t="s">
        <v>168</v>
      </c>
      <c r="B12" s="1" t="s">
        <v>178</v>
      </c>
      <c r="C12" s="34">
        <v>31851.55</v>
      </c>
      <c r="D12">
        <v>0.8</v>
      </c>
      <c r="E12">
        <f t="shared" si="0"/>
        <v>25481.24</v>
      </c>
      <c r="G12" s="15"/>
    </row>
    <row r="13" spans="1:9" x14ac:dyDescent="0.35">
      <c r="A13" s="1" t="s">
        <v>173</v>
      </c>
      <c r="B13" s="1" t="s">
        <v>176</v>
      </c>
      <c r="C13" s="34">
        <v>20254.949999999997</v>
      </c>
      <c r="D13">
        <v>3.2</v>
      </c>
      <c r="E13">
        <f t="shared" si="0"/>
        <v>64815.839999999997</v>
      </c>
    </row>
    <row r="14" spans="1:9" x14ac:dyDescent="0.35">
      <c r="A14" s="1" t="s">
        <v>166</v>
      </c>
      <c r="B14" s="1" t="s">
        <v>176</v>
      </c>
      <c r="C14" s="34">
        <v>29265.199999999997</v>
      </c>
      <c r="D14">
        <v>0.8</v>
      </c>
      <c r="E14">
        <f t="shared" si="0"/>
        <v>23412.16</v>
      </c>
      <c r="G14" t="s">
        <v>249</v>
      </c>
    </row>
    <row r="15" spans="1:9" x14ac:dyDescent="0.35">
      <c r="A15" s="1" t="s">
        <v>165</v>
      </c>
      <c r="B15" s="34" t="s">
        <v>175</v>
      </c>
      <c r="C15" s="34">
        <v>38204.149999999994</v>
      </c>
      <c r="D15">
        <v>4</v>
      </c>
      <c r="E15">
        <f t="shared" si="0"/>
        <v>152816.59999999998</v>
      </c>
      <c r="G15" t="s">
        <v>248</v>
      </c>
    </row>
    <row r="16" spans="1:9" x14ac:dyDescent="0.35">
      <c r="A16" s="1" t="s">
        <v>165</v>
      </c>
      <c r="B16" s="1" t="s">
        <v>175</v>
      </c>
      <c r="C16" s="34">
        <v>20965.649999999998</v>
      </c>
      <c r="D16">
        <v>4</v>
      </c>
      <c r="E16">
        <f t="shared" si="0"/>
        <v>83862.599999999991</v>
      </c>
    </row>
    <row r="17" spans="1:8" x14ac:dyDescent="0.35">
      <c r="A17" s="1" t="s">
        <v>169</v>
      </c>
      <c r="B17" s="1" t="s">
        <v>175</v>
      </c>
      <c r="C17" s="34">
        <v>24273.05</v>
      </c>
      <c r="D17">
        <v>0.8</v>
      </c>
      <c r="E17">
        <f t="shared" si="0"/>
        <v>19418.439999999999</v>
      </c>
    </row>
    <row r="18" spans="1:8" x14ac:dyDescent="0.35">
      <c r="A18" s="1" t="s">
        <v>170</v>
      </c>
      <c r="B18" s="1" t="s">
        <v>175</v>
      </c>
      <c r="C18" s="34">
        <v>21802.85</v>
      </c>
      <c r="D18">
        <v>3.2</v>
      </c>
      <c r="E18">
        <f t="shared" si="0"/>
        <v>69769.119999999995</v>
      </c>
    </row>
    <row r="19" spans="1:8" x14ac:dyDescent="0.35">
      <c r="A19" s="1" t="s">
        <v>167</v>
      </c>
      <c r="B19" s="1" t="s">
        <v>175</v>
      </c>
      <c r="C19" s="34">
        <v>14093.249999999998</v>
      </c>
      <c r="D19">
        <v>0.8</v>
      </c>
      <c r="E19">
        <f t="shared" si="0"/>
        <v>11274.599999999999</v>
      </c>
      <c r="H19" t="s">
        <v>250</v>
      </c>
    </row>
    <row r="20" spans="1:8" x14ac:dyDescent="0.35">
      <c r="A20" s="1" t="s">
        <v>168</v>
      </c>
      <c r="B20" s="1" t="s">
        <v>179</v>
      </c>
      <c r="C20" s="34">
        <v>21748.799999999999</v>
      </c>
      <c r="D20">
        <v>2.4</v>
      </c>
      <c r="E20">
        <f t="shared" si="0"/>
        <v>52197.119999999995</v>
      </c>
      <c r="H20" t="s">
        <v>251</v>
      </c>
    </row>
    <row r="21" spans="1:8" x14ac:dyDescent="0.35">
      <c r="A21" s="1" t="s">
        <v>165</v>
      </c>
      <c r="B21" s="1" t="s">
        <v>179</v>
      </c>
      <c r="C21" s="34">
        <v>34555.199999999997</v>
      </c>
      <c r="D21">
        <v>2.4</v>
      </c>
      <c r="E21">
        <f t="shared" si="0"/>
        <v>82932.479999999996</v>
      </c>
      <c r="H21" cm="1">
        <f t="array" ref="H21">SUMPRODUCT((B10:B25="anadolum")*(C10:C25)*(D10:D25))</f>
        <v>201848.91999999998</v>
      </c>
    </row>
    <row r="22" spans="1:8" x14ac:dyDescent="0.35">
      <c r="A22" s="1" t="s">
        <v>174</v>
      </c>
      <c r="B22" s="1" t="s">
        <v>180</v>
      </c>
      <c r="C22" s="34">
        <v>11581.65</v>
      </c>
      <c r="D22">
        <v>2.4</v>
      </c>
      <c r="E22">
        <f t="shared" si="0"/>
        <v>27795.96</v>
      </c>
    </row>
    <row r="23" spans="1:8" x14ac:dyDescent="0.35">
      <c r="A23" s="1" t="s">
        <v>166</v>
      </c>
      <c r="B23" s="1" t="s">
        <v>177</v>
      </c>
      <c r="C23" s="34">
        <v>45614.75</v>
      </c>
      <c r="D23">
        <v>0.8</v>
      </c>
      <c r="E23">
        <f t="shared" si="0"/>
        <v>36491.800000000003</v>
      </c>
    </row>
    <row r="24" spans="1:8" x14ac:dyDescent="0.35">
      <c r="A24" s="1" t="s">
        <v>172</v>
      </c>
      <c r="B24" s="1" t="s">
        <v>177</v>
      </c>
      <c r="C24" s="34">
        <v>36246.85</v>
      </c>
      <c r="D24">
        <v>1.6</v>
      </c>
      <c r="E24">
        <f t="shared" si="0"/>
        <v>57994.96</v>
      </c>
      <c r="H24" t="s">
        <v>252</v>
      </c>
    </row>
    <row r="25" spans="1:8" ht="15" thickBot="1" x14ac:dyDescent="0.4">
      <c r="A25" s="38" t="s">
        <v>168</v>
      </c>
      <c r="B25" s="38" t="s">
        <v>177</v>
      </c>
      <c r="C25" s="39">
        <v>37126.6</v>
      </c>
      <c r="D25">
        <v>0.8</v>
      </c>
      <c r="E25">
        <f t="shared" si="0"/>
        <v>29701.279999999999</v>
      </c>
      <c r="H25" t="s">
        <v>253</v>
      </c>
    </row>
    <row r="26" spans="1:8" x14ac:dyDescent="0.35">
      <c r="C26" s="15">
        <f>SUM(C10:C25)</f>
        <v>448988.75</v>
      </c>
      <c r="E26">
        <f>SUM(E10:E25)</f>
        <v>914331.87999999989</v>
      </c>
      <c r="H26" t="s">
        <v>254</v>
      </c>
    </row>
    <row r="27" spans="1:8" x14ac:dyDescent="0.35">
      <c r="H27" t="s">
        <v>255</v>
      </c>
    </row>
    <row r="33" spans="2:20" x14ac:dyDescent="0.35">
      <c r="B33" t="str" cm="1">
        <f t="array" ref="B33">INDEX(A:A,MATCH(A21,A:A,0),0)</f>
        <v>Hasan Berber</v>
      </c>
      <c r="D33" t="str">
        <f>VLOOKUP(A10,A:D,2,0)</f>
        <v>Anadolum</v>
      </c>
      <c r="G33">
        <f>_xlfn.XLOOKUP(A17,A:A,C:C)</f>
        <v>24273.05</v>
      </c>
    </row>
    <row r="34" spans="2:20" x14ac:dyDescent="0.35">
      <c r="D34">
        <f>VLOOKUP(A16,A9:D25,3,0)</f>
        <v>36246.85</v>
      </c>
    </row>
    <row r="43" spans="2:20" x14ac:dyDescent="0.35">
      <c r="H43" t="s">
        <v>264</v>
      </c>
      <c r="I43">
        <v>2005</v>
      </c>
      <c r="J43">
        <v>2010</v>
      </c>
      <c r="K43">
        <v>2015</v>
      </c>
      <c r="L43">
        <v>2020</v>
      </c>
    </row>
    <row r="44" spans="2:20" x14ac:dyDescent="0.35">
      <c r="H44" t="s">
        <v>265</v>
      </c>
      <c r="I44" s="42">
        <v>825000</v>
      </c>
      <c r="J44" s="42">
        <v>800000</v>
      </c>
      <c r="K44" s="42">
        <v>972723</v>
      </c>
      <c r="L44" s="42">
        <v>848622</v>
      </c>
      <c r="P44" t="s">
        <v>264</v>
      </c>
      <c r="Q44" t="s">
        <v>272</v>
      </c>
      <c r="R44" t="s">
        <v>273</v>
      </c>
      <c r="S44" t="s">
        <v>274</v>
      </c>
      <c r="T44" t="s">
        <v>275</v>
      </c>
    </row>
    <row r="45" spans="2:20" x14ac:dyDescent="0.35">
      <c r="H45" t="s">
        <v>266</v>
      </c>
      <c r="I45" s="42">
        <v>500000</v>
      </c>
      <c r="J45" s="42">
        <v>699322</v>
      </c>
      <c r="K45" s="42">
        <v>721543</v>
      </c>
      <c r="L45" s="42">
        <v>729689</v>
      </c>
      <c r="P45" t="s">
        <v>265</v>
      </c>
      <c r="Q45" s="42">
        <v>16000000</v>
      </c>
      <c r="R45">
        <v>4.5</v>
      </c>
      <c r="S45">
        <v>7</v>
      </c>
      <c r="T45">
        <v>9</v>
      </c>
    </row>
    <row r="46" spans="2:20" x14ac:dyDescent="0.35">
      <c r="H46" t="s">
        <v>267</v>
      </c>
      <c r="I46" s="42">
        <v>455670</v>
      </c>
      <c r="J46" s="42">
        <v>502879</v>
      </c>
      <c r="K46" s="42">
        <v>534465</v>
      </c>
      <c r="L46" s="42">
        <v>248164</v>
      </c>
      <c r="P46" t="s">
        <v>266</v>
      </c>
      <c r="Q46" s="42">
        <v>7500000</v>
      </c>
      <c r="R46">
        <v>1.5</v>
      </c>
      <c r="S46">
        <v>7</v>
      </c>
      <c r="T46">
        <v>7</v>
      </c>
    </row>
    <row r="47" spans="2:20" x14ac:dyDescent="0.35">
      <c r="H47" t="s">
        <v>268</v>
      </c>
      <c r="I47" s="42">
        <v>540777</v>
      </c>
      <c r="J47" s="42">
        <v>565361</v>
      </c>
      <c r="K47" s="42">
        <v>613220</v>
      </c>
      <c r="L47" s="42">
        <v>619333</v>
      </c>
      <c r="P47" t="s">
        <v>267</v>
      </c>
      <c r="Q47" s="42">
        <v>4500000</v>
      </c>
      <c r="R47">
        <v>1</v>
      </c>
      <c r="S47">
        <v>7</v>
      </c>
      <c r="T47">
        <v>8</v>
      </c>
    </row>
    <row r="48" spans="2:20" x14ac:dyDescent="0.35">
      <c r="H48" t="s">
        <v>269</v>
      </c>
      <c r="I48" s="42">
        <v>129999</v>
      </c>
      <c r="J48" s="42">
        <v>288778</v>
      </c>
      <c r="K48" s="42">
        <v>333444</v>
      </c>
      <c r="L48" s="42">
        <v>555666</v>
      </c>
      <c r="P48" t="s">
        <v>268</v>
      </c>
      <c r="Q48" s="42">
        <v>3100000</v>
      </c>
      <c r="R48">
        <v>0.8</v>
      </c>
      <c r="S48">
        <v>8</v>
      </c>
      <c r="T48">
        <v>7</v>
      </c>
    </row>
    <row r="49" spans="7:20" x14ac:dyDescent="0.35">
      <c r="H49" t="s">
        <v>270</v>
      </c>
      <c r="I49" s="42">
        <v>105243</v>
      </c>
      <c r="J49" s="42">
        <v>644321</v>
      </c>
      <c r="K49" s="42">
        <v>880221</v>
      </c>
      <c r="L49" s="42">
        <v>888117</v>
      </c>
      <c r="P49" t="s">
        <v>269</v>
      </c>
      <c r="Q49" s="42">
        <v>2320000</v>
      </c>
      <c r="R49">
        <v>0.7</v>
      </c>
      <c r="S49">
        <v>6</v>
      </c>
      <c r="T49">
        <v>5</v>
      </c>
    </row>
    <row r="50" spans="7:20" x14ac:dyDescent="0.35">
      <c r="H50" t="s">
        <v>271</v>
      </c>
      <c r="I50" s="42">
        <v>107987</v>
      </c>
      <c r="J50" s="42">
        <v>234567</v>
      </c>
      <c r="K50" s="42">
        <v>189990</v>
      </c>
      <c r="L50" s="42">
        <v>987665</v>
      </c>
      <c r="P50" t="s">
        <v>270</v>
      </c>
      <c r="Q50" s="42">
        <v>2426000</v>
      </c>
      <c r="R50">
        <v>0.75</v>
      </c>
      <c r="S50">
        <v>7</v>
      </c>
      <c r="T50">
        <v>8</v>
      </c>
    </row>
    <row r="51" spans="7:20" x14ac:dyDescent="0.35">
      <c r="P51" t="s">
        <v>271</v>
      </c>
      <c r="Q51" s="42">
        <v>2263000</v>
      </c>
      <c r="R51">
        <v>0.8</v>
      </c>
      <c r="S51">
        <v>6</v>
      </c>
      <c r="T51">
        <v>7</v>
      </c>
    </row>
    <row r="54" spans="7:20" x14ac:dyDescent="0.35">
      <c r="G54" t="s">
        <v>270</v>
      </c>
      <c r="J54" s="43">
        <f ca="1">OFFSET(H43,MATCH(G54,H44:H50,0),MATCH(G55,I43:L43,0))</f>
        <v>105243</v>
      </c>
    </row>
    <row r="55" spans="7:20" x14ac:dyDescent="0.35">
      <c r="G55" s="29">
        <v>2005</v>
      </c>
    </row>
    <row r="58" spans="7:20" x14ac:dyDescent="0.35">
      <c r="O58" t="s">
        <v>264</v>
      </c>
    </row>
    <row r="59" spans="7:20" x14ac:dyDescent="0.35">
      <c r="O59">
        <v>7500000</v>
      </c>
    </row>
  </sheetData>
  <mergeCells count="2">
    <mergeCell ref="C9:D9"/>
    <mergeCell ref="E1:I1"/>
  </mergeCells>
  <dataValidations count="2">
    <dataValidation type="list" allowBlank="1" showInputMessage="1" showErrorMessage="1" sqref="O58" xr:uid="{A2062657-7122-403E-8CDA-0340080945E9}">
      <formula1>$P$44:$T$44</formula1>
    </dataValidation>
    <dataValidation type="list" allowBlank="1" showInputMessage="1" showErrorMessage="1" sqref="O59" xr:uid="{1A544352-9C80-4B24-A642-4EC519A24D24}">
      <formula1>INDIRECT($O$58)</formula1>
    </dataValidation>
  </dataValidation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9A3A7-4D5C-4F12-B026-C9293CF131F1}">
  <dimension ref="B3:J13"/>
  <sheetViews>
    <sheetView workbookViewId="0">
      <selection activeCell="F4" sqref="F4"/>
    </sheetView>
  </sheetViews>
  <sheetFormatPr defaultRowHeight="14.5" x14ac:dyDescent="0.35"/>
  <cols>
    <col min="5" max="5" width="13.08984375" bestFit="1" customWidth="1"/>
    <col min="6" max="6" width="10.81640625" bestFit="1" customWidth="1"/>
  </cols>
  <sheetData>
    <row r="3" spans="2:10" x14ac:dyDescent="0.35">
      <c r="E3" s="41" t="s">
        <v>225</v>
      </c>
      <c r="F3" s="41" t="s">
        <v>262</v>
      </c>
      <c r="H3" t="s">
        <v>263</v>
      </c>
    </row>
    <row r="4" spans="2:10" x14ac:dyDescent="0.35">
      <c r="E4" t="s">
        <v>165</v>
      </c>
      <c r="F4">
        <f>VLOOKUP(E4,Sayfa9!D12:F30,3,0)</f>
        <v>1885</v>
      </c>
    </row>
    <row r="7" spans="2:10" x14ac:dyDescent="0.35">
      <c r="B7">
        <v>1000</v>
      </c>
    </row>
    <row r="8" spans="2:10" x14ac:dyDescent="0.35">
      <c r="B8">
        <v>1001</v>
      </c>
    </row>
    <row r="9" spans="2:10" x14ac:dyDescent="0.35">
      <c r="B9">
        <v>2222</v>
      </c>
    </row>
    <row r="10" spans="2:10" x14ac:dyDescent="0.35">
      <c r="B10">
        <v>999.9</v>
      </c>
    </row>
    <row r="13" spans="2:10" x14ac:dyDescent="0.35">
      <c r="J13" s="15"/>
    </row>
  </sheetData>
  <dataValidations count="2">
    <dataValidation type="decimal" errorStyle="warning" allowBlank="1" showInputMessage="1" showErrorMessage="1" errorTitle="Sorun" error="Dayı ne yapıyorsun?" promptTitle="Bilgi" prompt="0-1000 arası sayı gir aq" sqref="B7" xr:uid="{01FD7B2B-EECA-459D-9CC3-071A147036AD}">
      <formula1>0</formula1>
      <formula2>1000</formula2>
    </dataValidation>
    <dataValidation type="decimal" errorStyle="warning" allowBlank="1" showInputMessage="1" showErrorMessage="1" errorTitle="Sorun" error="Dayı ne yapıyorsun?" sqref="E15:E27 B8:B10" xr:uid="{6416BB8A-1D6E-4B23-96F9-7D8035247CCB}">
      <formula1>0</formula1>
      <formula2>1000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12</vt:i4>
      </vt:variant>
      <vt:variant>
        <vt:lpstr>Adlandırılmış Aralıklar</vt:lpstr>
      </vt:variant>
      <vt:variant>
        <vt:i4>5</vt:i4>
      </vt:variant>
    </vt:vector>
  </HeadingPairs>
  <TitlesOfParts>
    <vt:vector size="17" baseType="lpstr">
      <vt:lpstr>Sayfa1</vt:lpstr>
      <vt:lpstr>Sayfa2</vt:lpstr>
      <vt:lpstr>Sayfa3</vt:lpstr>
      <vt:lpstr>Sayfa4</vt:lpstr>
      <vt:lpstr>Sayfa5</vt:lpstr>
      <vt:lpstr>Sayfa6</vt:lpstr>
      <vt:lpstr>Sayfa7</vt:lpstr>
      <vt:lpstr>Sayfa8</vt:lpstr>
      <vt:lpstr>Sayfa9</vt:lpstr>
      <vt:lpstr>Sayfa10</vt:lpstr>
      <vt:lpstr>Sayfa11</vt:lpstr>
      <vt:lpstr>Sayfa12</vt:lpstr>
      <vt:lpstr>GSYH</vt:lpstr>
      <vt:lpstr>Güvenlik</vt:lpstr>
      <vt:lpstr>İL</vt:lpstr>
      <vt:lpstr>Nüfus</vt:lpstr>
      <vt:lpstr>Popülerlik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Everest</dc:creator>
  <cp:lastModifiedBy>Emir Everest</cp:lastModifiedBy>
  <dcterms:created xsi:type="dcterms:W3CDTF">2024-02-26T11:08:11Z</dcterms:created>
  <dcterms:modified xsi:type="dcterms:W3CDTF">2024-12-13T18:16:39Z</dcterms:modified>
</cp:coreProperties>
</file>