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9E16E55B-2617-44B5-9105-787FCC348070}" xr6:coauthVersionLast="47" xr6:coauthVersionMax="47" xr10:uidLastSave="{00000000-0000-0000-0000-000000000000}"/>
  <bookViews>
    <workbookView xWindow="-120" yWindow="-120" windowWidth="20730" windowHeight="11160" tabRatio="79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Interface'!$B$14</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Interface'!$B$15</definedName>
    <definedName name="DES_Function">'User Interface'!$M$10</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Interface'!$B$23</definedName>
    <definedName name="ESM_Crew_TimeF">'User Interface'!$B$24</definedName>
    <definedName name="ESM_LocationF">'User Interface'!$B$20</definedName>
    <definedName name="ESM_PowerF">'User Interface'!$B$22</definedName>
    <definedName name="ESM_VolumeF">'User Interface'!$B$21</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1">'[1]User Interface'!$B$11</definedName>
    <definedName name="Mission_Duration">'User Interface'!$B$11</definedName>
    <definedName name="MissionType">'User Interface'!$B$17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Interface'!$B$13</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tc={9A4C482B-3248-4D92-BBAA-08CD5CD66931}</author>
    <author>tc={92477A97-DBC4-4BF6-89FC-9A79C2C6EA0D}</author>
  </authors>
  <commentList>
    <comment ref="E22"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F25" authorId="1"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 ref="J31" authorId="2"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<sst xmlns="http://schemas.openxmlformats.org/spreadsheetml/2006/main" count="6107" uniqueCount="2198">
  <si>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</si>
  <si>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</si>
  <si>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</si>
  <si>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</si>
  <si>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</si>
  <si>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</si>
  <si>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</si>
  <si>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</si>
  <si>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</si>
  <si>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</si>
  <si>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</si>
  <si>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</si>
  <si>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</si>
  <si>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</si>
  <si>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</si>
  <si>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</si>
  <si>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</si>
  <si>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</si>
  <si>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</si>
  <si>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</si>
  <si>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</si>
  <si>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</si>
  <si>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</si>
  <si>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</si>
  <si>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</si>
  <si>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</si>
  <si>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</si>
  <si>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</si>
  <si>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</si>
  <si>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</si>
  <si>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</si>
  <si>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</si>
  <si>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</si>
  <si>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</si>
  <si>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</si>
  <si>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</si>
  <si>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</si>
  <si>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</si>
  <si>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</si>
  <si>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</si>
  <si>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</si>
  <si>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</si>
  <si>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</si>
  <si>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</si>
  <si>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</si>
  <si>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</si>
  <si>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</si>
  <si>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</si>
  <si>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</si>
  <si>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</si>
  <si>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</si>
  <si>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</si>
  <si>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</si>
  <si>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</si>
  <si>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</si>
  <si>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</si>
  <si>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</si>
  <si>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</si>
  <si>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</si>
  <si>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</si>
  <si>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</si>
  <si>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</si>
  <si>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</si>
  <si>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</si>
  <si>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</si>
  <si>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</si>
  <si>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</si>
  <si>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</si>
  <si>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</si>
  <si>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</si>
  <si>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</si>
  <si>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</si>
  <si>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</si>
  <si>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</si>
  <si>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</si>
  <si>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</si>
  <si>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</si>
  <si>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</si>
  <si>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</si>
  <si>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</si>
  <si>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</si>
  <si>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</si>
  <si>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</si>
  <si>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</si>
  <si>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</si>
  <si>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</si>
  <si>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</si>
  <si>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</si>
  <si>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</si>
  <si>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</si>
  <si>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</si>
  <si>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</si>
  <si>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</si>
  <si>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</si>
  <si>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</si>
  <si>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</si>
  <si>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</si>
  <si>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</si>
  <si>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</si>
  <si>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</si>
  <si>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</si>
  <si>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</si>
  <si>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</si>
  <si>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</si>
  <si>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</si>
  <si>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</si>
  <si>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</si>
  <si>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</si>
  <si>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</si>
  <si>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</si>
  <si>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</si>
  <si>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</si>
  <si>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</si>
  <si>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</si>
  <si>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</si>
  <si>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</si>
  <si>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</si>
  <si>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</si>
  <si>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</si>
  <si>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</si>
  <si>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</si>
  <si>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</si>
  <si>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</si>
  <si>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</si>
  <si>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</si>
  <si>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</si>
  <si>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</si>
  <si>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</si>
  <si>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</si>
  <si>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</si>
  <si>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</si>
  <si>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</si>
  <si>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</si>
  <si>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</si>
  <si>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</si>
  <si>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</si>
  <si>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</si>
  <si>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</si>
  <si>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</si>
  <si>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</si>
  <si>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</si>
  <si>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</si>
  <si>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</si>
  <si>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</si>
  <si>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</si>
  <si>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</si>
  <si>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</si>
  <si>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</si>
  <si>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</si>
  <si>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</si>
  <si>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</si>
  <si>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</si>
  <si>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</si>
  <si>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</si>
  <si>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</si>
  <si>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</si>
  <si>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</si>
  <si>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</si>
  <si>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</si>
  <si>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</si>
  <si>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</si>
  <si>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</si>
  <si>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</si>
  <si>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</si>
  <si>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</si>
  <si>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</si>
  <si>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</si>
  <si>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</si>
  <si>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</si>
  <si>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</si>
  <si>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</si>
  <si>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</si>
  <si>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</si>
  <si>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</si>
  <si>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</si>
  <si>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</si>
  <si>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</si>
  <si>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</si>
  <si>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</si>
  <si>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</si>
  <si>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</si>
  <si>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</si>
  <si>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</si>
  <si>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</si>
  <si>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</si>
  <si>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</si>
  <si>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</si>
  <si>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</si>
  <si>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</si>
  <si>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</si>
  <si>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</si>
  <si>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</si>
  <si>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</si>
  <si>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</si>
  <si>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</si>
  <si>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</si>
  <si>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</si>
  <si>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</si>
  <si>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</si>
  <si>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</si>
  <si>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</si>
  <si>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</si>
  <si>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</si>
  <si>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</si>
  <si>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</si>
  <si>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</si>
  <si>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</si>
  <si>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</si>
  <si>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</si>
  <si>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</si>
  <si>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</si>
  <si>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</si>
  <si>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</si>
  <si>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</si>
  <si>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</si>
  <si>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</si>
  <si>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</si>
  <si>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</si>
  <si>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</si>
  <si>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</si>
  <si>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</si>
  <si>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</si>
  <si>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</si>
  <si>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</si>
  <si>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</si>
  <si>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</si>
  <si>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</si>
  <si>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</si>
  <si>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</si>
  <si>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</si>
  <si>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</si>
  <si>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</si>
  <si>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</si>
  <si>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</si>
  <si>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</si>
  <si>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</si>
  <si>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</si>
  <si>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</si>
  <si>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</si>
  <si>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</si>
  <si>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</si>
  <si>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</si>
  <si>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</si>
  <si>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</si>
  <si>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</si>
  <si>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</si>
  <si>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</si>
  <si>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</si>
  <si>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</si>
  <si>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</si>
  <si>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</si>
  <si>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</si>
  <si>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</si>
  <si>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</si>
  <si>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</si>
  <si>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</si>
  <si>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</si>
  <si>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</si>
  <si>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</si>
  <si>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</si>
  <si>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</si>
  <si>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</si>
  <si>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</si>
  <si>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</si>
  <si>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</si>
  <si>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</si>
  <si>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</si>
  <si>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</si>
  <si>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</si>
  <si>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</si>
  <si>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</si>
  <si>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</si>
  <si>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</si>
  <si>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</si>
  <si>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</si>
  <si>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</si>
  <si>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</si>
  <si>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</si>
  <si>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</si>
  <si>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</si>
  <si>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</si>
  <si>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</si>
  <si>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</si>
  <si>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</si>
  <si>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</si>
  <si>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</si>
  <si>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</si>
  <si>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</si>
  <si>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</si>
  <si>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</si>
  <si>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</si>
  <si>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</si>
  <si>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</si>
  <si>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</si>
  <si>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</si>
  <si>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</si>
  <si>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</si>
  <si>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</si>
  <si>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</si>
  <si>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</si>
  <si>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</si>
  <si>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</si>
  <si>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</si>
  <si>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</si>
  <si>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</si>
  <si>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</si>
  <si>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</si>
  <si>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</si>
  <si>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</si>
  <si>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</si>
  <si>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</si>
  <si>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</si>
  <si>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</si>
  <si>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</si>
  <si>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</si>
  <si>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</si>
  <si>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</si>
  <si>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</si>
  <si>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</si>
  <si>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</si>
  <si>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</si>
  <si>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</si>
  <si>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</si>
  <si>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</si>
  <si>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</si>
  <si>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</si>
  <si>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</si>
  <si>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</si>
  <si>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</si>
  <si>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</si>
  <si>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</si>
  <si>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</si>
  <si>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</si>
  <si>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</si>
  <si>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</si>
  <si>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</si>
  <si>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</si>
  <si>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</si>
  <si>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</si>
  <si>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</si>
  <si>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</si>
  <si>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</si>
  <si>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</si>
  <si>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</si>
  <si>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</si>
  <si>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</si>
  <si>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</si>
  <si>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</si>
  <si>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</si>
  <si>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</si>
  <si>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</si>
  <si>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</si>
  <si>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</si>
  <si>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</si>
  <si>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</si>
  <si>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</si>
  <si>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</si>
  <si>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</si>
  <si>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</si>
  <si>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</si>
  <si>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</si>
  <si>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</si>
  <si>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</si>
  <si>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</si>
  <si>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</si>
  <si>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</si>
  <si>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</si>
  <si>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</si>
  <si>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</si>
  <si>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</si>
  <si>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</si>
  <si>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</si>
  <si>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</si>
  <si>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</si>
  <si>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</si>
  <si>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</si>
  <si>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</si>
  <si>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</si>
  <si>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</si>
  <si>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</si>
  <si>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</si>
  <si>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</si>
  <si>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</si>
  <si>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</si>
  <si>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</si>
  <si>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</si>
  <si>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</si>
  <si>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</si>
  <si>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</si>
  <si>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</si>
  <si>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</si>
  <si>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</si>
  <si>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</si>
  <si>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</si>
  <si>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</si>
  <si>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</si>
  <si>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</si>
  <si>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</si>
  <si>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</si>
  <si>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</si>
  <si>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</si>
  <si>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</si>
  <si>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</si>
  <si>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</si>
  <si>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</si>
  <si>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</si>
  <si>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</si>
  <si>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</si>
  <si>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</si>
  <si>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</si>
  <si>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</si>
  <si>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</si>
  <si>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</si>
  <si>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</si>
  <si>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</si>
  <si>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</si>
  <si>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</si>
  <si>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</si>
  <si>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</si>
  <si>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</si>
  <si>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</si>
  <si>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</si>
  <si>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</si>
  <si>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</si>
  <si>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</si>
  <si>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</si>
  <si>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</si>
  <si>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</si>
  <si>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</si>
  <si>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</si>
  <si>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</si>
  <si>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</si>
  <si>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</si>
  <si>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</si>
  <si>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</si>
  <si>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</si>
  <si>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</si>
  <si>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</si>
  <si>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</si>
  <si>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</si>
  <si>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</si>
  <si>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</si>
  <si>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</si>
  <si>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</si>
  <si>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</si>
  <si>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</si>
  <si>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</si>
  <si>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</si>
  <si>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</si>
  <si>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</si>
  <si>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</si>
  <si>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</si>
  <si>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</si>
  <si>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</si>
  <si>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</si>
  <si>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</si>
  <si>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</si>
  <si>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</si>
  <si>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</si>
  <si>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</si>
  <si>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</si>
  <si>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</si>
  <si>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</si>
  <si>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</si>
  <si>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</si>
  <si>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</si>
  <si>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</si>
  <si>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</si>
  <si>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</si>
  <si>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</si>
  <si>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</si>
  <si>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</si>
  <si>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</si>
  <si>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</si>
  <si>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</si>
  <si>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</si>
  <si>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</si>
  <si>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</si>
  <si>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</si>
  <si>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</si>
  <si>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</si>
  <si>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</si>
  <si>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</si>
  <si>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</si>
  <si>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</si>
  <si>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</si>
  <si>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</si>
  <si>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</si>
  <si>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</si>
  <si>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</si>
  <si>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</si>
  <si>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</si>
  <si>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</si>
  <si>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</si>
  <si>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</si>
  <si>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</si>
  <si>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</si>
  <si>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</si>
  <si>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</si>
  <si>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</si>
  <si>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</si>
  <si>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</si>
  <si>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</si>
  <si>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</si>
  <si>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</si>
  <si>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</si>
  <si>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</si>
  <si>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</si>
  <si>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</si>
  <si>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</si>
  <si>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</si>
  <si>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</si>
  <si>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</si>
  <si>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</si>
  <si>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</si>
  <si>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</si>
  <si>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</si>
  <si>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</si>
  <si>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</si>
  <si>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</si>
  <si>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</si>
  <si>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</si>
  <si>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</si>
  <si>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</si>
  <si>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</si>
  <si>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</si>
  <si>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</si>
  <si>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</si>
  <si>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</si>
  <si>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</si>
  <si>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</si>
  <si>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</si>
  <si>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</si>
  <si>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</si>
  <si>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</si>
  <si>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</si>
  <si>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</si>
  <si>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</si>
  <si>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</si>
  <si>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</si>
  <si>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</si>
  <si>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</si>
  <si>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</si>
  <si>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</si>
  <si>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</si>
  <si>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</si>
  <si>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</si>
  <si>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</si>
  <si>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</si>
  <si>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</si>
  <si>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</si>
  <si>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</si>
  <si>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</si>
  <si>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</si>
  <si>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</si>
  <si>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</si>
  <si>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</si>
  <si>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</si>
  <si>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</si>
  <si>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</si>
  <si>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</si>
  <si>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</si>
  <si>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</si>
  <si>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</si>
  <si>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</si>
  <si>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</si>
  <si>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</si>
  <si>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</si>
  <si>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</si>
  <si>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</si>
  <si>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</si>
  <si>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</si>
  <si>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</si>
  <si>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</si>
  <si>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</si>
  <si>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</si>
  <si>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</si>
  <si>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</si>
  <si>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</si>
  <si>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</si>
  <si>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</si>
  <si>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</si>
  <si>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</si>
  <si>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</si>
  <si>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</si>
  <si>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</si>
  <si>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</si>
  <si>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</si>
  <si>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</si>
  <si>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</si>
  <si>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</si>
  <si>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</si>
  <si>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</si>
  <si>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</si>
  <si>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</si>
  <si>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</si>
  <si>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</si>
  <si>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</si>
  <si>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</si>
  <si>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</si>
  <si>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</si>
  <si>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</si>
  <si>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</si>
  <si>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</si>
  <si>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</si>
  <si>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</si>
  <si>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</si>
  <si>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</si>
  <si>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</si>
  <si>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</si>
  <si>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</si>
  <si>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</si>
  <si>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</si>
  <si>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</si>
  <si>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</si>
  <si>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</si>
  <si>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</si>
  <si>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</si>
  <si>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</si>
  <si>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</si>
  <si>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</si>
  <si>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</si>
  <si>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</si>
  <si>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</si>
  <si>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</si>
  <si>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</si>
  <si>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</si>
  <si>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</si>
  <si>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</si>
  <si>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</si>
  <si>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</si>
  <si>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</si>
  <si>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</si>
  <si>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</si>
  <si>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</si>
  <si>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</si>
  <si>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</si>
  <si>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</si>
  <si>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</si>
  <si>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</si>
  <si>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</si>
  <si>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</si>
  <si>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</si>
  <si>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</si>
  <si>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</si>
  <si>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</si>
  <si>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</si>
  <si>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</si>
  <si>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</si>
  <si>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</si>
  <si>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</si>
  <si>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</si>
  <si>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</si>
  <si>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</si>
  <si>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</si>
  <si>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</si>
  <si>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</si>
  <si>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</si>
  <si>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</si>
  <si>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</si>
  <si>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</si>
  <si>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</si>
  <si>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</si>
  <si>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</si>
  <si>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</si>
  <si>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</si>
  <si>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</si>
  <si>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</si>
  <si>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</si>
  <si>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</si>
  <si>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</si>
  <si>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</si>
  <si>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</si>
  <si>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</si>
  <si>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</si>
  <si>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</si>
  <si>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</si>
  <si>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</si>
  <si>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</si>
  <si>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</si>
  <si>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</si>
  <si>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</si>
  <si>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</si>
  <si>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</si>
  <si>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</si>
  <si>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</si>
  <si>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</si>
  <si>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</si>
  <si>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</si>
  <si>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</si>
  <si>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</si>
  <si>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</si>
  <si>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</si>
  <si>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</si>
  <si>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</si>
  <si>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</si>
  <si>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</si>
  <si>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</si>
  <si>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</si>
  <si>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</si>
  <si>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</si>
  <si>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</si>
  <si>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</si>
  <si>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</si>
  <si>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</si>
  <si>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</si>
  <si>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</si>
  <si>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</si>
  <si>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</si>
  <si>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</si>
  <si>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</si>
  <si>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</si>
  <si>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</si>
  <si>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</si>
  <si>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</si>
  <si>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</si>
  <si>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</si>
  <si>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</si>
  <si>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</si>
  <si>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</si>
  <si>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</si>
  <si>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</si>
  <si>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</si>
  <si>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</si>
  <si>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</si>
  <si>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</si>
  <si>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</si>
  <si>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</si>
  <si>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</si>
  <si>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</si>
  <si>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</si>
  <si>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</si>
  <si>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</si>
  <si>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</si>
  <si>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</si>
  <si>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</si>
  <si>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</si>
  <si>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</si>
  <si>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</si>
  <si>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</si>
  <si>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</si>
  <si>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</si>
  <si>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</si>
  <si>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</si>
  <si>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</si>
  <si>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</si>
  <si>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</si>
  <si>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</si>
  <si>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</si>
  <si>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</si>
  <si>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</si>
  <si>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</si>
  <si>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</si>
  <si>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</si>
  <si>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</si>
  <si>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</si>
  <si>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</si>
  <si>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</si>
  <si>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</si>
  <si>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</si>
  <si>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</si>
  <si>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</si>
  <si>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</si>
  <si>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</si>
  <si>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</si>
  <si>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</si>
  <si>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</si>
  <si>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</si>
  <si>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</si>
  <si>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</si>
  <si>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</si>
  <si>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</si>
  <si>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</si>
  <si>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Mission Parameters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</si>
  <si>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</si>
  <si>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</si>
  <si>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</si>
  <si>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</si>
  <si>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</si>
  <si>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</si>
  <si>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</si>
  <si>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</si>
  <si>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</si>
  <si>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</si>
  <si>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</si>
  <si>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</si>
  <si>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</si>
  <si>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</si>
  <si>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</si>
  <si>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</si>
  <si>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</si>
  <si>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</si>
  <si>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</si>
  <si>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</si>
  <si>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</si>
  <si>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</si>
  <si>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</si>
  <si>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</si>
  <si>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</si>
  <si>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</si>
  <si>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</si>
  <si>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</si>
  <si>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</si>
  <si>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</si>
  <si>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</si>
  <si>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</si>
  <si>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</si>
  <si>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</si>
  <si>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</si>
  <si>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</si>
  <si>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</si>
  <si>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</si>
  <si>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</si>
  <si>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</si>
  <si>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</si>
  <si>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</si>
  <si>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</si>
  <si>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</si>
  <si>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</si>
  <si>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</si>
  <si>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</si>
  <si>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</si>
  <si>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</si>
  <si>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</si>
  <si>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</si>
  <si>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</si>
  <si>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</si>
  <si>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</si>
  <si>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</si>
  <si>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</si>
  <si>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</si>
  <si>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</si>
  <si>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</si>
  <si>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</si>
  <si>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</si>
  <si>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</si>
  <si>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</si>
  <si>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</si>
  <si>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</si>
  <si>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</si>
  <si>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</si>
  <si>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</si>
  <si>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</si>
  <si>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</si>
  <si>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</si>
  <si>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</si>
  <si>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</si>
  <si>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</si>
  <si>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</si>
  <si>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</si>
  <si>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</si>
  <si>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</si>
  <si>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</si>
  <si>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</si>
  <si>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</si>
  <si>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</si>
  <si>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</si>
  <si>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</si>
  <si>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</si>
  <si>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</si>
  <si>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</si>
  <si>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</si>
  <si>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</si>
  <si>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</si>
  <si>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</si>
  <si>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</si>
  <si>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</si>
  <si>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</si>
  <si>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</si>
  <si>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</si>
  <si>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</si>
  <si>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</si>
  <si>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</si>
  <si>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</si>
  <si>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</si>
  <si>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</si>
  <si>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</si>
  <si>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</si>
  <si>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</si>
  <si>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</si>
  <si>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</si>
  <si>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</si>
  <si>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</si>
  <si>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</si>
  <si>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</si>
  <si>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</si>
  <si>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</si>
  <si>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</si>
  <si>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</si>
  <si>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</si>
  <si>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</si>
  <si>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</si>
  <si>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</si>
  <si>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</si>
  <si>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</si>
  <si>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</si>
  <si>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</si>
  <si>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</si>
  <si>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</si>
  <si>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</si>
  <si>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</si>
  <si>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</si>
  <si>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</si>
  <si>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</si>
  <si>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</si>
  <si>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</si>
  <si>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</si>
  <si>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</si>
  <si>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</si>
  <si>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</si>
  <si>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</si>
  <si>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</si>
  <si>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</si>
  <si>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</si>
  <si>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</si>
  <si>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</si>
  <si>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</si>
  <si>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</si>
  <si>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</si>
  <si>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</si>
  <si>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</si>
  <si>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</si>
  <si>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</si>
  <si>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</si>
  <si>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</si>
  <si>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</si>
  <si>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</si>
  <si>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</si>
  <si>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</si>
  <si>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</si>
  <si>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</si>
  <si>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</si>
  <si>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</si>
  <si>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</si>
  <si>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</si>
  <si>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</si>
  <si>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</si>
  <si>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</si>
  <si>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</si>
  <si>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</si>
  <si>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</si>
  <si>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</si>
  <si>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</si>
  <si>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</si>
  <si>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</si>
  <si>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</si>
  <si>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</si>
  <si>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</si>
  <si>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</si>
  <si>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</si>
  <si>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</si>
  <si>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</si>
  <si>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</si>
  <si>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</si>
  <si>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</si>
  <si>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</si>
  <si>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</si>
  <si>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</si>
  <si>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</si>
  <si>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</si>
  <si>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</si>
  <si>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</si>
  <si>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</si>
  <si>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</si>
  <si>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</si>
  <si>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</si>
  <si>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</si>
  <si>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</si>
  <si>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</si>
  <si>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</si>
  <si>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</si>
  <si>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</si>
  <si>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</si>
  <si>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</si>
  <si>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</si>
  <si>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</si>
  <si>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</si>
  <si>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</si>
  <si>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</si>
  <si>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</si>
  <si>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</si>
  <si>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</si>
  <si>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</si>
  <si>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</si>
  <si>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</si>
  <si>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</si>
  <si>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</si>
  <si>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</si>
  <si>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</si>
  <si>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</si>
  <si>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</si>
  <si>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</si>
  <si>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</si>
  <si>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</si>
  <si>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</si>
  <si>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</si>
  <si>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</si>
  <si>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</si>
  <si>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</si>
  <si>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</si>
  <si>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</si>
  <si>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</si>
  <si>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</si>
  <si>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</si>
  <si>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</si>
  <si>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</si>
  <si>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</si>
  <si>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</si>
  <si>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</si>
  <si>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</si>
  <si>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</si>
  <si>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</si>
  <si>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</si>
  <si>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</si>
  <si>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</si>
  <si>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</si>
  <si>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</si>
  <si>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</si>
  <si>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</si>
  <si>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</si>
  <si>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</si>
  <si>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</si>
  <si>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</si>
  <si>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</si>
  <si>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</si>
  <si>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</si>
  <si>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</si>
  <si>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</si>
  <si>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</si>
  <si>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</si>
  <si>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</si>
  <si>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</si>
  <si>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</si>
  <si>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</si>
  <si>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</si>
  <si>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</si>
  <si>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</si>
  <si>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</si>
  <si>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</si>
  <si>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</si>
  <si>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</si>
  <si>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</si>
  <si>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</si>
  <si>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</si>
  <si>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</si>
  <si>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</si>
  <si>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</si>
  <si>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</si>
  <si>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</si>
  <si>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</si>
  <si>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</si>
  <si>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</si>
  <si>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</si>
  <si>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</si>
  <si>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</si>
  <si>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</si>
  <si>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</si>
  <si>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</si>
  <si>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</si>
  <si>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</si>
  <si>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</si>
  <si>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</si>
  <si>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</si>
  <si>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</si>
  <si>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</si>
  <si>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</si>
  <si>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</si>
  <si>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</si>
  <si>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</si>
  <si>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</si>
  <si>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</si>
  <si>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</si>
  <si>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</si>
  <si>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</si>
  <si>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</si>
  <si>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</si>
  <si>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</si>
  <si>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</si>
  <si>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</si>
  <si>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</si>
  <si>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</si>
  <si>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</si>
  <si>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</si>
  <si>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</si>
  <si>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</si>
  <si>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</si>
  <si>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</si>
  <si>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</si>
  <si>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</si>
  <si>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</si>
  <si>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</si>
  <si>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</si>
  <si>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</si>
  <si>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</si>
  <si>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</si>
  <si>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</si>
  <si>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</si>
  <si>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</si>
  <si>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</si>
  <si>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</si>
  <si>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</si>
  <si>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</si>
  <si>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</si>
  <si>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</si>
  <si>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</si>
  <si>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</si>
  <si>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</si>
  <si>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</si>
  <si>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</si>
  <si>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</si>
  <si>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</si>
  <si>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</si>
  <si>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</si>
  <si>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</si>
  <si>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</si>
  <si>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</si>
  <si>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</si>
  <si>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</si>
  <si>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</si>
  <si>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</si>
  <si>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</si>
  <si>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</si>
  <si>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</si>
  <si>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</si>
  <si>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</si>
  <si>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</si>
  <si>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</si>
  <si>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</si>
  <si>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</si>
  <si>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</si>
  <si>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</si>
  <si>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</si>
  <si>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</si>
  <si>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</si>
  <si>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</si>
  <si>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</si>
  <si>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</si>
  <si>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</si>
  <si>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</si>
  <si>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</si>
  <si>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</si>
  <si>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</si>
  <si>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</si>
  <si>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</si>
  <si>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</si>
  <si>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</si>
  <si>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</si>
  <si>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</si>
  <si>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</si>
  <si>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</si>
  <si>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</si>
  <si>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</si>
  <si>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</si>
  <si>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</si>
  <si>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</si>
  <si>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</si>
  <si>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</si>
  <si>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</si>
  <si>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</si>
  <si>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</si>
  <si>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</si>
  <si>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</si>
  <si>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</si>
  <si>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</si>
  <si>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</si>
  <si>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</si>
  <si>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</si>
  <si>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</si>
  <si>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</si>
  <si>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</si>
  <si>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</si>
  <si>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</si>
  <si>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</si>
  <si>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</si>
  <si>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</si>
  <si>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</si>
  <si>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</si>
  <si>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</si>
  <si>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</si>
  <si>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</si>
  <si>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</si>
  <si>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</si>
  <si>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</si>
  <si>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</si>
  <si>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</si>
  <si>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</si>
  <si>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</si>
  <si>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</si>
  <si>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</si>
  <si>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</si>
  <si>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</si>
  <si>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</si>
  <si>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</si>
  <si>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</si>
  <si>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</si>
  <si>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</si>
  <si>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</si>
  <si>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</si>
  <si>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</si>
  <si>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</si>
  <si>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</si>
  <si>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</si>
  <si>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</si>
  <si>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</si>
  <si>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</si>
  <si>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</si>
  <si>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</si>
  <si>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</si>
  <si>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</si>
  <si>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</si>
  <si>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</si>
  <si>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</si>
  <si>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</si>
  <si>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</si>
  <si>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</si>
  <si>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</si>
  <si>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</si>
  <si>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</si>
  <si>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</si>
  <si>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</si>
  <si>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</si>
  <si>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</si>
  <si>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</si>
  <si>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</si>
  <si>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</si>
  <si>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</si>
  <si>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</si>
  <si>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</si>
  <si>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</si>
  <si>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</si>
  <si>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</si>
  <si>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</si>
  <si>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</si>
  <si>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</si>
  <si>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</si>
  <si>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</si>
  <si>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</si>
  <si>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</si>
  <si>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</si>
  <si>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</si>
  <si>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</si>
  <si>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</si>
  <si>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</si>
  <si>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</si>
  <si>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</si>
  <si>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</si>
  <si>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</si>
  <si>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</si>
  <si>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</si>
  <si>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</si>
  <si>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</si>
  <si>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</si>
  <si>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</si>
  <si>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</si>
  <si>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</si>
  <si>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</si>
  <si>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</si>
  <si>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</si>
  <si>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</si>
  <si>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</si>
  <si>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</si>
  <si>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</si>
  <si>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</si>
  <si>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</si>
  <si>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</si>
  <si>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</si>
  <si>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</si>
  <si>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</si>
  <si>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</si>
  <si>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</si>
  <si>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</si>
  <si>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</si>
  <si>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</si>
  <si>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</si>
  <si>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</si>
  <si>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</si>
  <si>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</si>
  <si>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</si>
  <si>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</si>
  <si>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</si>
  <si>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</si>
  <si>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</si>
  <si>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</si>
  <si>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</si>
  <si>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</si>
  <si>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</si>
  <si>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</si>
  <si>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</si>
  <si>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</si>
  <si>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</si>
  <si>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</si>
  <si>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</si>
  <si>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</si>
  <si>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</si>
  <si>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</si>
  <si>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</si>
  <si>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</si>
  <si>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</si>
  <si>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</si>
  <si>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</si>
  <si>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</si>
  <si>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</si>
  <si>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</si>
  <si>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</si>
  <si>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</si>
  <si>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</si>
  <si>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</si>
  <si>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</si>
  <si>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</si>
  <si>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</si>
  <si>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</si>
  <si>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</si>
  <si>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</si>
  <si>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</si>
  <si>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</si>
  <si>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</si>
  <si>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</si>
  <si>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</si>
  <si>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</si>
  <si>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</si>
  <si>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</si>
  <si>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</si>
  <si>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</si>
  <si>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</si>
  <si>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</si>
  <si>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</si>
  <si>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</si>
  <si>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</si>
  <si>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</si>
  <si>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</si>
  <si>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</si>
  <si>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</si>
  <si>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</si>
  <si>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</si>
  <si>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</si>
  <si>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</si>
  <si>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</si>
  <si>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</si>
  <si>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</si>
  <si>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</si>
  <si>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</si>
  <si>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</si>
  <si>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</si>
  <si>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</si>
  <si>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</si>
  <si>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</si>
  <si>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</si>
  <si>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</si>
  <si>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</si>
  <si>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</si>
  <si>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</si>
  <si>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</si>
  <si>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</si>
  <si>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</si>
  <si>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</si>
  <si>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</si>
  <si>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</si>
  <si>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</si>
  <si>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</si>
  <si>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</si>
  <si>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</si>
  <si>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</si>
  <si>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</si>
  <si>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</si>
  <si>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</si>
  <si>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</si>
  <si>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</si>
  <si>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</si>
  <si>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</si>
  <si>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</si>
  <si>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</si>
  <si>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</si>
  <si>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</si>
  <si>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</si>
  <si>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</si>
  <si>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</si>
  <si>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</si>
  <si>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</si>
  <si>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</si>
  <si>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</si>
  <si>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</si>
  <si>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</si>
  <si>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</si>
  <si>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</si>
  <si>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</si>
  <si>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</si>
  <si>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</si>
  <si>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</si>
  <si>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</si>
  <si>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</si>
  <si>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</si>
  <si>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</si>
  <si>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</si>
  <si>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</si>
  <si>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</si>
  <si>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</si>
  <si>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</si>
  <si>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</si>
  <si>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</si>
  <si>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</si>
  <si>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</si>
  <si>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</si>
  <si>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</si>
  <si>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</si>
  <si>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</si>
  <si>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</si>
  <si>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</si>
  <si>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</si>
  <si>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</si>
  <si>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</si>
  <si>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</si>
  <si>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</si>
  <si>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</si>
  <si>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</si>
  <si>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</si>
  <si>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</si>
  <si>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</si>
  <si>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</si>
  <si>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</si>
  <si>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</si>
  <si>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</si>
  <si>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</si>
  <si>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</si>
  <si>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</si>
  <si>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</si>
  <si>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</si>
  <si>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</si>
  <si>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</si>
  <si>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</si>
  <si>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</si>
  <si>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</si>
  <si>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</si>
  <si>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</si>
  <si>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</si>
  <si>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</si>
  <si>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</si>
  <si>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</si>
  <si>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</si>
  <si>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</si>
  <si>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</si>
  <si>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</si>
  <si>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</si>
  <si>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</si>
  <si>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</si>
  <si>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</si>
  <si>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</si>
  <si>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</si>
  <si>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</si>
  <si>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</si>
  <si>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</si>
  <si>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</si>
  <si>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</si>
  <si>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</si>
  <si>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</si>
  <si>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</si>
  <si>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</si>
  <si>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</si>
  <si>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</si>
  <si>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</si>
  <si>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</si>
  <si>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</si>
  <si>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</si>
  <si>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</si>
  <si>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</si>
  <si>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</si>
  <si>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</si>
  <si>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</si>
  <si>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</si>
  <si>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</si>
  <si>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</si>
  <si>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</si>
  <si>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</si>
  <si>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</si>
  <si>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</si>
  <si>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</si>
  <si>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</si>
  <si>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</si>
  <si>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</si>
  <si>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</si>
  <si>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</si>
  <si>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</si>
  <si>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</si>
  <si>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</si>
  <si>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</si>
  <si>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</si>
  <si>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</si>
  <si>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</si>
  <si>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</si>
  <si>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</si>
  <si>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</si>
  <si>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</si>
  <si>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</si>
  <si>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</si>
  <si>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</si>
  <si>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</si>
  <si>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</si>
  <si>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</si>
  <si>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</si>
  <si>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</si>
  <si>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</si>
  <si>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</si>
  <si>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</si>
  <si>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</si>
  <si>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</si>
  <si>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</si>
  <si>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</si>
  <si>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</si>
  <si>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</si>
  <si>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</si>
  <si>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</si>
  <si>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</si>
  <si>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</si>
  <si>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</si>
  <si>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</si>
  <si>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</si>
  <si>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</si>
  <si>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</si>
  <si>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</si>
  <si>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</si>
  <si>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</si>
  <si>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</si>
  <si>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</si>
  <si>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</si>
  <si>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</si>
  <si>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</si>
  <si>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</si>
  <si>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</si>
  <si>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</si>
  <si>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</si>
  <si>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</si>
  <si>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</si>
  <si>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</si>
  <si>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</si>
  <si>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</si>
  <si>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</si>
  <si>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</si>
  <si>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</si>
  <si>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</si>
  <si>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</si>
  <si>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</si>
  <si>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</si>
  <si>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</si>
  <si>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</si>
  <si>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</si>
  <si>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</si>
  <si>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</si>
  <si>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</si>
  <si>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</si>
  <si>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</si>
  <si>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</si>
  <si>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</si>
  <si>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</si>
  <si>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</si>
  <si>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</si>
  <si>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</si>
  <si>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</si>
  <si>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</si>
  <si>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</si>
  <si>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</si>
  <si>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</si>
  <si>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</si>
  <si>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</si>
  <si>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</si>
  <si>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</si>
  <si>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</si>
  <si>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</si>
  <si>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</si>
  <si>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</si>
  <si>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</si>
  <si>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</si>
  <si>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</si>
  <si>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</si>
  <si>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</si>
  <si>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</si>
  <si>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</si>
  <si>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</si>
  <si>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</si>
  <si>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</si>
  <si>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</si>
  <si>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</si>
  <si>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</si>
  <si>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</si>
  <si>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</si>
  <si>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</si>
  <si>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</si>
  <si>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</si>
  <si>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</si>
  <si>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</si>
  <si>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</si>
  <si>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</si>
  <si>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</si>
  <si>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</si>
  <si>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</si>
  <si>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</si>
  <si>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</si>
  <si>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</si>
  <si>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</si>
  <si>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</si>
  <si>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</si>
  <si>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</si>
  <si>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</si>
  <si>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</si>
  <si>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</si>
  <si>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</si>
  <si>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</si>
  <si>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</si>
  <si>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</si>
  <si>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</si>
  <si>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</si>
  <si>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</si>
  <si>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</si>
  <si>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</si>
  <si>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</si>
  <si>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</si>
  <si>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</si>
  <si>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</si>
  <si>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</si>
  <si>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</si>
  <si>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</si>
  <si>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</si>
  <si>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</si>
  <si>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</si>
  <si>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</si>
  <si>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</si>
  <si>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</si>
  <si>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</si>
  <si>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</si>
  <si>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</si>
  <si>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</si>
  <si>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</si>
  <si>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</si>
  <si>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</si>
  <si>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</si>
  <si>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</si>
  <si>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</si>
  <si>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</si>
  <si>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</si>
  <si>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</si>
  <si>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</si>
  <si>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</si>
  <si>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</si>
  <si>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</si>
  <si>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</si>
  <si>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</si>
  <si>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</si>
  <si>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</si>
  <si>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</si>
  <si>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</si>
  <si>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</si>
  <si>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</si>
  <si>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</si>
  <si>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</si>
  <si>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</si>
  <si>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</si>
  <si>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</si>
  <si>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</si>
  <si>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</si>
  <si>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</si>
  <si>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</si>
  <si>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</si>
  <si>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</si>
  <si>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</si>
  <si>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</si>
  <si>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</si>
  <si>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</si>
  <si>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</si>
  <si>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</si>
  <si>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</si>
  <si>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</si>
  <si>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</si>
  <si>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</si>
  <si>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</si>
  <si>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</si>
  <si>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</si>
  <si>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</si>
  <si>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</si>
  <si>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</si>
  <si>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</si>
  <si>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</si>
  <si>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</si>
  <si>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</si>
  <si>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</si>
  <si>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</si>
  <si>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</si>
  <si>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</si>
  <si>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</si>
  <si>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</si>
  <si>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</si>
  <si>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</si>
  <si>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</si>
  <si>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</si>
  <si>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</si>
  <si>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</si>
  <si>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</si>
  <si>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</si>
  <si>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</si>
  <si>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</si>
  <si>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</si>
  <si>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</si>
  <si>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</si>
  <si>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</si>
  <si>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</si>
  <si>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</si>
  <si>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</si>
  <si>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</si>
  <si>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</si>
  <si>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</si>
  <si>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</si>
  <si>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</si>
  <si>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</si>
  <si>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</si>
  <si>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</si>
  <si>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</si>
  <si>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</si>
  <si>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</si>
  <si>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</si>
  <si>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</si>
  <si>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</si>
  <si>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</si>
  <si>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</si>
  <si>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</si>
  <si>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</si>
  <si>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</si>
  <si>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</si>
  <si>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</si>
  <si>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</si>
  <si>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</si>
  <si>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</si>
  <si>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</si>
  <si>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</si>
  <si>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</si>
  <si>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</si>
  <si>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</si>
  <si>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</si>
  <si>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</si>
  <si>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</si>
  <si>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</si>
  <si>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</si>
  <si>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</si>
  <si>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</si>
  <si>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</si>
  <si>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</si>
  <si>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</si>
  <si>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</si>
  <si>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</si>
  <si>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</si>
  <si>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</si>
  <si>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</si>
  <si>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</si>
  <si>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</si>
  <si>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</si>
  <si>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</si>
  <si>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</si>
  <si>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</si>
  <si>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</si>
  <si>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</si>
  <si>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</si>
  <si>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</si>
  <si>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</si>
  <si>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</si>
  <si>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</si>
  <si>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</si>
  <si>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</si>
  <si>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</si>
  <si>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</si>
  <si>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</si>
  <si>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</si>
  <si>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</si>
  <si>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</si>
  <si>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</si>
  <si>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</si>
  <si>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</si>
  <si>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</si>
  <si>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</si>
  <si>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</si>
  <si>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</si>
  <si>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</si>
  <si>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</si>
  <si>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</si>
  <si>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</si>
  <si>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</si>
  <si>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</si>
  <si>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</si>
  <si>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</si>
  <si>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</si>
  <si>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</si>
  <si>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</si>
  <si>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</si>
  <si>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</si>
  <si>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</si>
  <si>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</si>
  <si>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</si>
  <si>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</si>
  <si>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</si>
  <si>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</si>
  <si>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</si>
  <si>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</si>
  <si>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</si>
  <si>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</si>
  <si>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</si>
  <si>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</si>
  <si>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</si>
  <si>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</si>
  <si>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</si>
  <si>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</si>
  <si>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</si>
  <si>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</si>
  <si>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</si>
  <si>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</si>
  <si>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</si>
  <si>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</si>
  <si>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</si>
  <si>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</si>
  <si>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</si>
  <si>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</si>
  <si>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</si>
  <si>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</si>
  <si>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</si>
  <si>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</si>
  <si>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</si>
  <si>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</si>
  <si>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</si>
  <si>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</si>
  <si>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</si>
  <si>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</si>
  <si>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</si>
  <si>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</si>
  <si>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</si>
  <si>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</si>
  <si>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</si>
  <si>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</si>
  <si>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</si>
  <si>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</si>
  <si>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</si>
  <si>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</si>
  <si>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</si>
  <si>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</si>
  <si>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</si>
  <si>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</si>
  <si>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</si>
  <si>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</si>
  <si>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</si>
  <si>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</si>
  <si>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</si>
  <si>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</si>
  <si>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</si>
  <si>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</si>
  <si>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</si>
  <si>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</si>
  <si>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</si>
  <si>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</si>
  <si>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</si>
  <si>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</si>
  <si>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</si>
  <si>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</si>
  <si>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</si>
  <si>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</si>
  <si>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</si>
  <si>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</si>
  <si>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</si>
  <si>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</si>
  <si>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</si>
  <si>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</si>
  <si>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</si>
  <si>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</si>
  <si>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</si>
  <si>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</si>
  <si>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</si>
  <si>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</si>
  <si>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</si>
  <si>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</si>
  <si>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</si>
  <si>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</si>
  <si>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</si>
  <si>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</si>
  <si>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</si>
  <si>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</si>
  <si>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</si>
  <si>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</si>
  <si>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</si>
  <si>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</si>
  <si>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</si>
  <si>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</si>
  <si>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</si>
  <si>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</si>
  <si>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</si>
  <si>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</si>
  <si>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</si>
  <si>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</si>
  <si>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</si>
  <si>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</si>
  <si>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</si>
  <si>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</si>
  <si>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</si>
  <si>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</si>
  <si>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</si>
  <si>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</si>
  <si>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</si>
  <si>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</si>
  <si>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</si>
  <si>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</si>
  <si>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</si>
  <si>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</si>
  <si>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</si>
  <si>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</si>
  <si>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</si>
  <si>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</si>
  <si>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</si>
  <si>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</si>
  <si>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</si>
  <si>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</si>
  <si>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</si>
  <si>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</si>
  <si>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</si>
  <si>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</si>
  <si>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</si>
  <si>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</si>
  <si>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</si>
  <si>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</si>
  <si>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</si>
  <si>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</si>
  <si>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</si>
  <si>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</si>
  <si>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</si>
  <si>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</si>
  <si>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</si>
  <si>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</si>
  <si>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</si>
  <si>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</si>
  <si>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</si>
  <si>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</si>
  <si>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</si>
  <si>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</si>
  <si>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</si>
  <si>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</si>
  <si>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</si>
  <si>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</si>
  <si>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</si>
  <si>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</si>
  <si>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</si>
  <si>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</si>
  <si>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</si>
  <si>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</si>
  <si>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</si>
  <si>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</si>
  <si>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</si>
  <si>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</si>
  <si>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</si>
  <si>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</si>
  <si>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</si>
  <si>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</si>
  <si>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</si>
  <si>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</si>
  <si>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</si>
  <si>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</si>
  <si>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</si>
  <si>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</si>
  <si>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</si>
  <si>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</si>
  <si>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</si>
  <si>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</si>
  <si>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</si>
  <si>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</si>
  <si>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</si>
  <si>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</si>
  <si>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</si>
  <si>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</si>
  <si>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</si>
  <si>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</si>
  <si>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</si>
  <si>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</si>
  <si>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</si>
  <si>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</si>
  <si>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</si>
  <si>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</si>
  <si>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</si>
  <si>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</si>
  <si>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</si>
  <si>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</si>
  <si>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</si>
  <si>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</si>
  <si>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</si>
  <si>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</si>
  <si>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</si>
  <si>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</si>
  <si>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</si>
  <si>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</si>
  <si>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</si>
  <si>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</si>
  <si>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</si>
  <si>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</si>
  <si>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</si>
  <si>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</si>
  <si>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</si>
  <si>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</si>
  <si>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</si>
  <si>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</si>
  <si>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</si>
  <si>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</si>
  <si>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</si>
  <si>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</si>
  <si>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</si>
  <si>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</si>
  <si>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</si>
  <si>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</si>
  <si>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</si>
  <si>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</si>
  <si>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</si>
  <si>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</si>
  <si>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</si>
  <si>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</si>
  <si>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</si>
  <si>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PlantName</t>
  </si>
  <si>
    <t>CarbonContent</t>
  </si>
  <si>
    <t>O2Production</t>
  </si>
  <si>
    <t>CO2Consumption</t>
  </si>
  <si>
    <t>WaterUptake</t>
  </si>
  <si>
    <t>EdibleGrowth</t>
  </si>
  <si>
    <t>InedibleGrowth</t>
  </si>
  <si>
    <t>EdibleWaterContent</t>
  </si>
  <si>
    <t>EnergyContent</t>
  </si>
  <si>
    <t>Cabbage</t>
  </si>
  <si>
    <t>0.4</t>
  </si>
  <si>
    <t>7.19</t>
  </si>
  <si>
    <t>9.88</t>
  </si>
  <si>
    <t>1.77</t>
  </si>
  <si>
    <t>75.78</t>
  </si>
  <si>
    <t>6.74</t>
  </si>
  <si>
    <t xml:space="preserve"> Carrot</t>
  </si>
  <si>
    <t xml:space="preserve"> 0.41</t>
  </si>
  <si>
    <t xml:space="preserve"> 16.36</t>
  </si>
  <si>
    <t xml:space="preserve"> 22.5</t>
  </si>
  <si>
    <t xml:space="preserve"> 1.77</t>
  </si>
  <si>
    <t xml:space="preserve"> 74.83</t>
  </si>
  <si>
    <t xml:space="preserve"> 59.87</t>
  </si>
  <si>
    <t xml:space="preserve"> Chard</t>
  </si>
  <si>
    <t xml:space="preserve"> 0.4</t>
  </si>
  <si>
    <t xml:space="preserve"> 11.49</t>
  </si>
  <si>
    <t xml:space="preserve"> 15.79</t>
  </si>
  <si>
    <t xml:space="preserve"> 87.5</t>
  </si>
  <si>
    <t xml:space="preserve"> 37.69</t>
  </si>
  <si>
    <t>Celery</t>
  </si>
  <si>
    <t xml:space="preserve"> 12.24</t>
  </si>
  <si>
    <t xml:space="preserve"> 16.83</t>
  </si>
  <si>
    <t xml:space="preserve"> 1.24</t>
  </si>
  <si>
    <t xml:space="preserve"> 103.27</t>
  </si>
  <si>
    <t xml:space="preserve"> 11.47</t>
  </si>
  <si>
    <t>Dry Bean</t>
  </si>
  <si>
    <t xml:space="preserve"> 30.67</t>
  </si>
  <si>
    <t xml:space="preserve"> 42.17</t>
  </si>
  <si>
    <t xml:space="preserve"> 2.53</t>
  </si>
  <si>
    <t xml:space="preserve"> 11.11</t>
  </si>
  <si>
    <t xml:space="preserve"> Green Onion</t>
  </si>
  <si>
    <t xml:space="preserve"> 10.67</t>
  </si>
  <si>
    <t xml:space="preserve"> 14.67</t>
  </si>
  <si>
    <t xml:space="preserve"> 1.74</t>
  </si>
  <si>
    <t xml:space="preserve"> 81.82</t>
  </si>
  <si>
    <t xml:space="preserve"> Lettuce</t>
  </si>
  <si>
    <t xml:space="preserve"> 7.78</t>
  </si>
  <si>
    <t xml:space="preserve"> 10.7</t>
  </si>
  <si>
    <t xml:space="preserve"> 131.35</t>
  </si>
  <si>
    <t xml:space="preserve"> 7.3</t>
  </si>
  <si>
    <t>Onion</t>
  </si>
  <si>
    <t xml:space="preserve"> 16.5</t>
  </si>
  <si>
    <t xml:space="preserve"> Pea</t>
  </si>
  <si>
    <t xml:space="preserve"> 32.92</t>
  </si>
  <si>
    <t xml:space="preserve"> 45.26</t>
  </si>
  <si>
    <t xml:space="preserve"> 2.46</t>
  </si>
  <si>
    <t xml:space="preserve"> 12.2</t>
  </si>
  <si>
    <t xml:space="preserve"> Peanut</t>
  </si>
  <si>
    <t xml:space="preserve"> 0.6</t>
  </si>
  <si>
    <t xml:space="preserve"> 35.84</t>
  </si>
  <si>
    <t xml:space="preserve"> 49.28</t>
  </si>
  <si>
    <t xml:space="preserve"> 2.77</t>
  </si>
  <si>
    <t xml:space="preserve"> 5.96</t>
  </si>
  <si>
    <t xml:space="preserve"> 168.75</t>
  </si>
  <si>
    <t xml:space="preserve"> 5.6</t>
  </si>
  <si>
    <t xml:space="preserve"> Pepper</t>
  </si>
  <si>
    <t xml:space="preserve"> 24.71</t>
  </si>
  <si>
    <t xml:space="preserve"> 33.98</t>
  </si>
  <si>
    <t xml:space="preserve"> 148.94</t>
  </si>
  <si>
    <t xml:space="preserve"> 127.43</t>
  </si>
  <si>
    <t xml:space="preserve"> Radish</t>
  </si>
  <si>
    <t xml:space="preserve"> 11.86</t>
  </si>
  <si>
    <t xml:space="preserve"> 16.31</t>
  </si>
  <si>
    <t xml:space="preserve"> 91.67</t>
  </si>
  <si>
    <t xml:space="preserve"> Red Beet</t>
  </si>
  <si>
    <t xml:space="preserve"> 7.11</t>
  </si>
  <si>
    <t xml:space="preserve"> 9.77</t>
  </si>
  <si>
    <t xml:space="preserve"> 32.5</t>
  </si>
  <si>
    <t xml:space="preserve"> Rice</t>
  </si>
  <si>
    <t xml:space="preserve"> 0.42</t>
  </si>
  <si>
    <t xml:space="preserve"> 36.55</t>
  </si>
  <si>
    <t xml:space="preserve"> 50.26</t>
  </si>
  <si>
    <t xml:space="preserve"> 3.43</t>
  </si>
  <si>
    <t xml:space="preserve"> 10.3</t>
  </si>
  <si>
    <t xml:space="preserve"> 211.58</t>
  </si>
  <si>
    <t xml:space="preserve"> Snap Bean</t>
  </si>
  <si>
    <t xml:space="preserve"> 36.43</t>
  </si>
  <si>
    <t xml:space="preserve"> 50.09</t>
  </si>
  <si>
    <t xml:space="preserve"> 148.5</t>
  </si>
  <si>
    <t xml:space="preserve"> 178.2</t>
  </si>
  <si>
    <t xml:space="preserve"> Soybean</t>
  </si>
  <si>
    <t xml:space="preserve"> 0.46</t>
  </si>
  <si>
    <t xml:space="preserve"> 13.91</t>
  </si>
  <si>
    <t xml:space="preserve"> 19.13</t>
  </si>
  <si>
    <t xml:space="preserve"> 2.88</t>
  </si>
  <si>
    <t xml:space="preserve"> 5.04</t>
  </si>
  <si>
    <t xml:space="preserve"> 68.04</t>
  </si>
  <si>
    <t xml:space="preserve"> Spinach</t>
  </si>
  <si>
    <t xml:space="preserve"> 72.97</t>
  </si>
  <si>
    <t xml:space="preserve"> Strawberry</t>
  </si>
  <si>
    <t xml:space="preserve"> 0.43</t>
  </si>
  <si>
    <t xml:space="preserve"> 25.32</t>
  </si>
  <si>
    <t xml:space="preserve"> 34.82</t>
  </si>
  <si>
    <t xml:space="preserve"> 2.22</t>
  </si>
  <si>
    <t xml:space="preserve"> 77.88</t>
  </si>
  <si>
    <t xml:space="preserve"> 144.46</t>
  </si>
  <si>
    <t xml:space="preserve"> Sweet Potato</t>
  </si>
  <si>
    <t xml:space="preserve"> 41.12</t>
  </si>
  <si>
    <t xml:space="preserve"> 56.54</t>
  </si>
  <si>
    <t xml:space="preserve"> 51.72</t>
  </si>
  <si>
    <t xml:space="preserve"> Tomato</t>
  </si>
  <si>
    <t xml:space="preserve"> 26.36</t>
  </si>
  <si>
    <t xml:space="preserve"> 36.24</t>
  </si>
  <si>
    <t xml:space="preserve"> 173.76</t>
  </si>
  <si>
    <t xml:space="preserve"> Wheat</t>
  </si>
  <si>
    <t xml:space="preserve"> 11.79</t>
  </si>
  <si>
    <t xml:space="preserve"> 22.73</t>
  </si>
  <si>
    <t xml:space="preserve"> White Potato</t>
  </si>
  <si>
    <t xml:space="preserve"> 32.23</t>
  </si>
  <si>
    <t xml:space="preserve"> 45.23</t>
  </si>
  <si>
    <t xml:space="preserve"> 105.3</t>
  </si>
  <si>
    <t xml:space="preserve"> 90.25</t>
  </si>
  <si>
    <t xml:space="preserve"> Chufa</t>
  </si>
  <si>
    <t xml:space="preserve"> 8.87</t>
  </si>
  <si>
    <t xml:space="preserve"> 6.4</t>
  </si>
  <si>
    <t xml:space="preserve"> Cucumber</t>
  </si>
  <si>
    <t xml:space="preserve"> 167.17</t>
  </si>
  <si>
    <t>Scaled Part ELS</t>
  </si>
  <si>
    <t>Part ELS</t>
  </si>
  <si>
    <t>Lunar Palace</t>
  </si>
  <si>
    <t>Balanced</t>
  </si>
  <si>
    <t>0.086938</t>
  </si>
  <si>
    <t>0.033</t>
  </si>
  <si>
    <t>Carrot</t>
  </si>
  <si>
    <t>0.535</t>
  </si>
  <si>
    <t>Chard</t>
  </si>
  <si>
    <t>0.19232</t>
  </si>
  <si>
    <t>0.073</t>
  </si>
  <si>
    <t>1.17</t>
  </si>
  <si>
    <t>Green Onion</t>
  </si>
  <si>
    <t>0.416</t>
  </si>
  <si>
    <t>0.39961</t>
  </si>
  <si>
    <t>0.69392</t>
  </si>
  <si>
    <t>Lettuce</t>
  </si>
  <si>
    <t>0.42152</t>
  </si>
  <si>
    <t>0.16</t>
  </si>
  <si>
    <t>0.14331</t>
  </si>
  <si>
    <t>Pea</t>
  </si>
  <si>
    <t>0.81932</t>
  </si>
  <si>
    <t>0.311</t>
  </si>
  <si>
    <t>Peanut</t>
  </si>
  <si>
    <t>Pepper</t>
  </si>
  <si>
    <t>0.54797</t>
  </si>
  <si>
    <t>0.208</t>
  </si>
  <si>
    <t>Radish</t>
  </si>
  <si>
    <t>0.41233</t>
  </si>
  <si>
    <t>Red Beet</t>
  </si>
  <si>
    <t>Rice</t>
  </si>
  <si>
    <t>Snap Bean</t>
  </si>
  <si>
    <t>0.17651</t>
  </si>
  <si>
    <t>0.067</t>
  </si>
  <si>
    <t>Soybean</t>
  </si>
  <si>
    <t>116.73</t>
  </si>
  <si>
    <t>Spinach</t>
  </si>
  <si>
    <t>0.548</t>
  </si>
  <si>
    <t>Strawberry</t>
  </si>
  <si>
    <t>0.79922</t>
  </si>
  <si>
    <t>Sweet Potato</t>
  </si>
  <si>
    <t>3.48</t>
  </si>
  <si>
    <t>Tomato</t>
  </si>
  <si>
    <t>Wheat</t>
  </si>
  <si>
    <t>White Potato</t>
  </si>
  <si>
    <t>Chufa</t>
  </si>
  <si>
    <t>Cucumber</t>
  </si>
  <si>
    <t>0.047953</t>
  </si>
  <si>
    <t>PGC CONFIGURATION</t>
  </si>
  <si>
    <t>TEST</t>
  </si>
  <si>
    <t>System level:  assembly</t>
  </si>
  <si>
    <t>ESM Factors</t>
  </si>
  <si>
    <t>Mission type</t>
  </si>
  <si>
    <t>Mission selection (for ESM factors)</t>
  </si>
  <si>
    <t>ISS / LEO</t>
  </si>
  <si>
    <t>Mars trip</t>
  </si>
  <si>
    <t>orbital station</t>
  </si>
  <si>
    <t>Lunar Surface</t>
  </si>
  <si>
    <t>Custom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</si>
</sst>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4"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sz val="9"/>
      <color indexed="81"/>
      <name val="Tahoma"/>
      <family val="2"/>
    </font>
  </fonts>
  <fills count="59">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s>
  <borders count="99">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right/>
      <top style="thin">
        <color indexed="64"/>
      </top>
      <bottom/>
      <diagonal/>
    </border>
    <border>
      <left style="thin">
        <color indexed="64"/>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61">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11" borderId="0" xfId="0" applyFill="1"/>
    <xf numFmtId="0" fontId="6" fillId="11" borderId="0" xfId="0" applyFont="1" applyFill="1"/>
    <xf numFmtId="0" fontId="0" fillId="7" borderId="0" xfId="0"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11"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1" fontId="0" fillId="0" borderId="0" xfId="0" applyNumberFormat="1" applyAlignment="1">
      <alignment horizontal="right"/>
    </xf>
    <xf numFmtId="0" fontId="61" fillId="0" borderId="16" xfId="0" applyFont="1" applyBorder="1" applyAlignment="1">
      <alignment horizontal="left" vertical="center" wrapText="1" indent="1" readingOrder="1"/>
    </xf>
    <xf numFmtId="0" fontId="62" fillId="0" borderId="8" xfId="0" applyFont="1" applyBorder="1" applyAlignment="1">
      <alignment horizontal="left" vertical="center" wrapText="1" indent="1" readingOrder="1"/>
    </xf>
    <xf numFmtId="0" fontId="62" fillId="0" borderId="8" xfId="0" applyFont="1" applyBorder="1" applyAlignment="1">
      <alignment vertical="center" wrapText="1" readingOrder="1"/>
    </xf>
    <xf numFmtId="3" fontId="62" fillId="0" borderId="8" xfId="0" applyNumberFormat="1" applyFont="1" applyBorder="1" applyAlignment="1">
      <alignment horizontal="left" vertical="center" wrapText="1" indent="1" readingOrder="1"/>
    </xf>
    <xf numFmtId="3" fontId="62" fillId="0" borderId="8" xfId="0" applyNumberFormat="1" applyFont="1" applyBorder="1" applyAlignment="1">
      <alignment vertical="center" wrapText="1" readingOrder="1"/>
    </xf>
    <xf numFmtId="0" fontId="61" fillId="0" borderId="8" xfId="0" applyFont="1" applyBorder="1" applyAlignment="1">
      <alignment horizontal="left" vertical="center" wrapText="1" indent="1" readingOrder="1"/>
    </xf>
    <xf numFmtId="0" fontId="61" fillId="58" borderId="8" xfId="0" applyFont="1" applyFill="1" applyBorder="1" applyAlignment="1">
      <alignment horizontal="left" vertical="center" wrapText="1" indent="1" readingOrder="1"/>
    </xf>
    <xf numFmtId="0" fontId="62" fillId="58" borderId="8" xfId="0" applyFont="1" applyFill="1" applyBorder="1" applyAlignment="1">
      <alignment horizontal="left" vertical="center" wrapText="1" indent="1" readingOrder="1"/>
    </xf>
    <xf numFmtId="0" fontId="62" fillId="58" borderId="8" xfId="0" applyFont="1" applyFill="1" applyBorder="1" applyAlignment="1">
      <alignment vertical="center" wrapText="1" readingOrder="1"/>
    </xf>
    <xf numFmtId="3" fontId="62" fillId="58" borderId="8" xfId="0" applyNumberFormat="1" applyFont="1" applyFill="1" applyBorder="1" applyAlignment="1">
      <alignment horizontal="left" vertical="center" wrapText="1" indent="1" readingOrder="1"/>
    </xf>
    <xf numFmtId="3" fontId="62" fillId="58" borderId="8" xfId="0" applyNumberFormat="1" applyFont="1" applyFill="1" applyBorder="1" applyAlignment="1">
      <alignment vertical="center" wrapText="1" readingOrder="1"/>
    </xf>
    <xf numFmtId="0" fontId="61" fillId="0" borderId="0" xfId="0" applyFont="1" applyAlignment="1">
      <alignment horizontal="left" vertical="center" wrapText="1" indent="1" readingOrder="1"/>
    </xf>
    <xf numFmtId="0" fontId="61" fillId="0" borderId="16" xfId="0" applyFont="1" applyBorder="1" applyAlignment="1">
      <alignment vertical="center" wrapText="1" readingOrder="1"/>
    </xf>
    <xf numFmtId="0" fontId="61" fillId="0" borderId="9" xfId="0" applyFont="1" applyBorder="1" applyAlignment="1">
      <alignment horizontal="left" vertical="center" wrapText="1" indent="1" readingOrder="1"/>
    </xf>
    <xf numFmtId="0" fontId="62" fillId="0" borderId="9" xfId="0" applyFont="1" applyBorder="1" applyAlignment="1">
      <alignment horizontal="left" vertical="center" wrapText="1" indent="1" readingOrder="1"/>
    </xf>
    <xf numFmtId="0" fontId="62" fillId="0" borderId="9" xfId="0" applyFont="1" applyBorder="1" applyAlignment="1">
      <alignment vertical="center" wrapText="1" readingOrder="1"/>
    </xf>
    <xf numFmtId="0" fontId="0" fillId="58" borderId="61" xfId="0" applyFill="1" applyBorder="1"/>
    <xf numFmtId="0" fontId="0" fillId="0" borderId="61" xfId="0" applyBorder="1"/>
    <xf numFmtId="0" fontId="0" fillId="0" borderId="86" xfId="0" applyBorder="1"/>
    <xf numFmtId="0" fontId="8" fillId="8" borderId="86" xfId="0" applyFont="1" applyFill="1" applyBorder="1" applyAlignment="1">
      <alignment vertical="top"/>
    </xf>
    <xf numFmtId="0" fontId="0" fillId="8" borderId="97" xfId="0" applyFill="1" applyBorder="1"/>
    <xf numFmtId="0" fontId="0" fillId="8" borderId="65" xfId="0" applyFill="1" applyBorder="1"/>
    <xf numFmtId="0" fontId="6" fillId="8" borderId="98" xfId="0" applyFont="1" applyFill="1" applyBorder="1"/>
    <xf numFmtId="0" fontId="0" fillId="8" borderId="0" xfId="0" applyFill="1"/>
    <xf numFmtId="0" fontId="0" fillId="8" borderId="11" xfId="0" applyFill="1" applyBorder="1"/>
    <xf numFmtId="0" fontId="0" fillId="8" borderId="98" xfId="0" applyFill="1" applyBorder="1"/>
    <xf numFmtId="14" fontId="0" fillId="10" borderId="0" xfId="0" applyNumberFormat="1" applyFill="1" applyProtection="1">
      <protection locked="0"/>
    </xf>
    <xf numFmtId="2" fontId="53" fillId="10" borderId="0" xfId="0" applyNumberFormat="1" applyFont="1" applyFill="1"/>
    <xf numFmtId="2" fontId="55" fillId="10" borderId="0" xfId="0" applyNumberFormat="1" applyFont="1" applyFill="1" applyAlignment="1">
      <alignment horizontal="center"/>
    </xf>
    <xf numFmtId="2" fontId="48" fillId="10" borderId="0" xfId="0" applyNumberFormat="1" applyFont="1" applyFill="1" applyAlignment="1">
      <alignment horizontal="center"/>
    </xf>
    <xf numFmtId="2" fontId="42" fillId="10" borderId="0" xfId="0" applyNumberFormat="1" applyFont="1" applyFill="1" applyAlignment="1">
      <alignment horizontal="center"/>
    </xf>
    <xf numFmtId="0" fontId="55" fillId="10" borderId="0" xfId="0" applyFont="1" applyFill="1" applyAlignment="1">
      <alignment horizontal="center" wrapText="1"/>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2" fontId="49" fillId="10" borderId="0" xfId="0" applyNumberFormat="1" applyFont="1" applyFill="1" applyAlignment="1">
      <alignment horizontal="center"/>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55" fillId="10" borderId="0" xfId="0" applyFont="1" applyFill="1" applyAlignment="1">
      <alignment horizontal="center" vertical="center"/>
    </xf>
    <xf numFmtId="0" fontId="0" fillId="10" borderId="0" xfId="0" applyFill="1" applyAlignment="1">
      <alignment horizontal="center" vertical="center"/>
    </xf>
    <xf numFmtId="2" fontId="50" fillId="10" borderId="0" xfId="0" applyNumberFormat="1" applyFont="1" applyFill="1" applyAlignment="1">
      <alignment horizontal="center"/>
    </xf>
    <xf numFmtId="2" fontId="0" fillId="10" borderId="0" xfId="0" applyNumberFormat="1" applyFill="1" applyAlignment="1">
      <alignment horizontal="center"/>
    </xf>
    <xf numFmtId="2" fontId="47" fillId="10" borderId="0" xfId="0" applyNumberFormat="1" applyFon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2" fontId="48" fillId="10" borderId="0" xfId="0" applyNumberFormat="1" applyFont="1" applyFill="1" applyAlignment="1">
      <alignment horizontal="center" vertical="center"/>
    </xf>
    <xf numFmtId="2" fontId="55"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0" fontId="55" fillId="10" borderId="0" xfId="0" applyFont="1" applyFill="1" applyAlignment="1">
      <alignment horizontal="center"/>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47" fillId="10" borderId="0" xfId="0" applyFont="1" applyFill="1" applyAlignment="1">
      <alignment horizontal="center" vertical="center"/>
    </xf>
    <xf numFmtId="2" fontId="54" fillId="10" borderId="0" xfId="0" applyNumberFormat="1" applyFont="1" applyFill="1" applyAlignment="1">
      <alignment horizontal="center"/>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xf numFmtId="0" fontId="0" fillId="0" borderId="1" xfId="0" applyBorder="1"/>
    <xf numFmtId="0" fontId="0" fillId="0" borderId="4" xfId="0" applyBorder="1"/>
    <xf numFmtId="0" fontId="0" fillId="0" borderId="34" xfId="0" applyBorder="1"/>
    <xf numFmtId="0" fontId="0" fillId="0" borderId="8" xfId="0" applyBorder="1" applyAlignment="1">
      <alignment wrapText="1"/>
    </xf>
    <xf numFmtId="0" fontId="6" fillId="8" borderId="0" xfId="0" applyFont="1" applyFill="1"/>
    <xf numFmtId="0" fontId="0" fillId="8" borderId="8" xfId="0" applyFill="1" applyBorder="1"/>
    <xf numFmtId="0" fontId="0" fillId="10" borderId="8" xfId="0" applyFill="1" applyBorder="1" applyProtection="1">
      <protection locked="0"/>
    </xf>
    <xf numFmtId="0" fontId="0" fillId="8" borderId="8" xfId="0" applyFill="1" applyBorder="1" applyAlignment="1">
      <alignment horizontal="left"/>
    </xf>
    <xf numFmtId="0" fontId="0" fillId="0" borderId="8" xfId="0" applyFill="1" applyBorder="1"/>
  </cellXfs>
  <cellStyles count="4">
    <cellStyle name="Collegamento ipertestuale" xfId="3" builtinId="8"/>
    <cellStyle name="Migliaia" xfId="1" builtinId="3"/>
    <cellStyle name="Normale" xfId="0" builtinId="0"/>
    <cellStyle name="Valore non valido" xfId="2" builtinId="27"/>
  </cellStyles>
  <dxfs count="156">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numFmt numFmtId="25" formatCode="hh:mm"/>
    </dxf>
    <dxf>
      <numFmt numFmtId="25" formatCode="hh:mm"/>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173" formatCode="h:mm"/>
    </dxf>
    <dxf>
      <numFmt numFmtId="173" formatCode="h:mm"/>
      <alignment horizontal="center" vertical="bottom" textRotation="0" wrapText="0" indent="0" justifyLastLine="0" shrinkToFit="0" readingOrder="0"/>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numFmt numFmtId="3" formatCode="#,##0"/>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right style="thin">
          <color indexed="64"/>
        </right>
        <top/>
        <bottom style="thin">
          <color indexed="64"/>
        </bottom>
        <vertical/>
        <horizontal/>
      </border>
    </dxf>
    <dxf>
      <border outline="0">
        <left style="thin">
          <color indexed="64"/>
        </left>
        <right style="thin">
          <color indexed="64"/>
        </right>
        <bottom style="thin">
          <color indexed="64"/>
        </bottom>
      </border>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outline="0">
        <left style="thin">
          <color indexed="64"/>
        </left>
        <right style="thin">
          <color indexed="64"/>
        </right>
        <top/>
        <bottom/>
      </border>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0.3764551344531557</c:v>
                </c:pt>
                <c:pt idx="2">
                  <c:v>0.35291092323849688</c:v>
                </c:pt>
                <c:pt idx="3">
                  <c:v>0.32936736635602371</c:v>
                </c:pt>
                <c:pt idx="4">
                  <c:v>0.30582446380573608</c:v>
                </c:pt>
                <c:pt idx="5">
                  <c:v>0.28228221558763394</c:v>
                </c:pt>
                <c:pt idx="6">
                  <c:v>0.25874062170171747</c:v>
                </c:pt>
                <c:pt idx="7">
                  <c:v>0.23519968214798651</c:v>
                </c:pt>
                <c:pt idx="8">
                  <c:v>0.21165939692644117</c:v>
                </c:pt>
                <c:pt idx="9">
                  <c:v>0.18811976603708133</c:v>
                </c:pt>
                <c:pt idx="10">
                  <c:v>0.16458078947990712</c:v>
                </c:pt>
                <c:pt idx="11">
                  <c:v>0.15864426550585203</c:v>
                </c:pt>
                <c:pt idx="12">
                  <c:v>0.15270778236403379</c:v>
                </c:pt>
                <c:pt idx="13">
                  <c:v>0.14677134005445236</c:v>
                </c:pt>
                <c:pt idx="14">
                  <c:v>0.1408349385771078</c:v>
                </c:pt>
                <c:pt idx="15">
                  <c:v>0.13489857793200002</c:v>
                </c:pt>
                <c:pt idx="16">
                  <c:v>0.12896225811912909</c:v>
                </c:pt>
                <c:pt idx="17">
                  <c:v>0.123025979138495</c:v>
                </c:pt>
                <c:pt idx="18">
                  <c:v>0.11708974099009775</c:v>
                </c:pt>
                <c:pt idx="19">
                  <c:v>0.1111535436739373</c:v>
                </c:pt>
                <c:pt idx="20">
                  <c:v>0.38850880161983203</c:v>
                </c:pt>
                <c:pt idx="21">
                  <c:v>0.38258593849720046</c:v>
                </c:pt>
                <c:pt idx="22">
                  <c:v>0.37666265828627715</c:v>
                </c:pt>
                <c:pt idx="23">
                  <c:v>0.37072466327597708</c:v>
                </c:pt>
                <c:pt idx="24">
                  <c:v>0.36478670909791389</c:v>
                </c:pt>
                <c:pt idx="25">
                  <c:v>0.35884879575208756</c:v>
                </c:pt>
                <c:pt idx="26">
                  <c:v>0.35291092323849799</c:v>
                </c:pt>
                <c:pt idx="27">
                  <c:v>0.34697309155714534</c:v>
                </c:pt>
                <c:pt idx="28">
                  <c:v>0.34103530070802945</c:v>
                </c:pt>
                <c:pt idx="29">
                  <c:v>0.33509755069115044</c:v>
                </c:pt>
                <c:pt idx="30">
                  <c:v>0.61250854976105951</c:v>
                </c:pt>
                <c:pt idx="31">
                  <c:v>0.60659277038292292</c:v>
                </c:pt>
                <c:pt idx="32">
                  <c:v>0.60067657391649465</c:v>
                </c:pt>
                <c:pt idx="33">
                  <c:v>0.59473702620547597</c:v>
                </c:pt>
                <c:pt idx="34">
                  <c:v>0.58879751932669411</c:v>
                </c:pt>
                <c:pt idx="35">
                  <c:v>0.58285805328014906</c:v>
                </c:pt>
                <c:pt idx="36">
                  <c:v>0.57691862806584093</c:v>
                </c:pt>
                <c:pt idx="37">
                  <c:v>0.57097924368376962</c:v>
                </c:pt>
                <c:pt idx="38">
                  <c:v>0.56503990013393501</c:v>
                </c:pt>
                <c:pt idx="39">
                  <c:v>0.55910059741633733</c:v>
                </c:pt>
                <c:pt idx="40">
                  <c:v>0.55316133553097657</c:v>
                </c:pt>
                <c:pt idx="41">
                  <c:v>0.54722211447785241</c:v>
                </c:pt>
                <c:pt idx="42">
                  <c:v>0.54128293425696528</c:v>
                </c:pt>
                <c:pt idx="43">
                  <c:v>0.51773414271700746</c:v>
                </c:pt>
                <c:pt idx="44">
                  <c:v>0.49418600550923508</c:v>
                </c:pt>
                <c:pt idx="45">
                  <c:v>0.47063852263364836</c:v>
                </c:pt>
                <c:pt idx="46">
                  <c:v>0.44709169409024713</c:v>
                </c:pt>
                <c:pt idx="47">
                  <c:v>0.42354551987903161</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0.13650000000000001</c:v>
                </c:pt>
                <c:pt idx="1">
                  <c:v>0.13650000000000001</c:v>
                </c:pt>
                <c:pt idx="2">
                  <c:v>0.13650000000000001</c:v>
                </c:pt>
                <c:pt idx="3">
                  <c:v>0.13650000000000001</c:v>
                </c:pt>
                <c:pt idx="4">
                  <c:v>0.13650000000000001</c:v>
                </c:pt>
                <c:pt idx="5">
                  <c:v>0.13650000000000001</c:v>
                </c:pt>
                <c:pt idx="6">
                  <c:v>0.13650000000000001</c:v>
                </c:pt>
                <c:pt idx="7">
                  <c:v>0.13650000000000001</c:v>
                </c:pt>
                <c:pt idx="8">
                  <c:v>0.13650000000000001</c:v>
                </c:pt>
                <c:pt idx="9">
                  <c:v>0.13650000000000001</c:v>
                </c:pt>
                <c:pt idx="10">
                  <c:v>0.21599999999999997</c:v>
                </c:pt>
                <c:pt idx="11">
                  <c:v>0.21599999999999997</c:v>
                </c:pt>
                <c:pt idx="12">
                  <c:v>0.21599999999999997</c:v>
                </c:pt>
                <c:pt idx="13">
                  <c:v>0.21599999999999997</c:v>
                </c:pt>
                <c:pt idx="14">
                  <c:v>0.21599999999999997</c:v>
                </c:pt>
                <c:pt idx="15">
                  <c:v>0.21599999999999997</c:v>
                </c:pt>
                <c:pt idx="16">
                  <c:v>0.21599999999999997</c:v>
                </c:pt>
                <c:pt idx="17">
                  <c:v>0.21599999999999997</c:v>
                </c:pt>
                <c:pt idx="18">
                  <c:v>0.21599999999999997</c:v>
                </c:pt>
                <c:pt idx="19">
                  <c:v>1.4954999999999998</c:v>
                </c:pt>
                <c:pt idx="20">
                  <c:v>0.21599999999999997</c:v>
                </c:pt>
                <c:pt idx="21">
                  <c:v>0.21599999999999997</c:v>
                </c:pt>
                <c:pt idx="22">
                  <c:v>0.21599999999999997</c:v>
                </c:pt>
                <c:pt idx="23">
                  <c:v>0.21599999999999997</c:v>
                </c:pt>
                <c:pt idx="24">
                  <c:v>0.21599999999999997</c:v>
                </c:pt>
                <c:pt idx="25">
                  <c:v>0.21599999999999997</c:v>
                </c:pt>
                <c:pt idx="26">
                  <c:v>0.21599999999999997</c:v>
                </c:pt>
                <c:pt idx="27">
                  <c:v>0.21599999999999997</c:v>
                </c:pt>
                <c:pt idx="28">
                  <c:v>0.21599999999999997</c:v>
                </c:pt>
                <c:pt idx="29">
                  <c:v>1.4954999999999998</c:v>
                </c:pt>
                <c:pt idx="30">
                  <c:v>0.21599999999999997</c:v>
                </c:pt>
                <c:pt idx="31">
                  <c:v>0.21599999999999997</c:v>
                </c:pt>
                <c:pt idx="32">
                  <c:v>0.21599999999999997</c:v>
                </c:pt>
                <c:pt idx="33">
                  <c:v>0.21599999999999997</c:v>
                </c:pt>
                <c:pt idx="34">
                  <c:v>0.21599999999999997</c:v>
                </c:pt>
                <c:pt idx="35">
                  <c:v>0.21599999999999997</c:v>
                </c:pt>
                <c:pt idx="36">
                  <c:v>0.21599999999999997</c:v>
                </c:pt>
                <c:pt idx="37">
                  <c:v>0.21599999999999997</c:v>
                </c:pt>
                <c:pt idx="38">
                  <c:v>0.21599999999999997</c:v>
                </c:pt>
                <c:pt idx="39">
                  <c:v>0.21599999999999997</c:v>
                </c:pt>
                <c:pt idx="40">
                  <c:v>0.21599999999999997</c:v>
                </c:pt>
                <c:pt idx="41">
                  <c:v>0.21599999999999997</c:v>
                </c:pt>
                <c:pt idx="42">
                  <c:v>0.13650000000000001</c:v>
                </c:pt>
                <c:pt idx="43">
                  <c:v>0.13650000000000001</c:v>
                </c:pt>
                <c:pt idx="44">
                  <c:v>0.13650000000000001</c:v>
                </c:pt>
                <c:pt idx="45">
                  <c:v>0.13650000000000001</c:v>
                </c:pt>
                <c:pt idx="46">
                  <c:v>0.13650000000000001</c:v>
                </c:pt>
                <c:pt idx="47">
                  <c:v>0.13650000000000001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0.10799999999999998</c:v>
                </c:pt>
                <c:pt idx="1">
                  <c:v>0.10799999999999998</c:v>
                </c:pt>
                <c:pt idx="2">
                  <c:v>0.10799999999999998</c:v>
                </c:pt>
                <c:pt idx="3">
                  <c:v>0.10799999999999998</c:v>
                </c:pt>
                <c:pt idx="4">
                  <c:v>0.10799999999999998</c:v>
                </c:pt>
                <c:pt idx="5">
                  <c:v>0.10799999999999998</c:v>
                </c:pt>
                <c:pt idx="6">
                  <c:v>0.10799999999999998</c:v>
                </c:pt>
                <c:pt idx="7">
                  <c:v>0.10799999999999998</c:v>
                </c:pt>
                <c:pt idx="8">
                  <c:v>0.10799999999999998</c:v>
                </c:pt>
                <c:pt idx="9">
                  <c:v>0.10799999999999998</c:v>
                </c:pt>
                <c:pt idx="10">
                  <c:v>0.17039999999999997</c:v>
                </c:pt>
                <c:pt idx="11">
                  <c:v>0.17039999999999997</c:v>
                </c:pt>
                <c:pt idx="12">
                  <c:v>0.17039999999999997</c:v>
                </c:pt>
                <c:pt idx="13">
                  <c:v>0.17039999999999997</c:v>
                </c:pt>
                <c:pt idx="14">
                  <c:v>0.17039999999999997</c:v>
                </c:pt>
                <c:pt idx="15">
                  <c:v>0.17039999999999997</c:v>
                </c:pt>
                <c:pt idx="16">
                  <c:v>0.17039999999999997</c:v>
                </c:pt>
                <c:pt idx="17">
                  <c:v>0.17039999999999997</c:v>
                </c:pt>
                <c:pt idx="18">
                  <c:v>0.17039999999999997</c:v>
                </c:pt>
                <c:pt idx="19">
                  <c:v>1.1820000000000002</c:v>
                </c:pt>
                <c:pt idx="20">
                  <c:v>0.17039999999999997</c:v>
                </c:pt>
                <c:pt idx="21">
                  <c:v>0.17039999999999997</c:v>
                </c:pt>
                <c:pt idx="22">
                  <c:v>0.17039999999999997</c:v>
                </c:pt>
                <c:pt idx="23">
                  <c:v>0.17039999999999997</c:v>
                </c:pt>
                <c:pt idx="24">
                  <c:v>0.17039999999999997</c:v>
                </c:pt>
                <c:pt idx="25">
                  <c:v>0.17039999999999997</c:v>
                </c:pt>
                <c:pt idx="26">
                  <c:v>0.17039999999999997</c:v>
                </c:pt>
                <c:pt idx="27">
                  <c:v>0.17039999999999997</c:v>
                </c:pt>
                <c:pt idx="28">
                  <c:v>0.17039999999999997</c:v>
                </c:pt>
                <c:pt idx="29">
                  <c:v>1.1820000000000002</c:v>
                </c:pt>
                <c:pt idx="30">
                  <c:v>0.17039999999999997</c:v>
                </c:pt>
                <c:pt idx="31">
                  <c:v>0.17039999999999997</c:v>
                </c:pt>
                <c:pt idx="32">
                  <c:v>0.17039999999999997</c:v>
                </c:pt>
                <c:pt idx="33">
                  <c:v>0.17039999999999997</c:v>
                </c:pt>
                <c:pt idx="34">
                  <c:v>0.17039999999999997</c:v>
                </c:pt>
                <c:pt idx="35">
                  <c:v>0.17039999999999997</c:v>
                </c:pt>
                <c:pt idx="36">
                  <c:v>0.17039999999999997</c:v>
                </c:pt>
                <c:pt idx="37">
                  <c:v>0.17039999999999997</c:v>
                </c:pt>
                <c:pt idx="38">
                  <c:v>0.17039999999999997</c:v>
                </c:pt>
                <c:pt idx="39">
                  <c:v>0.17039999999999997</c:v>
                </c:pt>
                <c:pt idx="40">
                  <c:v>0.17039999999999997</c:v>
                </c:pt>
                <c:pt idx="41">
                  <c:v>0.17039999999999997</c:v>
                </c:pt>
                <c:pt idx="42">
                  <c:v>0.10799999999999998</c:v>
                </c:pt>
                <c:pt idx="43">
                  <c:v>0.10799999999999998</c:v>
                </c:pt>
                <c:pt idx="44">
                  <c:v>0.10799999999999998</c:v>
                </c:pt>
                <c:pt idx="45">
                  <c:v>0.10799999999999998</c:v>
                </c:pt>
                <c:pt idx="46">
                  <c:v>0.10799999999999998</c:v>
                </c:pt>
                <c:pt idx="47">
                  <c:v>0.10799999999999998</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20.974204214169649</c:v>
                </c:pt>
                <c:pt idx="2">
                  <c:v>20.948409137282606</c:v>
                </c:pt>
                <c:pt idx="3">
                  <c:v>20.922614769338882</c:v>
                </c:pt>
                <c:pt idx="4">
                  <c:v>20.896821110338468</c:v>
                </c:pt>
                <c:pt idx="5">
                  <c:v>20.871028160281366</c:v>
                </c:pt>
                <c:pt idx="6">
                  <c:v>20.845235919167578</c:v>
                </c:pt>
                <c:pt idx="7">
                  <c:v>20.819444386997102</c:v>
                </c:pt>
                <c:pt idx="8">
                  <c:v>20.79365356376994</c:v>
                </c:pt>
                <c:pt idx="9">
                  <c:v>20.767863449486086</c:v>
                </c:pt>
                <c:pt idx="10">
                  <c:v>20.74207404414555</c:v>
                </c:pt>
                <c:pt idx="11">
                  <c:v>20.735501944259514</c:v>
                </c:pt>
                <c:pt idx="12">
                  <c:v>20.728929889090875</c:v>
                </c:pt>
                <c:pt idx="13">
                  <c:v>20.722357878639627</c:v>
                </c:pt>
                <c:pt idx="14">
                  <c:v>20.715785912905776</c:v>
                </c:pt>
                <c:pt idx="15">
                  <c:v>20.709213991889314</c:v>
                </c:pt>
                <c:pt idx="16">
                  <c:v>20.702642115590251</c:v>
                </c:pt>
                <c:pt idx="17">
                  <c:v>20.696070284008581</c:v>
                </c:pt>
                <c:pt idx="18">
                  <c:v>20.689498497144303</c:v>
                </c:pt>
                <c:pt idx="19">
                  <c:v>20.682926754997418</c:v>
                </c:pt>
                <c:pt idx="20">
                  <c:v>20.986232365898267</c:v>
                </c:pt>
                <c:pt idx="21">
                  <c:v>20.980468252466888</c:v>
                </c:pt>
                <c:pt idx="22">
                  <c:v>20.97470368226158</c:v>
                </c:pt>
                <c:pt idx="23">
                  <c:v>20.968129978940755</c:v>
                </c:pt>
                <c:pt idx="24">
                  <c:v>20.96155632033733</c:v>
                </c:pt>
                <c:pt idx="25">
                  <c:v>20.9549827064513</c:v>
                </c:pt>
                <c:pt idx="26">
                  <c:v>20.94840913728266</c:v>
                </c:pt>
                <c:pt idx="27">
                  <c:v>20.941835612831415</c:v>
                </c:pt>
                <c:pt idx="28">
                  <c:v>20.935262133097563</c:v>
                </c:pt>
                <c:pt idx="29">
                  <c:v>20.928688698081107</c:v>
                </c:pt>
                <c:pt idx="30">
                  <c:v>21.232054875173979</c:v>
                </c:pt>
                <c:pt idx="31">
                  <c:v>21.226298442180457</c:v>
                </c:pt>
                <c:pt idx="32">
                  <c:v>21.220541552413007</c:v>
                </c:pt>
                <c:pt idx="33">
                  <c:v>21.213966156222615</c:v>
                </c:pt>
                <c:pt idx="34">
                  <c:v>21.207390804749611</c:v>
                </c:pt>
                <c:pt idx="35">
                  <c:v>21.200815497994007</c:v>
                </c:pt>
                <c:pt idx="36">
                  <c:v>21.194240235955796</c:v>
                </c:pt>
                <c:pt idx="37">
                  <c:v>21.187665018634981</c:v>
                </c:pt>
                <c:pt idx="38">
                  <c:v>21.181089846031551</c:v>
                </c:pt>
                <c:pt idx="39">
                  <c:v>21.174514718145524</c:v>
                </c:pt>
                <c:pt idx="40">
                  <c:v>21.167939634976886</c:v>
                </c:pt>
                <c:pt idx="41">
                  <c:v>21.16136459652564</c:v>
                </c:pt>
                <c:pt idx="42">
                  <c:v>21.154789602791794</c:v>
                </c:pt>
                <c:pt idx="43">
                  <c:v>21.128989563301563</c:v>
                </c:pt>
                <c:pt idx="44">
                  <c:v>21.103190232754645</c:v>
                </c:pt>
                <c:pt idx="45">
                  <c:v>21.077391611151043</c:v>
                </c:pt>
                <c:pt idx="46">
                  <c:v>21.051593698490748</c:v>
                </c:pt>
                <c:pt idx="47">
                  <c:v>21.025796494773772</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6.9577333333333327</c:v>
                </c:pt>
                <c:pt idx="12">
                  <c:v>0</c:v>
                </c:pt>
                <c:pt idx="13">
                  <c:v>0</c:v>
                </c:pt>
                <c:pt idx="14">
                  <c:v>0</c:v>
                </c:pt>
                <c:pt idx="15">
                  <c:v>0</c:v>
                </c:pt>
                <c:pt idx="16">
                  <c:v>0</c:v>
                </c:pt>
                <c:pt idx="17">
                  <c:v>0</c:v>
                </c:pt>
                <c:pt idx="18">
                  <c:v>0</c:v>
                </c:pt>
                <c:pt idx="19">
                  <c:v>0</c:v>
                </c:pt>
                <c:pt idx="20">
                  <c:v>1.9396124999999997</c:v>
                </c:pt>
                <c:pt idx="21">
                  <c:v>1.9396124999999997</c:v>
                </c:pt>
                <c:pt idx="22">
                  <c:v>3.4788666666666663</c:v>
                </c:pt>
                <c:pt idx="23">
                  <c:v>3.4788666666666663</c:v>
                </c:pt>
                <c:pt idx="24">
                  <c:v>0</c:v>
                </c:pt>
                <c:pt idx="25">
                  <c:v>0</c:v>
                </c:pt>
                <c:pt idx="26">
                  <c:v>0</c:v>
                </c:pt>
                <c:pt idx="27">
                  <c:v>0</c:v>
                </c:pt>
                <c:pt idx="28">
                  <c:v>0</c:v>
                </c:pt>
                <c:pt idx="29">
                  <c:v>0</c:v>
                </c:pt>
                <c:pt idx="30">
                  <c:v>1.9396124999999997</c:v>
                </c:pt>
                <c:pt idx="31">
                  <c:v>1.9396124999999997</c:v>
                </c:pt>
                <c:pt idx="32">
                  <c:v>0</c:v>
                </c:pt>
                <c:pt idx="33">
                  <c:v>0</c:v>
                </c:pt>
                <c:pt idx="34">
                  <c:v>3.4788666666666663</c:v>
                </c:pt>
                <c:pt idx="35">
                  <c:v>3.4788666666666663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4.0000000000000009</c:v>
                </c:pt>
                <c:pt idx="13">
                  <c:v>0</c:v>
                </c:pt>
                <c:pt idx="14">
                  <c:v>0</c:v>
                </c:pt>
                <c:pt idx="15">
                  <c:v>0</c:v>
                </c:pt>
                <c:pt idx="16">
                  <c:v>0</c:v>
                </c:pt>
                <c:pt idx="17">
                  <c:v>0</c:v>
                </c:pt>
                <c:pt idx="18">
                  <c:v>0</c:v>
                </c:pt>
                <c:pt idx="19">
                  <c:v>0</c:v>
                </c:pt>
                <c:pt idx="20">
                  <c:v>0.50000000000000011</c:v>
                </c:pt>
                <c:pt idx="21">
                  <c:v>0.50000000000000011</c:v>
                </c:pt>
                <c:pt idx="22">
                  <c:v>0.50000000000000011</c:v>
                </c:pt>
                <c:pt idx="23">
                  <c:v>0.50000000000000011</c:v>
                </c:pt>
                <c:pt idx="24">
                  <c:v>0</c:v>
                </c:pt>
                <c:pt idx="25">
                  <c:v>0</c:v>
                </c:pt>
                <c:pt idx="26">
                  <c:v>0</c:v>
                </c:pt>
                <c:pt idx="27">
                  <c:v>0</c:v>
                </c:pt>
                <c:pt idx="28">
                  <c:v>0</c:v>
                </c:pt>
                <c:pt idx="29">
                  <c:v>0</c:v>
                </c:pt>
                <c:pt idx="30">
                  <c:v>0.50000000000000011</c:v>
                </c:pt>
                <c:pt idx="31">
                  <c:v>0.50000000000000011</c:v>
                </c:pt>
                <c:pt idx="32">
                  <c:v>0</c:v>
                </c:pt>
                <c:pt idx="33">
                  <c:v>0</c:v>
                </c:pt>
                <c:pt idx="34">
                  <c:v>0.50000000000000011</c:v>
                </c:pt>
                <c:pt idx="35">
                  <c:v>0.50000000000000011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0.3579</c:v>
                </c:pt>
                <c:pt idx="13">
                  <c:v>0.3579</c:v>
                </c:pt>
                <c:pt idx="14">
                  <c:v>0.3579</c:v>
                </c:pt>
                <c:pt idx="15">
                  <c:v>0.3579</c:v>
                </c:pt>
                <c:pt idx="16">
                  <c:v>0.3579</c:v>
                </c:pt>
                <c:pt idx="17">
                  <c:v>0.3579</c:v>
                </c:pt>
                <c:pt idx="18">
                  <c:v>0.3579</c:v>
                </c:pt>
                <c:pt idx="19">
                  <c:v>2.6997</c:v>
                </c:pt>
                <c:pt idx="20">
                  <c:v>1.4109</c:v>
                </c:pt>
                <c:pt idx="21">
                  <c:v>1.4109</c:v>
                </c:pt>
                <c:pt idx="22">
                  <c:v>0.3579</c:v>
                </c:pt>
                <c:pt idx="23">
                  <c:v>0.3579</c:v>
                </c:pt>
                <c:pt idx="24">
                  <c:v>0.3579</c:v>
                </c:pt>
                <c:pt idx="25">
                  <c:v>0.3579</c:v>
                </c:pt>
                <c:pt idx="26">
                  <c:v>0.3579</c:v>
                </c:pt>
                <c:pt idx="27">
                  <c:v>0.3579</c:v>
                </c:pt>
                <c:pt idx="28">
                  <c:v>0.3579</c:v>
                </c:pt>
                <c:pt idx="29">
                  <c:v>2.6997</c:v>
                </c:pt>
                <c:pt idx="30">
                  <c:v>1.4109</c:v>
                </c:pt>
                <c:pt idx="31">
                  <c:v>1.4109</c:v>
                </c:pt>
                <c:pt idx="32">
                  <c:v>0.3579</c:v>
                </c:pt>
                <c:pt idx="33">
                  <c:v>0.3579</c:v>
                </c:pt>
                <c:pt idx="34">
                  <c:v>0.3579</c:v>
                </c:pt>
                <c:pt idx="35">
                  <c:v>0.3579</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5.333333333333333</c:v>
                </c:pt>
                <c:pt idx="11">
                  <c:v>0</c:v>
                </c:pt>
                <c:pt idx="12">
                  <c:v>5.333333333333333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2.6666666666666665</c:v>
                </c:pt>
                <c:pt idx="41">
                  <c:v>2.6666666666666665</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4.3579000000000017</c:v>
                </c:pt>
                <c:pt idx="13">
                  <c:v>0.3579</c:v>
                </c:pt>
                <c:pt idx="14">
                  <c:v>0.3579</c:v>
                </c:pt>
                <c:pt idx="15">
                  <c:v>0.3579</c:v>
                </c:pt>
                <c:pt idx="16">
                  <c:v>0.3579</c:v>
                </c:pt>
                <c:pt idx="17">
                  <c:v>0.3579</c:v>
                </c:pt>
                <c:pt idx="18">
                  <c:v>0.3579</c:v>
                </c:pt>
                <c:pt idx="19">
                  <c:v>2.6997</c:v>
                </c:pt>
                <c:pt idx="20">
                  <c:v>1.9109000000000003</c:v>
                </c:pt>
                <c:pt idx="21">
                  <c:v>1.9109000000000003</c:v>
                </c:pt>
                <c:pt idx="22">
                  <c:v>0.85790000000000011</c:v>
                </c:pt>
                <c:pt idx="23">
                  <c:v>0.85790000000000011</c:v>
                </c:pt>
                <c:pt idx="24">
                  <c:v>0.3579</c:v>
                </c:pt>
                <c:pt idx="25">
                  <c:v>0.3579</c:v>
                </c:pt>
                <c:pt idx="26">
                  <c:v>0.3579</c:v>
                </c:pt>
                <c:pt idx="27">
                  <c:v>0.3579</c:v>
                </c:pt>
                <c:pt idx="28">
                  <c:v>0.3579</c:v>
                </c:pt>
                <c:pt idx="29">
                  <c:v>2.6997</c:v>
                </c:pt>
                <c:pt idx="30">
                  <c:v>1.9109000000000003</c:v>
                </c:pt>
                <c:pt idx="31">
                  <c:v>1.9109000000000003</c:v>
                </c:pt>
                <c:pt idx="32">
                  <c:v>0.3579</c:v>
                </c:pt>
                <c:pt idx="33">
                  <c:v>0.3579</c:v>
                </c:pt>
                <c:pt idx="34">
                  <c:v>0.85790000000000011</c:v>
                </c:pt>
                <c:pt idx="35">
                  <c:v>0.85790000000000011</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292.99592773328516</c:v>
                </c:pt>
                <c:pt idx="2">
                  <c:v>292.99185546657026</c:v>
                </c:pt>
                <c:pt idx="3">
                  <c:v>292.98778319985541</c:v>
                </c:pt>
                <c:pt idx="4">
                  <c:v>292.98371093314057</c:v>
                </c:pt>
                <c:pt idx="5">
                  <c:v>292.97963866642567</c:v>
                </c:pt>
                <c:pt idx="6">
                  <c:v>292.97556639971083</c:v>
                </c:pt>
                <c:pt idx="7">
                  <c:v>292.97149413299593</c:v>
                </c:pt>
                <c:pt idx="8">
                  <c:v>292.96742186628109</c:v>
                </c:pt>
                <c:pt idx="9">
                  <c:v>292.96334959956619</c:v>
                </c:pt>
                <c:pt idx="10">
                  <c:v>292.95927733285134</c:v>
                </c:pt>
                <c:pt idx="11">
                  <c:v>292.95826973293077</c:v>
                </c:pt>
                <c:pt idx="12">
                  <c:v>292.95726213301026</c:v>
                </c:pt>
                <c:pt idx="13">
                  <c:v>292.95625453308975</c:v>
                </c:pt>
                <c:pt idx="14">
                  <c:v>292.95524693316924</c:v>
                </c:pt>
                <c:pt idx="15">
                  <c:v>292.95423933324867</c:v>
                </c:pt>
                <c:pt idx="16">
                  <c:v>292.95323173332815</c:v>
                </c:pt>
                <c:pt idx="17">
                  <c:v>292.95222413340764</c:v>
                </c:pt>
                <c:pt idx="18">
                  <c:v>292.95121653348713</c:v>
                </c:pt>
                <c:pt idx="19">
                  <c:v>292.95020893356656</c:v>
                </c:pt>
                <c:pt idx="20">
                  <c:v>292.9753012418372</c:v>
                </c:pt>
                <c:pt idx="21">
                  <c:v>292.98559355404501</c:v>
                </c:pt>
                <c:pt idx="22">
                  <c:v>292.99588586625282</c:v>
                </c:pt>
                <c:pt idx="23">
                  <c:v>292.99487826633225</c:v>
                </c:pt>
                <c:pt idx="24">
                  <c:v>292.99387066641174</c:v>
                </c:pt>
                <c:pt idx="25">
                  <c:v>292.99286306649122</c:v>
                </c:pt>
                <c:pt idx="26">
                  <c:v>292.99185546657066</c:v>
                </c:pt>
                <c:pt idx="27">
                  <c:v>292.99084786665014</c:v>
                </c:pt>
                <c:pt idx="28">
                  <c:v>292.98984026672963</c:v>
                </c:pt>
                <c:pt idx="29">
                  <c:v>292.98883266680912</c:v>
                </c:pt>
                <c:pt idx="30">
                  <c:v>293.0139249750797</c:v>
                </c:pt>
                <c:pt idx="31">
                  <c:v>293.02421728728751</c:v>
                </c:pt>
                <c:pt idx="32">
                  <c:v>293.03450959949532</c:v>
                </c:pt>
                <c:pt idx="33">
                  <c:v>293.03350199957481</c:v>
                </c:pt>
                <c:pt idx="34">
                  <c:v>293.03249439965424</c:v>
                </c:pt>
                <c:pt idx="35">
                  <c:v>293.03148679973373</c:v>
                </c:pt>
                <c:pt idx="36">
                  <c:v>293.03047919981321</c:v>
                </c:pt>
                <c:pt idx="37">
                  <c:v>293.0294715998927</c:v>
                </c:pt>
                <c:pt idx="38">
                  <c:v>293.02846399997213</c:v>
                </c:pt>
                <c:pt idx="39">
                  <c:v>293.02745640005162</c:v>
                </c:pt>
                <c:pt idx="40">
                  <c:v>293.02644880013111</c:v>
                </c:pt>
                <c:pt idx="41">
                  <c:v>293.02544120021054</c:v>
                </c:pt>
                <c:pt idx="42">
                  <c:v>293.02443360029002</c:v>
                </c:pt>
                <c:pt idx="43">
                  <c:v>293.02036133357518</c:v>
                </c:pt>
                <c:pt idx="44">
                  <c:v>293.01628906686028</c:v>
                </c:pt>
                <c:pt idx="45">
                  <c:v>293.01221680014544</c:v>
                </c:pt>
                <c:pt idx="46">
                  <c:v>293.00814453343054</c:v>
                </c:pt>
                <c:pt idx="47">
                  <c:v>293.0040722667157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5" Type="http://schemas.openxmlformats.org/officeDocument/2006/relationships/image" Target="../media/image13.emf"/><Relationship Id="rId15" Type="http://schemas.openxmlformats.org/officeDocument/2006/relationships/image" Target="../media/image19.emf"/><Relationship Id="rId10" Type="http://schemas.openxmlformats.org/officeDocument/2006/relationships/image" Target="../media/image8.emf"/><Relationship Id="rId19" Type="http://schemas.openxmlformats.org/officeDocument/2006/relationships/image" Target="../media/image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874668</xdr:colOff>
      <xdr:row>4</xdr:row>
      <xdr:rowOff>1632</xdr:rowOff>
    </xdr:from>
    <xdr:to>
      <xdr:col>10</xdr:col>
      <xdr:colOff>85726</xdr:colOff>
      <xdr:row>5</xdr:row>
      <xdr:rowOff>129267</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874668" y="926918"/>
          <a:ext cx="7252879"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55" dataDxfId="154">
  <autoFilter ref="A1:BD368" xr:uid="{00000000-0009-0000-0100-000001000000}"/>
  <tableColumns count="56">
    <tableColumn id="1" xr3:uid="{00000000-0010-0000-0000-000001000000}" name="Name" dataDxfId="153"/>
    <tableColumn id="13" xr3:uid="{00000000-0010-0000-0000-00000D000000}" name="Abbreviation" dataDxfId="152"/>
    <tableColumn id="2" xr3:uid="{00000000-0010-0000-0000-000002000000}" name="Subsystem" dataDxfId="151"/>
    <tableColumn id="3" xr3:uid="{00000000-0010-0000-0000-000003000000}" name="Type" dataDxfId="150"/>
    <tableColumn id="4" xr3:uid="{00000000-0010-0000-0000-000004000000}" name="Uses" dataDxfId="149"/>
    <tableColumn id="5" xr3:uid="{00000000-0010-0000-0000-000005000000}" name="trace from" dataDxfId="148"/>
    <tableColumn id="6" xr3:uid="{00000000-0010-0000-0000-000006000000}" name="Level" dataDxfId="147"/>
    <tableColumn id="7" xr3:uid="{00000000-0010-0000-0000-000007000000}" name="Description" dataDxfId="146"/>
    <tableColumn id="8" xr3:uid="{00000000-0010-0000-0000-000008000000}" name="Mass_x000a_Literature" dataDxfId="145"/>
    <tableColumn id="34" xr3:uid="{00000000-0010-0000-0000-000022000000}" name="Mass" dataDxfId="144"/>
    <tableColumn id="38" xr3:uid="{00000000-0010-0000-0000-000026000000}" name="Mass Confidence Factor" dataDxfId="143"/>
    <tableColumn id="9" xr3:uid="{00000000-0010-0000-0000-000009000000}" name="Volume_x000a_Literature" dataDxfId="142"/>
    <tableColumn id="35" xr3:uid="{00000000-0010-0000-0000-000023000000}" name="Volume" dataDxfId="141"/>
    <tableColumn id="39" xr3:uid="{00000000-0010-0000-0000-000027000000}" name="Volume Confidence Factor" dataDxfId="140"/>
    <tableColumn id="10" xr3:uid="{00000000-0010-0000-0000-00000A000000}" name="Heat Generated_x000a_Literature" dataDxfId="139"/>
    <tableColumn id="36" xr3:uid="{00000000-0010-0000-0000-000024000000}" name="Heat" dataDxfId="138"/>
    <tableColumn id="40" xr3:uid="{00000000-0010-0000-0000-000028000000}" name="Heat Confidence Factor" dataDxfId="137"/>
    <tableColumn id="11" xr3:uid="{00000000-0010-0000-0000-00000B000000}" name="Power required_x000a_Literature" dataDxfId="136"/>
    <tableColumn id="37" xr3:uid="{00000000-0010-0000-0000-000025000000}" name="Power" dataDxfId="135"/>
    <tableColumn id="41" xr3:uid="{00000000-0010-0000-0000-000029000000}" name="Power Confidence Factor" dataDxfId="134"/>
    <tableColumn id="57" xr3:uid="{00000000-0010-0000-0000-000039000000}" name="Spare Parts" dataDxfId="133"/>
    <tableColumn id="12" xr3:uid="{00000000-0010-0000-0000-00000C000000}" name="Mass of 1 ORU" dataDxfId="132"/>
    <tableColumn id="14" xr3:uid="{00000000-0010-0000-0000-00000E000000}" name="Efficiency" dataDxfId="131"/>
    <tableColumn id="15" xr3:uid="{00000000-0010-0000-0000-00000F000000}" name="Resupply Mass" dataDxfId="130"/>
    <tableColumn id="16" xr3:uid="{00000000-0010-0000-0000-000010000000}" name="TRL_x000a_Literature" dataDxfId="129"/>
    <tableColumn id="42" xr3:uid="{00000000-0010-0000-0000-00002A000000}" name="TRL" dataDxfId="128"/>
    <tableColumn id="43" xr3:uid="{00000000-0010-0000-0000-00002B000000}" name="TRL Confidence Factor" dataDxfId="127"/>
    <tableColumn id="17" xr3:uid="{00000000-0010-0000-0000-000011000000}" name="MTBF" dataDxfId="126"/>
    <tableColumn id="45" xr3:uid="{00000000-0010-0000-0000-00002D000000}" name="MTBF Confidence Factor" dataDxfId="125"/>
    <tableColumn id="18" xr3:uid="{00000000-0010-0000-0000-000012000000}" name="Maintance" dataDxfId="124"/>
    <tableColumn id="46" xr3:uid="{00000000-0010-0000-0000-00002E000000}" name="fix Maintenance" dataDxfId="123"/>
    <tableColumn id="44" xr3:uid="{00000000-0010-0000-0000-00002C000000}" name="Maintenance per CM" dataDxfId="122"/>
    <tableColumn id="47" xr3:uid="{00000000-0010-0000-0000-00002F000000}" name="Maintenance Confidence Factor" dataDxfId="121"/>
    <tableColumn id="19" xr3:uid="{00000000-0010-0000-0000-000013000000}" name="Advantages" dataDxfId="120"/>
    <tableColumn id="20" xr3:uid="{00000000-0010-0000-0000-000014000000}" name="Disadvantages" dataDxfId="119"/>
    <tableColumn id="21" xr3:uid="{00000000-0010-0000-0000-000015000000}" name="Prospective improvements" dataDxfId="118"/>
    <tableColumn id="48" xr3:uid="{00000000-0010-0000-0000-000030000000}" name="Safety" dataDxfId="117"/>
    <tableColumn id="22" xr3:uid="{00000000-0010-0000-0000-000016000000}" name="principial chemical equation" dataDxfId="116"/>
    <tableColumn id="23" xr3:uid="{00000000-0010-0000-0000-000017000000}" name="inflow [kg/day] gas, liquid, solid" dataDxfId="115"/>
    <tableColumn id="24" xr3:uid="{00000000-0010-0000-0000-000018000000}" name="inflow composition gas, liquid, solid" dataDxfId="114"/>
    <tableColumn id="25" xr3:uid="{00000000-0010-0000-0000-000019000000}" name="outflow [kg/day] gas, liquid, solid" dataDxfId="113"/>
    <tableColumn id="26" xr3:uid="{00000000-0010-0000-0000-00001A000000}" name="outflow composition gas, liquid, solid" dataDxfId="112"/>
    <tableColumn id="27" xr3:uid="{00000000-0010-0000-0000-00001B000000}" name="source" dataDxfId="111"/>
    <tableColumn id="28" xr3:uid="{00000000-0010-0000-0000-00001C000000}" name="notes" dataDxfId="110"/>
    <tableColumn id="29" xr3:uid="{00000000-0010-0000-0000-00001D000000}" name="function1" dataDxfId="109"/>
    <tableColumn id="30" xr3:uid="{00000000-0010-0000-0000-00001E000000}" name="function2" dataDxfId="108"/>
    <tableColumn id="31" xr3:uid="{00000000-0010-0000-0000-00001F000000}" name="function3" dataDxfId="107"/>
    <tableColumn id="32" xr3:uid="{00000000-0010-0000-0000-000020000000}" name="function4" dataDxfId="106"/>
    <tableColumn id="33" xr3:uid="{00000000-0010-0000-0000-000021000000}" name="function5" dataDxfId="105"/>
    <tableColumn id="49" xr3:uid="{00000000-0010-0000-0000-000031000000}" name="function6" dataDxfId="104"/>
    <tableColumn id="50" xr3:uid="{00000000-0010-0000-0000-000032000000}" name="function7" dataDxfId="103"/>
    <tableColumn id="51" xr3:uid="{00000000-0010-0000-0000-000033000000}" name="function8" dataDxfId="102"/>
    <tableColumn id="52" xr3:uid="{00000000-0010-0000-0000-000034000000}" name="function9" dataDxfId="101"/>
    <tableColumn id="53" xr3:uid="{00000000-0010-0000-0000-000035000000}" name="function10" dataDxfId="100"/>
    <tableColumn id="60" xr3:uid="{00000000-0010-0000-0000-00003C000000}" name="operating temperatures [K]" dataDxfId="99"/>
    <tableColumn id="61" xr3:uid="{00000000-0010-0000-0000-00003D000000}" name="operating pressures [kPa]" dataDxfId="9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autoFilter ref="A2:I26" xr:uid="{C77073E4-2B83-4AD8-AE05-4EC4D0DE16AC}"/>
  <tableColumns count="9">
    <tableColumn id="1" xr3:uid="{5D8E41BB-1EC7-402D-A1D0-2A14A3F85979}" name="PlantName"/>
    <tableColumn id="2" xr3:uid="{0E29FF27-7EBE-4EB1-95FB-0702D59618B7}" name="CarbonContent" dataDxfId="97"/>
    <tableColumn id="3" xr3:uid="{81582CB8-DCC6-447F-B51F-5BB42E745A4B}" name="O2Production" dataDxfId="96"/>
    <tableColumn id="4" xr3:uid="{A0B09B23-8274-4F95-96B2-D6AE5A1236B7}" name="CO2Consumption" dataDxfId="95"/>
    <tableColumn id="5" xr3:uid="{C90762B6-2EF7-445E-B499-0371EE2155FF}" name="WaterUptake" dataDxfId="94"/>
    <tableColumn id="6" xr3:uid="{4AEAABCF-609B-43D7-90FD-4D525BD62DFE}" name="EdibleGrowth" dataDxfId="93"/>
    <tableColumn id="7" xr3:uid="{0EF1B5CA-CDCF-4C0A-9E55-72E07AD4E08D}" name="InedibleGrowth" dataDxfId="92"/>
    <tableColumn id="8" xr3:uid="{7257F7C4-94EB-418D-8FB4-49C8AA533835}" name="EdibleWaterContent" dataDxfId="91"/>
    <tableColumn id="9" xr3:uid="{868A9C28-EF8D-4BC5-8FFB-3B7F5F9062F5}" name="EnergyContent" dataDxfId="9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 displayName="PGC" ref="K2:AI7" totalsRowShown="0" headerRowDxfId="89" headerRowBorderDxfId="88" tableBorderDxfId="87">
  <autoFilter ref="K2:AI7" xr:uid="{0E0F348B-7FA6-4247-90A1-0671EE8E1FB7}"/>
  <tableColumns count="25">
    <tableColumn id="1" xr3:uid="{108C104F-4853-4063-91E1-E95EDC52CE40}" name="PGC CONFIGURATION" dataDxfId="86"/>
    <tableColumn id="2" xr3:uid="{5F16756A-2DB6-41FC-BF2D-4A1E8580204A}" name="Cabbage" dataDxfId="85"/>
    <tableColumn id="3" xr3:uid="{EC716F26-FB38-40FE-A043-8F448DB8E02A}" name="Carrot"/>
    <tableColumn id="4" xr3:uid="{F164286E-5DD9-49AF-9623-3190BB496232}" name="Chard" dataDxfId="84"/>
    <tableColumn id="5" xr3:uid="{422E5E05-E2FD-42E1-B490-11E76E1D31C0}" name="Celery" dataDxfId="83"/>
    <tableColumn id="6" xr3:uid="{8BC1D08E-69F0-4B3A-B1B2-F866928D55E2}" name="Dry Bean"/>
    <tableColumn id="7" xr3:uid="{29222891-94A9-41B2-AFF0-5B503F320442}" name="Green Onion"/>
    <tableColumn id="8" xr3:uid="{D50DC2FE-7B6B-46F5-A4A6-8BDBCD9046F8}" name="Lettuce"/>
    <tableColumn id="9" xr3:uid="{4137238B-3E74-41EC-88B4-326A1470BDBC}" name="Onion" dataDxfId="82"/>
    <tableColumn id="10" xr3:uid="{1835EC36-76BC-4ACC-A968-4C1AF8835CDF}" name="Pea" dataDxfId="81"/>
    <tableColumn id="11" xr3:uid="{85342799-F8E9-4E24-BB8F-264201888128}" name="Peanut" dataDxfId="80"/>
    <tableColumn id="12" xr3:uid="{0F522A45-2551-4BB1-8F11-CE81AFF66992}" name="Pepper" dataDxfId="79"/>
    <tableColumn id="13" xr3:uid="{852B0B85-2E31-4FEC-8855-E0D369A7530A}" name="Radish" dataDxfId="78"/>
    <tableColumn id="14" xr3:uid="{F5097300-4E41-41C7-9A42-B7338651A331}" name="Red Beet" dataDxfId="77"/>
    <tableColumn id="15" xr3:uid="{A6A6A753-2723-4647-956F-7D9EDEF37DE6}" name="Rice" dataDxfId="76"/>
    <tableColumn id="16" xr3:uid="{A65F9549-5D1C-41FA-B7F2-7559191A590C}" name="Snap Bean"/>
    <tableColumn id="17" xr3:uid="{FA962142-D217-4CE3-9F0B-3B9FFB2E40F7}" name="Soybean"/>
    <tableColumn id="18" xr3:uid="{8BD3D0F9-A1FE-4B28-B7FB-1B5FA2587930}" name="Spinach"/>
    <tableColumn id="19" xr3:uid="{687130A7-20A6-4445-97BF-2E9689341283}" name="Strawberry" dataDxfId="75"/>
    <tableColumn id="20" xr3:uid="{A91C1703-0193-4CE9-A82C-F9B0F327AC76}" name="Sweet Potato"/>
    <tableColumn id="21" xr3:uid="{9D9F1FA9-1BD0-461D-BFDC-32AE7811715E}" name="Tomato"/>
    <tableColumn id="22" xr3:uid="{C273EF44-B6E8-4BE6-958A-063BA6E84771}" name="Wheat" dataDxfId="74"/>
    <tableColumn id="23" xr3:uid="{F476BA29-6655-44AD-B8F5-E02150D25FFA}" name="White Potato"/>
    <tableColumn id="24" xr3:uid="{6188F175-80AF-40A3-9ACB-898D07EE7628}" name="Chufa"/>
    <tableColumn id="25" xr3:uid="{7FEB79CE-3F86-4EB3-9E17-98280E34B960}" name="Cucumber" dataDxfId="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72" totalsRowDxfId="11"/>
    <tableColumn id="57" xr3:uid="{00000000-0010-0000-0100-000039000000}" name="task" dataDxfId="71" totalsRowDxfId="10">
      <calculatedColumnFormula>IF($A$1=1,AH3,IF($A$1=2,AN3,IF($A$1=3,AT3,IF($A$1=4,AZ3,IF($A$1=5,BF3,IF($A$1=6,BL3))))))</calculatedColumnFormula>
    </tableColumn>
    <tableColumn id="62" xr3:uid="{00000000-0010-0000-0100-00003E000000}" name="Crew" dataDxfId="70" totalsRowDxfId="9">
      <calculatedColumnFormula>Crew_Size</calculatedColumnFormula>
    </tableColumn>
    <tableColumn id="2" xr3:uid="{00000000-0010-0000-0100-000002000000}" name="O2" totalsRowFunction="custom" dataDxfId="69" totalsRowDxfId="8">
      <totalsRowFormula array="1">SUM(schedule_compl[O2]*0.5)</totalsRowFormula>
    </tableColumn>
    <tableColumn id="3" xr3:uid="{00000000-0010-0000-0100-000003000000}" name="CO2" totalsRowFunction="custom" dataDxfId="68" totalsRowDxfId="7">
      <totalsRowFormula array="1">SUM(schedule_compl[CO2]*0.5)</totalsRowFormula>
    </tableColumn>
    <tableColumn id="4" xr3:uid="{00000000-0010-0000-0100-000004000000}" name="urine" totalsRowFunction="custom" dataDxfId="67" totalsRowDxfId="6">
      <totalsRowFormula array="1">SUM(schedule_compl[urine]*0.5)</totalsRowFormula>
    </tableColumn>
    <tableColumn id="5" xr3:uid="{00000000-0010-0000-0100-000005000000}" name="feces" totalsRowFunction="custom" dataDxfId="66" totalsRowDxfId="5">
      <totalsRowFormula array="1">SUM(schedule_compl[feces]*0.5)</totalsRowFormula>
    </tableColumn>
    <tableColumn id="6" xr3:uid="{00000000-0010-0000-0100-000006000000}" name="potable" totalsRowFunction="custom" dataDxfId="65" totalsRowDxfId="4">
      <totalsRowFormula array="1">SUM(schedule_compl[potable]*0.5)</totalsRowFormula>
    </tableColumn>
    <tableColumn id="7" xr3:uid="{00000000-0010-0000-0100-000007000000}" name="hygiene" totalsRowFunction="custom" dataDxfId="64" totalsRowDxfId="3">
      <totalsRowFormula array="1">SUM(schedule_compl[hygiene]*0.5)</totalsRowFormula>
    </tableColumn>
    <tableColumn id="8" xr3:uid="{00000000-0010-0000-0100-000008000000}" name="food" totalsRowFunction="custom" dataDxfId="63" totalsRowDxfId="2">
      <totalsRowFormula array="1">SUM(schedule_compl[food]*0.5)</totalsRowFormula>
    </tableColumn>
    <tableColumn id="9" xr3:uid="{00000000-0010-0000-0100-000009000000}" name="sweat" totalsRowFunction="custom" dataDxfId="62" totalsRowDxfId="1">
      <totalsRowFormula array="1">SUM(schedule_compl[sweat]*0.5)</totalsRowFormula>
    </tableColumn>
    <tableColumn id="10" xr3:uid="{00000000-0010-0000-0100-00000A000000}" name="heat" totalsRowFunction="custom" dataDxfId="61" totalsRowDxfId="0">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60" dataDxfId="59">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58"/>
    <tableColumn id="3" xr3:uid="{00000000-0010-0000-0200-000003000000}" name="O2 Consumption" dataDxfId="57"/>
    <tableColumn id="4" xr3:uid="{00000000-0010-0000-0200-000004000000}" name="CO2 Production" dataDxfId="56"/>
    <tableColumn id="5" xr3:uid="{00000000-0010-0000-0200-000005000000}" name="Urine Water Production" dataDxfId="55"/>
    <tableColumn id="6" xr3:uid="{00000000-0010-0000-0200-000006000000}" name="Feces Production" dataDxfId="54"/>
    <tableColumn id="7" xr3:uid="{00000000-0010-0000-0200-000007000000}" name="Potable Water Consumption" dataDxfId="53"/>
    <tableColumn id="8" xr3:uid="{00000000-0010-0000-0200-000008000000}" name="Hygiene Water Consumption" dataDxfId="52"/>
    <tableColumn id="9" xr3:uid="{00000000-0010-0000-0200-000009000000}" name="Food Consumption" dataDxfId="51"/>
    <tableColumn id="17" xr3:uid="{00000000-0010-0000-0200-000011000000}" name="Water Content in Food"/>
    <tableColumn id="10" xr3:uid="{00000000-0010-0000-0200-00000A000000}" name="Sweat/Water Vapor Production" dataDxfId="50"/>
    <tableColumn id="11" xr3:uid="{00000000-0010-0000-0200-00000B000000}" name="Heat Load" dataDxfId="49"/>
    <tableColumn id="12" xr3:uid="{00000000-0010-0000-0200-00000C000000}" name="Metabolic Water" dataDxfId="48"/>
    <tableColumn id="13" xr3:uid="{00000000-0010-0000-0200-00000D000000}" name="Urine Solid Waste Production " dataDxfId="47"/>
    <tableColumn id="16" xr3:uid="{00000000-0010-0000-0200-000010000000}" name="Feces Solid Waste Production"/>
    <tableColumn id="14" xr3:uid="{00000000-0010-0000-0200-00000E000000}" name="Hygiene Solid Waste Production " dataDxfId="46"/>
    <tableColumn id="15" xr3:uid="{00000000-0010-0000-0200-00000F000000}" name="Sweat/Water Vapor Solid Wastes Production" dataDxfId="4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44" dataDxfId="43">
  <autoFilter ref="A1:D80" xr:uid="{00000000-0009-0000-0100-000004000000}"/>
  <tableColumns count="4">
    <tableColumn id="1" xr3:uid="{00000000-0010-0000-0300-000001000000}" name="number" dataDxfId="42"/>
    <tableColumn id="2" xr3:uid="{00000000-0010-0000-0300-000002000000}" name="title" dataDxfId="41"/>
    <tableColumn id="3" xr3:uid="{00000000-0010-0000-0300-000003000000}" name="author" dataDxfId="40"/>
    <tableColumn id="4" xr3:uid="{00000000-0010-0000-0300-000004000000}" name="year/version" dataDxfId="39"/>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2" dT="2026-05-14T20:12:25.55" personId="{E22D2BC0-B27D-463B-8B71-D3A993CAA0C4}" id="{9E993989-5448-43F2-A33D-AF867BA7878B}">
    <text>Per syst prop</text>
  </threadedComment>
  <threadedComment ref="F25" dT="2026-05-14T20:12:37.26" personId="{E22D2BC0-B27D-463B-8B71-D3A993CAA0C4}" id="{9A4C482B-3248-4D92-BBAA-08CD5CD66931}">
    <text xml:space="preserve">Per mca
</text>
  </threadedComment>
  <threadedComment ref="J31" dT="2026-05-14T20:12:02.35" personId="{E22D2BC0-B27D-463B-8B71-D3A993CAA0C4}" id="{92477A97-DBC4-4BF6-89FC-9A79C2C6EA0D}">
    <text xml:space="preserve">Per syst prop
</text>
  </threadedComment>
</ThreadedComments>
</file>

<file path=xl/threadedComments/threadedComment2.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abSelected="1" topLeftCell="A7" zoomScale="70" zoomScaleNormal="70" workbookViewId="0">
      <selection activeCell="M10" sqref="M10"/>
    </sheetView>
  </sheetViews>
  <sheetFormatPr defaultColWidth="11.5703125" defaultRowHeight="15" x14ac:dyDescent="0.25"/>
  <cols>
    <col min="1" max="1" width="19.42578125" customWidth="1"/>
    <col min="2" max="2" width="14.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4.42578125" customWidth="1"/>
    <col min="11" max="11" width="7.5703125" customWidth="1"/>
    <col min="12" max="12" width="17.42578125" customWidth="1"/>
    <col min="13" max="13" width="57" customWidth="1"/>
    <col min="14" max="21" width="11.5703125" customWidth="1"/>
  </cols>
  <sheetData>
    <row r="1" spans="1:19" ht="26.25" x14ac:dyDescent="0.4">
      <c r="A1" s="35" t="s">
        <v>766</v>
      </c>
      <c r="B1" s="36"/>
      <c r="C1" s="36"/>
      <c r="D1" s="36"/>
      <c r="E1" s="36"/>
      <c r="F1" s="36"/>
      <c r="G1" s="36"/>
      <c r="H1" s="36"/>
      <c r="I1" s="36"/>
      <c r="J1" s="36"/>
      <c r="K1" s="36"/>
      <c r="L1" s="36"/>
      <c r="M1" s="36"/>
      <c r="N1" s="36"/>
      <c r="O1" s="36"/>
      <c r="P1" s="36"/>
      <c r="Q1" s="36"/>
      <c r="R1" s="36"/>
      <c r="S1" s="36"/>
    </row>
    <row r="2" spans="1:19" x14ac:dyDescent="0.25">
      <c r="A2" s="36"/>
      <c r="B2" s="36"/>
      <c r="C2" s="36"/>
      <c r="D2" s="36"/>
      <c r="E2" s="36"/>
      <c r="F2" s="36"/>
      <c r="G2" s="36"/>
      <c r="H2" s="36"/>
      <c r="I2" s="36"/>
      <c r="J2" s="36"/>
      <c r="K2" s="36"/>
      <c r="L2" s="36"/>
      <c r="M2" s="36"/>
      <c r="N2" s="36"/>
      <c r="O2" s="36"/>
      <c r="P2" s="36"/>
      <c r="Q2" s="36"/>
      <c r="R2" s="36"/>
      <c r="S2" s="36"/>
    </row>
    <row r="3" spans="1:19" ht="15.75" x14ac:dyDescent="0.25">
      <c r="A3" s="37" t="s">
        <v>792</v>
      </c>
      <c r="B3" s="36"/>
      <c r="C3" s="36"/>
      <c r="D3" s="36"/>
      <c r="E3" s="36"/>
      <c r="F3" s="36"/>
      <c r="G3" s="36"/>
      <c r="H3" s="36"/>
      <c r="I3" s="36"/>
      <c r="J3" s="36"/>
      <c r="K3" s="36"/>
      <c r="L3" s="36"/>
      <c r="M3" s="36"/>
      <c r="N3" s="36"/>
      <c r="O3" s="36"/>
      <c r="P3" s="36"/>
      <c r="Q3" s="36"/>
      <c r="R3" s="36"/>
      <c r="S3" s="36"/>
    </row>
    <row r="4" spans="1:19" x14ac:dyDescent="0.25">
      <c r="A4" s="36"/>
      <c r="B4" s="36"/>
      <c r="C4" s="36"/>
      <c r="D4" s="36"/>
      <c r="E4" s="36"/>
      <c r="F4" s="36"/>
      <c r="G4" s="36"/>
      <c r="H4" s="36"/>
      <c r="I4" s="36"/>
      <c r="J4" s="36"/>
      <c r="K4" s="36"/>
      <c r="L4" s="36"/>
      <c r="M4" s="36"/>
      <c r="N4" s="36"/>
      <c r="O4" s="36"/>
      <c r="P4" s="36"/>
      <c r="Q4" s="36"/>
      <c r="R4" s="36"/>
      <c r="S4" s="36"/>
    </row>
    <row r="5" spans="1:19" ht="105" customHeight="1" x14ac:dyDescent="0.25">
      <c r="A5" s="36"/>
      <c r="B5" s="36"/>
      <c r="C5" s="36"/>
      <c r="D5" s="36"/>
      <c r="E5" s="36"/>
      <c r="F5" s="36"/>
      <c r="G5" s="36"/>
      <c r="H5" s="36"/>
      <c r="I5" s="36"/>
      <c r="J5" s="36"/>
      <c r="K5" s="36"/>
      <c r="L5" s="36"/>
      <c r="M5" s="36"/>
      <c r="N5" s="36"/>
      <c r="O5" s="36"/>
      <c r="P5" s="36"/>
      <c r="Q5" s="36"/>
      <c r="R5" s="36"/>
      <c r="S5" s="36"/>
    </row>
    <row r="6" spans="1:19" ht="18.75" x14ac:dyDescent="0.3">
      <c r="A6" s="78"/>
      <c r="B6" s="36"/>
      <c r="C6" s="36"/>
      <c r="D6" s="78"/>
      <c r="E6" s="36"/>
      <c r="F6" s="36"/>
      <c r="G6" s="36"/>
      <c r="H6" s="36"/>
      <c r="I6" s="36"/>
      <c r="J6" s="36"/>
      <c r="K6" s="36"/>
      <c r="L6" s="36"/>
      <c r="M6" s="36"/>
      <c r="N6" s="78"/>
      <c r="O6" s="36"/>
      <c r="P6" s="36"/>
      <c r="Q6" s="36"/>
      <c r="R6" s="36"/>
      <c r="S6" s="36"/>
    </row>
    <row r="7" spans="1:19" ht="29.1" customHeight="1" x14ac:dyDescent="0.25">
      <c r="A7" s="782" t="s">
        <v>768</v>
      </c>
      <c r="B7" s="783"/>
      <c r="C7" s="784"/>
      <c r="D7" s="74" t="s">
        <v>769</v>
      </c>
      <c r="E7" s="32"/>
      <c r="F7" s="32"/>
      <c r="G7" s="32"/>
      <c r="H7" s="32"/>
      <c r="I7" s="32"/>
      <c r="J7" s="32"/>
      <c r="K7" s="32"/>
      <c r="L7" s="32"/>
      <c r="M7" s="33"/>
      <c r="N7" s="32"/>
      <c r="O7" s="32"/>
      <c r="P7" s="32"/>
      <c r="Q7" s="36"/>
      <c r="R7" s="36"/>
      <c r="S7" s="36"/>
    </row>
    <row r="8" spans="1:19" ht="15.75" x14ac:dyDescent="0.25">
      <c r="A8" s="785" t="s">
        <v>773</v>
      </c>
      <c r="B8" s="786"/>
      <c r="C8" s="787"/>
      <c r="D8" s="33" t="s">
        <v>770</v>
      </c>
      <c r="E8" s="32"/>
      <c r="F8" s="32"/>
      <c r="G8" s="33" t="s">
        <v>771</v>
      </c>
      <c r="H8" s="32"/>
      <c r="I8" s="32"/>
      <c r="J8" s="33" t="s">
        <v>772</v>
      </c>
      <c r="K8" s="32"/>
      <c r="L8" s="32"/>
      <c r="M8" s="33" t="s">
        <v>1175</v>
      </c>
      <c r="N8" s="33"/>
      <c r="O8" s="32"/>
      <c r="P8" s="32"/>
      <c r="Q8" s="36"/>
      <c r="R8" s="36"/>
      <c r="S8" s="36"/>
    </row>
    <row r="9" spans="1:19" x14ac:dyDescent="0.25">
      <c r="A9" s="788"/>
      <c r="B9" s="786"/>
      <c r="C9" s="787"/>
      <c r="D9" s="32"/>
      <c r="E9" s="32"/>
      <c r="F9" s="32"/>
      <c r="G9" s="32"/>
      <c r="H9" s="32"/>
      <c r="I9" s="32"/>
      <c r="J9" s="32"/>
      <c r="K9" s="32"/>
      <c r="L9" s="32"/>
      <c r="M9" s="32"/>
      <c r="N9" s="32"/>
      <c r="O9" s="32"/>
      <c r="P9" s="32"/>
      <c r="Q9" s="36"/>
      <c r="R9" s="36"/>
      <c r="S9" s="36"/>
    </row>
    <row r="10" spans="1:19" x14ac:dyDescent="0.25">
      <c r="A10" s="857" t="s">
        <v>774</v>
      </c>
      <c r="B10" s="858">
        <v>6</v>
      </c>
      <c r="C10" s="857"/>
      <c r="D10" s="32" t="s">
        <v>777</v>
      </c>
      <c r="E10" s="106">
        <v>1</v>
      </c>
      <c r="F10" s="32" t="s">
        <v>989</v>
      </c>
      <c r="G10" s="32"/>
      <c r="H10" s="32"/>
      <c r="I10" s="32"/>
      <c r="J10" s="32" t="s">
        <v>777</v>
      </c>
      <c r="K10" s="110"/>
      <c r="L10" s="32" t="s">
        <v>785</v>
      </c>
      <c r="M10" s="109" t="s">
        <v>952</v>
      </c>
      <c r="N10" s="32"/>
      <c r="O10" s="48"/>
      <c r="P10" s="32"/>
      <c r="Q10" s="36"/>
      <c r="R10" s="36"/>
      <c r="S10" s="36"/>
    </row>
    <row r="11" spans="1:19" ht="17.25" x14ac:dyDescent="0.25">
      <c r="A11" s="857" t="s">
        <v>775</v>
      </c>
      <c r="B11" s="858">
        <v>400</v>
      </c>
      <c r="C11" s="859" t="s">
        <v>767</v>
      </c>
      <c r="D11" s="32" t="s">
        <v>778</v>
      </c>
      <c r="E11" s="106">
        <v>1</v>
      </c>
      <c r="F11" s="32" t="s">
        <v>989</v>
      </c>
      <c r="G11" s="32"/>
      <c r="H11" s="32"/>
      <c r="I11" s="32"/>
      <c r="J11" s="32" t="s">
        <v>778</v>
      </c>
      <c r="K11" s="111"/>
      <c r="L11" s="32" t="s">
        <v>786</v>
      </c>
      <c r="M11" s="32"/>
      <c r="N11" s="32"/>
      <c r="O11" s="48"/>
      <c r="P11" s="32"/>
      <c r="Q11" s="36"/>
      <c r="R11" s="36"/>
      <c r="S11" s="36"/>
    </row>
    <row r="12" spans="1:19" x14ac:dyDescent="0.25">
      <c r="A12" s="788" t="s">
        <v>776</v>
      </c>
      <c r="B12" s="105">
        <v>1</v>
      </c>
      <c r="C12" s="787"/>
      <c r="D12" s="32" t="s">
        <v>779</v>
      </c>
      <c r="E12" s="106">
        <v>1</v>
      </c>
      <c r="F12" s="32" t="s">
        <v>989</v>
      </c>
      <c r="G12" s="32"/>
      <c r="H12" s="32"/>
      <c r="I12" s="32"/>
      <c r="J12" s="32" t="s">
        <v>779</v>
      </c>
      <c r="K12" s="111"/>
      <c r="L12" s="32" t="s">
        <v>787</v>
      </c>
      <c r="M12" s="68" t="s">
        <v>1246</v>
      </c>
      <c r="N12" s="32"/>
      <c r="O12" s="48"/>
      <c r="P12" s="32"/>
      <c r="Q12" s="36"/>
      <c r="R12" s="36"/>
      <c r="S12" s="36"/>
    </row>
    <row r="13" spans="1:19" ht="17.25" x14ac:dyDescent="0.25">
      <c r="A13" s="788" t="s">
        <v>816</v>
      </c>
      <c r="B13" s="105">
        <v>125</v>
      </c>
      <c r="C13" s="787" t="s">
        <v>786</v>
      </c>
      <c r="D13" s="32" t="s">
        <v>780</v>
      </c>
      <c r="E13" s="106">
        <v>1</v>
      </c>
      <c r="F13" s="32" t="s">
        <v>989</v>
      </c>
      <c r="G13" s="32"/>
      <c r="H13" s="32"/>
      <c r="I13" s="32"/>
      <c r="J13" s="32" t="s">
        <v>780</v>
      </c>
      <c r="K13" s="111"/>
      <c r="L13" s="32" t="s">
        <v>787</v>
      </c>
      <c r="M13" s="49"/>
      <c r="N13" s="32"/>
      <c r="O13" s="48"/>
      <c r="P13" s="32"/>
      <c r="Q13" s="36"/>
      <c r="R13" s="36"/>
      <c r="S13" s="36"/>
    </row>
    <row r="14" spans="1:19" x14ac:dyDescent="0.25">
      <c r="A14" s="788" t="s">
        <v>1182</v>
      </c>
      <c r="B14" s="105">
        <v>7</v>
      </c>
      <c r="C14" s="787"/>
      <c r="D14" s="32" t="s">
        <v>781</v>
      </c>
      <c r="E14" s="106">
        <v>1</v>
      </c>
      <c r="F14" s="32" t="s">
        <v>989</v>
      </c>
      <c r="G14" s="32"/>
      <c r="H14" s="32"/>
      <c r="I14" s="32"/>
      <c r="J14" s="32" t="s">
        <v>781</v>
      </c>
      <c r="K14" s="111"/>
      <c r="L14" s="32" t="s">
        <v>788</v>
      </c>
      <c r="M14" s="32"/>
      <c r="N14" s="32"/>
      <c r="O14" s="48"/>
      <c r="P14" s="32"/>
      <c r="Q14" s="36"/>
      <c r="R14" s="36"/>
      <c r="S14" s="36"/>
    </row>
    <row r="15" spans="1:19" x14ac:dyDescent="0.25">
      <c r="A15" s="788" t="s">
        <v>1164</v>
      </c>
      <c r="B15" s="789"/>
      <c r="C15" s="787" t="s">
        <v>1165</v>
      </c>
      <c r="D15" s="32" t="s">
        <v>782</v>
      </c>
      <c r="E15" s="106">
        <v>1</v>
      </c>
      <c r="F15" s="32" t="s">
        <v>989</v>
      </c>
      <c r="G15" s="32" t="s">
        <v>782</v>
      </c>
      <c r="H15" s="107"/>
      <c r="I15" s="32" t="s">
        <v>989</v>
      </c>
      <c r="J15" s="32"/>
      <c r="K15" s="32"/>
      <c r="L15" s="32"/>
      <c r="M15" s="32"/>
      <c r="N15" s="32"/>
      <c r="O15" s="48"/>
      <c r="P15" s="32"/>
      <c r="Q15" s="36"/>
      <c r="R15" s="36"/>
      <c r="S15" s="36"/>
    </row>
    <row r="16" spans="1:19" x14ac:dyDescent="0.25">
      <c r="A16" s="786"/>
      <c r="B16" s="786"/>
      <c r="C16" s="786"/>
      <c r="D16" s="32" t="s">
        <v>783</v>
      </c>
      <c r="E16" s="106">
        <v>1</v>
      </c>
      <c r="F16" s="32" t="s">
        <v>989</v>
      </c>
      <c r="G16" s="32" t="s">
        <v>783</v>
      </c>
      <c r="H16" s="108">
        <v>3</v>
      </c>
      <c r="I16" s="59"/>
      <c r="J16" s="32"/>
      <c r="K16" s="32"/>
      <c r="L16" s="32"/>
      <c r="M16" s="32"/>
      <c r="N16" s="32"/>
      <c r="O16" s="32"/>
      <c r="P16" s="32"/>
      <c r="Q16" s="36"/>
      <c r="R16" s="36"/>
      <c r="S16" s="36"/>
    </row>
    <row r="17" spans="1:19" x14ac:dyDescent="0.25">
      <c r="A17" s="857" t="s">
        <v>2191</v>
      </c>
      <c r="B17" s="860" t="s">
        <v>2193</v>
      </c>
      <c r="C17" s="857"/>
      <c r="D17" s="32"/>
      <c r="E17" s="32"/>
      <c r="F17" s="32"/>
      <c r="G17" s="32"/>
      <c r="H17" s="32"/>
      <c r="I17" s="32"/>
      <c r="J17" s="32"/>
      <c r="K17" s="32"/>
      <c r="L17" s="32"/>
      <c r="M17" s="32"/>
      <c r="N17" s="32"/>
      <c r="O17" s="32"/>
      <c r="P17" s="32"/>
      <c r="Q17" s="36"/>
      <c r="R17" s="36"/>
      <c r="S17" s="36"/>
    </row>
    <row r="18" spans="1:19" x14ac:dyDescent="0.25">
      <c r="A18" s="788"/>
      <c r="B18" s="786"/>
      <c r="C18" s="787"/>
      <c r="D18" s="32"/>
      <c r="E18" s="32"/>
      <c r="F18" s="32"/>
      <c r="G18" s="32"/>
      <c r="H18" s="32"/>
      <c r="I18" s="32"/>
      <c r="J18" s="32"/>
      <c r="K18" s="32"/>
      <c r="L18" s="32"/>
      <c r="M18" s="32"/>
      <c r="N18" s="32"/>
      <c r="O18" s="32"/>
      <c r="P18" s="32"/>
      <c r="Q18" s="36"/>
      <c r="R18" s="36"/>
      <c r="S18" s="36"/>
    </row>
    <row r="19" spans="1:19" ht="15.75" x14ac:dyDescent="0.25">
      <c r="A19" s="856" t="s">
        <v>2190</v>
      </c>
      <c r="B19" s="786"/>
      <c r="C19" s="786"/>
      <c r="D19" s="32"/>
      <c r="E19" s="32"/>
      <c r="F19" s="32"/>
      <c r="G19" s="32"/>
      <c r="H19" s="32"/>
      <c r="I19" s="32"/>
      <c r="J19" s="32"/>
      <c r="K19" s="32"/>
      <c r="L19" s="32"/>
      <c r="M19" s="32"/>
      <c r="N19" s="32"/>
      <c r="O19" s="32"/>
      <c r="P19" s="32"/>
      <c r="Q19" s="36"/>
      <c r="R19" s="36"/>
      <c r="S19" s="36"/>
    </row>
    <row r="20" spans="1:19" ht="18.600000000000001" customHeight="1" x14ac:dyDescent="0.25">
      <c r="A20" s="786" t="s">
        <v>1259</v>
      </c>
      <c r="B20" s="106">
        <v>7.3</v>
      </c>
      <c r="C20" s="786" t="s">
        <v>789</v>
      </c>
      <c r="D20" s="75" t="s">
        <v>990</v>
      </c>
      <c r="E20" s="56"/>
      <c r="F20" s="56"/>
      <c r="G20" s="56"/>
      <c r="H20" s="56"/>
      <c r="I20" s="56"/>
      <c r="J20" s="75"/>
      <c r="K20" s="76" t="s">
        <v>1192</v>
      </c>
      <c r="L20" s="60"/>
      <c r="M20" s="60"/>
      <c r="N20" s="60"/>
      <c r="O20" s="60"/>
      <c r="P20" s="60"/>
      <c r="Q20" s="36"/>
      <c r="R20" s="36"/>
      <c r="S20" s="36"/>
    </row>
    <row r="21" spans="1:19" ht="15" customHeight="1" x14ac:dyDescent="0.25">
      <c r="A21" s="786" t="s">
        <v>778</v>
      </c>
      <c r="B21" s="106">
        <v>215.5</v>
      </c>
      <c r="C21" s="786" t="s">
        <v>790</v>
      </c>
      <c r="D21" s="56"/>
      <c r="E21" s="56"/>
      <c r="F21" s="56"/>
      <c r="G21" s="56"/>
      <c r="H21" s="56"/>
      <c r="I21" s="56"/>
      <c r="J21" s="56"/>
      <c r="K21" s="60"/>
      <c r="L21" s="60"/>
      <c r="M21" s="60"/>
      <c r="N21" s="60"/>
      <c r="O21" s="60"/>
      <c r="P21" s="60"/>
      <c r="Q21" s="36"/>
      <c r="R21" s="36"/>
      <c r="S21" s="36"/>
    </row>
    <row r="22" spans="1:19" x14ac:dyDescent="0.25">
      <c r="A22" s="786" t="s">
        <v>779</v>
      </c>
      <c r="B22" s="106">
        <v>87</v>
      </c>
      <c r="C22" s="786" t="s">
        <v>791</v>
      </c>
      <c r="D22" s="56" t="s">
        <v>960</v>
      </c>
      <c r="E22" s="56"/>
      <c r="F22" s="112" t="s">
        <v>35</v>
      </c>
      <c r="G22" s="56"/>
      <c r="H22" s="56"/>
      <c r="I22" s="105">
        <v>0</v>
      </c>
      <c r="J22" s="56" t="s">
        <v>989</v>
      </c>
      <c r="K22" s="60" t="s">
        <v>1193</v>
      </c>
      <c r="L22" s="60"/>
      <c r="M22" s="60"/>
      <c r="N22" s="60"/>
      <c r="O22" s="60"/>
      <c r="P22" s="60"/>
      <c r="Q22" s="36"/>
      <c r="R22" s="36"/>
      <c r="S22" s="36"/>
    </row>
    <row r="23" spans="1:19" x14ac:dyDescent="0.25">
      <c r="A23" s="786" t="s">
        <v>780</v>
      </c>
      <c r="B23" s="106">
        <v>146</v>
      </c>
      <c r="C23" s="786" t="s">
        <v>791</v>
      </c>
      <c r="D23" s="56"/>
      <c r="E23" s="56"/>
      <c r="F23" s="56"/>
      <c r="G23" s="56"/>
      <c r="H23" s="56"/>
      <c r="I23" s="56"/>
      <c r="J23" s="56"/>
      <c r="K23" s="60"/>
      <c r="L23" s="60"/>
      <c r="M23" s="60"/>
      <c r="N23" s="60"/>
      <c r="O23" s="60"/>
      <c r="P23" s="60"/>
      <c r="Q23" s="36"/>
      <c r="R23" s="36"/>
      <c r="S23" s="36"/>
    </row>
    <row r="24" spans="1:19" x14ac:dyDescent="0.25">
      <c r="A24" s="786" t="s">
        <v>784</v>
      </c>
      <c r="B24" s="106">
        <v>0.46500000000000002</v>
      </c>
      <c r="C24" s="786" t="s">
        <v>1251</v>
      </c>
      <c r="D24" s="56"/>
      <c r="E24" s="56"/>
      <c r="F24" s="112" t="s">
        <v>1230</v>
      </c>
      <c r="G24" s="56"/>
      <c r="H24" s="56"/>
      <c r="I24" s="56"/>
      <c r="J24" s="56"/>
      <c r="K24" s="60"/>
      <c r="L24" s="60"/>
      <c r="M24" s="60"/>
      <c r="N24" s="60"/>
      <c r="O24" s="60"/>
      <c r="P24" s="60"/>
      <c r="Q24" s="36"/>
      <c r="R24" s="36"/>
      <c r="S24" s="36"/>
    </row>
    <row r="25" spans="1:19" x14ac:dyDescent="0.25">
      <c r="A25" s="786"/>
      <c r="B25" s="786"/>
      <c r="C25" s="786"/>
      <c r="D25" s="56"/>
      <c r="E25" s="56"/>
      <c r="F25" s="56"/>
      <c r="G25" s="56"/>
      <c r="H25" s="56"/>
      <c r="I25" s="56"/>
      <c r="J25" s="56"/>
      <c r="K25" s="60"/>
      <c r="L25" s="60"/>
      <c r="M25" s="60"/>
      <c r="N25" s="60"/>
      <c r="O25" s="60"/>
      <c r="P25" s="60"/>
      <c r="Q25" s="36"/>
      <c r="R25" s="36"/>
      <c r="S25" s="36"/>
    </row>
    <row r="26" spans="1:19" x14ac:dyDescent="0.25">
      <c r="A26" s="786"/>
      <c r="B26" s="786"/>
      <c r="C26" s="786"/>
      <c r="D26" s="56"/>
      <c r="E26" s="56"/>
      <c r="F26" s="56"/>
      <c r="G26" s="56"/>
      <c r="H26" s="56"/>
      <c r="I26" s="56"/>
      <c r="J26" s="56"/>
      <c r="K26" s="60"/>
      <c r="L26" s="60"/>
      <c r="M26" s="60"/>
      <c r="N26" s="60"/>
      <c r="O26" s="60"/>
      <c r="P26" s="60"/>
      <c r="Q26" s="36"/>
      <c r="R26" s="36"/>
      <c r="S26" s="36"/>
    </row>
    <row r="27" spans="1:19" x14ac:dyDescent="0.25">
      <c r="D27" s="56"/>
      <c r="E27" s="56"/>
      <c r="F27" s="56"/>
      <c r="G27" s="56"/>
      <c r="H27" s="56"/>
      <c r="I27" s="56"/>
      <c r="J27" s="56"/>
      <c r="K27" s="60"/>
      <c r="L27" s="60"/>
      <c r="M27" s="60"/>
      <c r="N27" s="60"/>
      <c r="O27" s="60"/>
      <c r="P27" s="60"/>
      <c r="Q27" s="36"/>
      <c r="R27" s="36"/>
      <c r="S27" s="36"/>
    </row>
    <row r="28" spans="1:19" x14ac:dyDescent="0.25">
      <c r="D28" s="56"/>
      <c r="E28" s="56"/>
      <c r="F28" s="306"/>
      <c r="G28" s="56"/>
      <c r="H28" s="56"/>
      <c r="I28" s="56"/>
      <c r="J28" s="56"/>
      <c r="K28" s="60"/>
      <c r="L28" s="60"/>
      <c r="M28" s="60"/>
      <c r="N28" s="60"/>
      <c r="O28" s="60"/>
      <c r="P28" s="60"/>
      <c r="Q28" s="36"/>
      <c r="R28" s="36"/>
      <c r="S28" s="36"/>
    </row>
    <row r="29" spans="1:19" x14ac:dyDescent="0.25">
      <c r="D29" s="56"/>
      <c r="E29" s="56"/>
      <c r="F29" s="306"/>
      <c r="G29" s="56"/>
      <c r="H29" s="56"/>
      <c r="I29" s="56"/>
      <c r="J29" s="56"/>
      <c r="K29" s="60"/>
      <c r="L29" s="60"/>
      <c r="M29" s="60"/>
      <c r="N29" s="60"/>
      <c r="O29" s="60"/>
      <c r="P29" s="60"/>
      <c r="Q29" s="36"/>
      <c r="R29" s="36"/>
      <c r="S29" s="36"/>
    </row>
    <row r="30" spans="1:19" x14ac:dyDescent="0.25">
      <c r="D30" s="56"/>
      <c r="E30" s="56"/>
      <c r="F30" s="306"/>
      <c r="G30" s="56"/>
      <c r="H30" s="56"/>
      <c r="I30" s="56"/>
      <c r="J30" s="56"/>
      <c r="K30" s="60"/>
      <c r="L30" s="60"/>
      <c r="M30" s="60"/>
      <c r="N30" s="60"/>
      <c r="O30" s="60"/>
      <c r="P30" s="60"/>
      <c r="Q30" s="36"/>
      <c r="R30" s="36"/>
      <c r="S30" s="36"/>
    </row>
    <row r="31" spans="1:19" x14ac:dyDescent="0.25">
      <c r="A31" s="34"/>
      <c r="B31" s="34"/>
      <c r="C31" s="34"/>
      <c r="D31" s="56"/>
      <c r="E31" s="56"/>
      <c r="F31" s="112" t="s">
        <v>1214</v>
      </c>
      <c r="G31" s="56"/>
      <c r="H31" s="56"/>
      <c r="I31" s="112">
        <v>3</v>
      </c>
      <c r="J31" s="56" t="s">
        <v>1264</v>
      </c>
      <c r="K31" s="60"/>
      <c r="L31" s="60"/>
      <c r="M31" s="60"/>
      <c r="N31" s="60"/>
      <c r="O31" s="60"/>
      <c r="P31" s="60"/>
      <c r="Q31" s="36"/>
      <c r="R31" s="36"/>
      <c r="S31" s="36"/>
    </row>
    <row r="32" spans="1:19" x14ac:dyDescent="0.25">
      <c r="A32" s="34"/>
      <c r="B32" s="34"/>
      <c r="C32" s="34"/>
      <c r="D32" s="56"/>
      <c r="E32" s="56"/>
      <c r="F32" s="56"/>
      <c r="G32" s="56"/>
      <c r="H32" s="56"/>
      <c r="I32" s="56"/>
      <c r="J32" s="56"/>
      <c r="K32" s="60"/>
      <c r="L32" s="60"/>
      <c r="M32" s="60"/>
      <c r="N32" s="60"/>
      <c r="O32" s="60"/>
      <c r="P32" s="60"/>
      <c r="Q32" s="36"/>
      <c r="R32" s="36"/>
      <c r="S32" s="36"/>
    </row>
    <row r="33" spans="1:19" x14ac:dyDescent="0.25">
      <c r="A33" s="34"/>
      <c r="B33" s="34"/>
      <c r="C33" s="34"/>
      <c r="D33" s="56"/>
      <c r="E33" s="56"/>
      <c r="F33" s="631"/>
      <c r="G33" s="56"/>
      <c r="H33" s="56"/>
      <c r="I33" s="56"/>
      <c r="J33" s="56"/>
      <c r="K33" s="60"/>
      <c r="L33" s="60"/>
      <c r="M33" s="60"/>
      <c r="N33" s="60"/>
      <c r="O33" s="60"/>
      <c r="P33" s="60"/>
      <c r="Q33" s="36"/>
      <c r="R33" s="36"/>
      <c r="S33" s="36"/>
    </row>
    <row r="34" spans="1:19" x14ac:dyDescent="0.25">
      <c r="A34" s="34"/>
      <c r="B34" s="34"/>
      <c r="C34" s="34"/>
      <c r="D34" s="56"/>
      <c r="E34" s="56"/>
      <c r="F34" s="56"/>
      <c r="G34" s="56"/>
      <c r="H34" s="56"/>
      <c r="I34" s="56"/>
      <c r="J34" s="56"/>
      <c r="K34" s="60"/>
      <c r="L34" s="60"/>
      <c r="M34" s="60"/>
      <c r="N34" s="60"/>
      <c r="O34" s="60"/>
      <c r="P34" s="60"/>
      <c r="Q34" s="36"/>
      <c r="R34" s="36"/>
      <c r="S34" s="36"/>
    </row>
    <row r="35" spans="1:19" x14ac:dyDescent="0.25">
      <c r="A35" s="34"/>
      <c r="B35" s="34"/>
      <c r="C35" s="34"/>
      <c r="D35" s="56"/>
      <c r="E35" s="56"/>
      <c r="F35" s="56"/>
      <c r="G35" s="631"/>
      <c r="H35" s="56"/>
      <c r="I35" s="56"/>
      <c r="J35" s="56"/>
      <c r="K35" s="60"/>
      <c r="L35" s="60"/>
      <c r="M35" s="60"/>
      <c r="N35" s="60"/>
      <c r="O35" s="60"/>
      <c r="P35" s="60"/>
      <c r="Q35" s="36"/>
      <c r="R35" s="36"/>
      <c r="S35" s="36"/>
    </row>
    <row r="36" spans="1:19" x14ac:dyDescent="0.25">
      <c r="A36" s="34"/>
      <c r="B36" s="34"/>
      <c r="C36" s="34"/>
      <c r="D36" s="56"/>
      <c r="E36" s="56"/>
      <c r="F36" s="56"/>
      <c r="G36" s="56"/>
      <c r="H36" s="56"/>
      <c r="I36" s="56"/>
      <c r="J36" s="56"/>
      <c r="K36" s="60"/>
      <c r="L36" s="60"/>
      <c r="M36" s="60"/>
      <c r="N36" s="60"/>
      <c r="O36" s="60"/>
      <c r="P36" s="60"/>
      <c r="Q36" s="36"/>
      <c r="R36" s="36"/>
      <c r="S36" s="36"/>
    </row>
    <row r="37" spans="1:19" x14ac:dyDescent="0.25">
      <c r="A37" s="34"/>
      <c r="B37" s="34"/>
      <c r="C37" s="34"/>
      <c r="D37" s="56"/>
      <c r="E37" s="56"/>
      <c r="F37" s="56"/>
      <c r="G37" s="56"/>
      <c r="H37" s="56"/>
      <c r="I37" s="56"/>
      <c r="J37" s="56"/>
      <c r="K37" s="60"/>
      <c r="L37" s="60"/>
      <c r="M37" s="60"/>
      <c r="N37" s="60"/>
      <c r="O37" s="60"/>
      <c r="P37" s="60"/>
      <c r="Q37" s="36"/>
      <c r="R37" s="36"/>
      <c r="S37" s="36"/>
    </row>
    <row r="38" spans="1:19" x14ac:dyDescent="0.25">
      <c r="A38" s="36"/>
      <c r="B38" s="36"/>
      <c r="C38" s="36"/>
      <c r="D38" s="36"/>
      <c r="E38" s="36"/>
      <c r="F38" s="36"/>
      <c r="G38" s="36"/>
      <c r="H38" s="36"/>
      <c r="I38" s="36"/>
      <c r="J38" s="36"/>
      <c r="K38" s="36"/>
      <c r="L38" s="36"/>
      <c r="M38" s="36"/>
      <c r="N38" s="36"/>
      <c r="O38" s="36"/>
      <c r="P38" s="36"/>
      <c r="Q38" s="36"/>
      <c r="R38" s="36"/>
      <c r="S38" s="36"/>
    </row>
    <row r="39" spans="1:19" x14ac:dyDescent="0.25">
      <c r="A39" s="36"/>
      <c r="B39" s="36"/>
      <c r="C39" s="36"/>
      <c r="D39" s="36"/>
      <c r="E39" s="36"/>
      <c r="F39" s="36"/>
      <c r="G39" s="36"/>
      <c r="H39" s="36"/>
      <c r="I39" s="36"/>
      <c r="J39" s="36"/>
      <c r="K39" s="36"/>
      <c r="L39" s="36"/>
      <c r="M39" s="36"/>
      <c r="N39" s="36"/>
      <c r="O39" s="36"/>
      <c r="P39" s="36"/>
      <c r="Q39" s="36"/>
      <c r="R39" s="36"/>
      <c r="S39" s="36"/>
    </row>
    <row r="40" spans="1:19" x14ac:dyDescent="0.25">
      <c r="A40" s="36"/>
      <c r="B40" s="36"/>
      <c r="C40" s="36"/>
      <c r="D40" s="36"/>
      <c r="E40" s="36"/>
      <c r="F40" s="36"/>
      <c r="G40" s="36"/>
      <c r="H40" s="36"/>
      <c r="I40" s="36"/>
      <c r="J40" s="36"/>
      <c r="K40" s="36"/>
      <c r="L40" s="36"/>
      <c r="M40" s="36"/>
      <c r="N40" s="36"/>
      <c r="O40" s="36"/>
      <c r="P40" s="36"/>
      <c r="Q40" s="36"/>
      <c r="R40" s="36"/>
      <c r="S40" s="36"/>
    </row>
    <row r="41" spans="1:19" x14ac:dyDescent="0.25">
      <c r="A41" s="36"/>
      <c r="B41" s="36"/>
      <c r="C41" s="36"/>
      <c r="D41" s="36"/>
      <c r="E41" s="36"/>
      <c r="F41" s="36"/>
      <c r="G41" s="36"/>
      <c r="H41" s="36"/>
      <c r="I41" s="36"/>
      <c r="J41" s="36"/>
      <c r="K41" s="36"/>
      <c r="L41" s="36"/>
      <c r="M41" s="36"/>
      <c r="N41" s="36"/>
      <c r="O41" s="36"/>
      <c r="P41" s="36"/>
      <c r="Q41" s="36"/>
      <c r="R41" s="36"/>
      <c r="S41" s="36"/>
    </row>
    <row r="42" spans="1:19" x14ac:dyDescent="0.25">
      <c r="A42" s="36"/>
      <c r="B42" s="36"/>
      <c r="C42" s="36"/>
      <c r="D42" s="36"/>
      <c r="E42" s="36"/>
      <c r="F42" s="36"/>
      <c r="G42" s="36"/>
      <c r="H42" s="36"/>
      <c r="I42" s="36"/>
      <c r="J42" s="36"/>
      <c r="K42" s="36"/>
      <c r="L42" s="77"/>
      <c r="M42" s="36"/>
      <c r="N42" s="36"/>
      <c r="O42" s="36"/>
      <c r="P42" s="36"/>
      <c r="Q42" s="36"/>
      <c r="R42" s="36"/>
      <c r="S42" s="36"/>
    </row>
    <row r="43" spans="1:19" x14ac:dyDescent="0.25">
      <c r="A43" s="36"/>
      <c r="B43" s="36"/>
      <c r="C43" s="36"/>
      <c r="D43" s="36"/>
      <c r="E43" s="36"/>
      <c r="F43" s="36"/>
      <c r="G43" s="36"/>
      <c r="H43" s="36"/>
      <c r="I43" s="36"/>
      <c r="J43" s="36"/>
      <c r="K43" s="36"/>
      <c r="L43" s="36"/>
      <c r="M43" s="36"/>
      <c r="N43" s="36"/>
      <c r="O43" s="36"/>
      <c r="P43" s="36"/>
      <c r="Q43" s="36"/>
      <c r="R43" s="36"/>
      <c r="S43" s="36"/>
    </row>
    <row r="44" spans="1:19" x14ac:dyDescent="0.25">
      <c r="A44" s="36"/>
      <c r="B44" s="36"/>
      <c r="C44" s="36"/>
      <c r="D44" s="36"/>
      <c r="E44" s="36"/>
      <c r="F44" s="36"/>
      <c r="G44" s="36"/>
      <c r="H44" s="36"/>
      <c r="I44" s="36"/>
      <c r="J44" s="36"/>
      <c r="K44" s="36"/>
      <c r="L44" s="36"/>
      <c r="M44" s="36"/>
      <c r="N44" s="36"/>
      <c r="O44" s="36"/>
      <c r="P44" s="36"/>
      <c r="Q44" s="36"/>
      <c r="R44" s="36"/>
      <c r="S44" s="36"/>
    </row>
    <row r="45" spans="1:19" x14ac:dyDescent="0.25">
      <c r="A45" s="36"/>
      <c r="B45" s="36"/>
      <c r="C45" s="36"/>
      <c r="D45" s="36"/>
      <c r="E45" s="36"/>
      <c r="F45" s="36"/>
      <c r="G45" s="36"/>
      <c r="H45" s="36"/>
      <c r="I45" s="36"/>
      <c r="J45" s="36"/>
      <c r="K45" s="36"/>
      <c r="L45" s="36"/>
      <c r="M45" s="36"/>
      <c r="N45" s="36"/>
      <c r="O45" s="36"/>
      <c r="P45" s="36"/>
      <c r="Q45" s="36"/>
      <c r="R45" s="36"/>
      <c r="S45" s="36"/>
    </row>
    <row r="47" spans="1:19" ht="14.45" customHeight="1" x14ac:dyDescent="0.25">
      <c r="L47" s="38"/>
      <c r="M47" s="38"/>
      <c r="N47" s="6"/>
    </row>
    <row r="89" spans="12:14" ht="15.75" thickBot="1" x14ac:dyDescent="0.3"/>
    <row r="90" spans="12:14" ht="32.25" thickBot="1" x14ac:dyDescent="0.3">
      <c r="L90" s="213" t="s">
        <v>862</v>
      </c>
      <c r="M90" s="214" t="s">
        <v>909</v>
      </c>
      <c r="N90" s="150" t="s">
        <v>863</v>
      </c>
    </row>
    <row r="91" spans="12:14" ht="29.1" customHeight="1" x14ac:dyDescent="0.25">
      <c r="L91" s="162" t="s">
        <v>951</v>
      </c>
      <c r="M91" s="146" t="s">
        <v>880</v>
      </c>
      <c r="N91" s="163" t="s">
        <v>68</v>
      </c>
    </row>
    <row r="92" spans="12:14" ht="60" x14ac:dyDescent="0.25">
      <c r="L92" s="151" t="s">
        <v>896</v>
      </c>
      <c r="M92" s="143" t="s">
        <v>895</v>
      </c>
      <c r="N92" s="152" t="s">
        <v>68</v>
      </c>
    </row>
    <row r="93" spans="12:14" ht="29.1" customHeight="1" x14ac:dyDescent="0.25">
      <c r="L93" s="153" t="s">
        <v>955</v>
      </c>
      <c r="M93" s="144" t="s">
        <v>911</v>
      </c>
      <c r="N93" s="154" t="s">
        <v>68</v>
      </c>
    </row>
    <row r="94" spans="12:14" ht="30" x14ac:dyDescent="0.25">
      <c r="L94" s="155" t="s">
        <v>952</v>
      </c>
      <c r="M94" s="145" t="s">
        <v>879</v>
      </c>
      <c r="N94" s="152" t="s">
        <v>68</v>
      </c>
    </row>
    <row r="95" spans="12:14" ht="45" x14ac:dyDescent="0.25">
      <c r="L95" s="156" t="s">
        <v>950</v>
      </c>
      <c r="M95" s="146" t="s">
        <v>882</v>
      </c>
      <c r="N95" s="154" t="s">
        <v>68</v>
      </c>
    </row>
    <row r="96" spans="12:14" ht="75" x14ac:dyDescent="0.25">
      <c r="L96" s="151" t="s">
        <v>953</v>
      </c>
      <c r="M96" s="143" t="s">
        <v>938</v>
      </c>
      <c r="N96" s="152" t="s">
        <v>68</v>
      </c>
    </row>
    <row r="97" spans="12:14" ht="27" customHeight="1" x14ac:dyDescent="0.25">
      <c r="L97" s="153" t="s">
        <v>948</v>
      </c>
      <c r="M97" s="144" t="s">
        <v>883</v>
      </c>
      <c r="N97" s="154" t="s">
        <v>68</v>
      </c>
    </row>
    <row r="98" spans="12:14" ht="27" customHeight="1" x14ac:dyDescent="0.25">
      <c r="L98" s="157" t="s">
        <v>949</v>
      </c>
      <c r="M98" s="143" t="s">
        <v>884</v>
      </c>
      <c r="N98" s="152" t="s">
        <v>68</v>
      </c>
    </row>
    <row r="99" spans="12:14" ht="45" x14ac:dyDescent="0.25">
      <c r="L99" s="158" t="s">
        <v>864</v>
      </c>
      <c r="M99" s="144" t="s">
        <v>881</v>
      </c>
      <c r="N99" s="154" t="s">
        <v>68</v>
      </c>
    </row>
    <row r="100" spans="12:14" ht="45" x14ac:dyDescent="0.25">
      <c r="L100" s="155" t="s">
        <v>865</v>
      </c>
      <c r="M100" s="143" t="s">
        <v>886</v>
      </c>
      <c r="N100" s="152" t="s">
        <v>68</v>
      </c>
    </row>
    <row r="101" spans="12:14" ht="45" x14ac:dyDescent="0.25">
      <c r="L101" s="158" t="s">
        <v>866</v>
      </c>
      <c r="M101" s="144" t="s">
        <v>885</v>
      </c>
      <c r="N101" s="154" t="s">
        <v>68</v>
      </c>
    </row>
    <row r="102" spans="12:14" ht="45.75" thickBot="1" x14ac:dyDescent="0.3">
      <c r="L102" s="159" t="s">
        <v>867</v>
      </c>
      <c r="M102" s="160" t="s">
        <v>887</v>
      </c>
      <c r="N102" s="161" t="s">
        <v>68</v>
      </c>
    </row>
    <row r="103" spans="12:14" ht="75" x14ac:dyDescent="0.25">
      <c r="L103" s="164" t="s">
        <v>942</v>
      </c>
      <c r="M103" s="165" t="s">
        <v>894</v>
      </c>
      <c r="N103" s="166" t="s">
        <v>128</v>
      </c>
    </row>
    <row r="104" spans="12:14" ht="45" x14ac:dyDescent="0.25">
      <c r="L104" s="167" t="s">
        <v>943</v>
      </c>
      <c r="M104" s="51" t="s">
        <v>899</v>
      </c>
      <c r="N104" s="168" t="s">
        <v>128</v>
      </c>
    </row>
    <row r="105" spans="12:14" ht="30" x14ac:dyDescent="0.25">
      <c r="L105" s="169" t="s">
        <v>888</v>
      </c>
      <c r="M105" s="50" t="s">
        <v>898</v>
      </c>
      <c r="N105" s="170" t="s">
        <v>128</v>
      </c>
    </row>
    <row r="106" spans="12:14" ht="90" x14ac:dyDescent="0.25">
      <c r="L106" s="167" t="s">
        <v>901</v>
      </c>
      <c r="M106" s="51" t="s">
        <v>902</v>
      </c>
      <c r="N106" s="168" t="s">
        <v>128</v>
      </c>
    </row>
    <row r="107" spans="12:14" ht="30" x14ac:dyDescent="0.25">
      <c r="L107" s="171" t="s">
        <v>903</v>
      </c>
      <c r="M107" s="50" t="s">
        <v>904</v>
      </c>
      <c r="N107" s="170" t="s">
        <v>128</v>
      </c>
    </row>
    <row r="108" spans="12:14" ht="45" x14ac:dyDescent="0.25">
      <c r="L108" s="172" t="s">
        <v>889</v>
      </c>
      <c r="M108" s="51" t="s">
        <v>900</v>
      </c>
      <c r="N108" s="168" t="s">
        <v>128</v>
      </c>
    </row>
    <row r="109" spans="12:14" ht="75" x14ac:dyDescent="0.25">
      <c r="L109" s="171" t="s">
        <v>890</v>
      </c>
      <c r="M109" s="50" t="s">
        <v>905</v>
      </c>
      <c r="N109" s="170" t="s">
        <v>128</v>
      </c>
    </row>
    <row r="110" spans="12:14" ht="30" x14ac:dyDescent="0.25">
      <c r="L110" s="172" t="s">
        <v>891</v>
      </c>
      <c r="M110" s="51" t="s">
        <v>906</v>
      </c>
      <c r="N110" s="168" t="s">
        <v>128</v>
      </c>
    </row>
    <row r="111" spans="12:14" ht="30" x14ac:dyDescent="0.25">
      <c r="L111" s="171" t="s">
        <v>860</v>
      </c>
      <c r="M111" s="50" t="s">
        <v>907</v>
      </c>
      <c r="N111" s="170" t="s">
        <v>128</v>
      </c>
    </row>
    <row r="112" spans="12:14" ht="45" x14ac:dyDescent="0.25">
      <c r="L112" s="172" t="s">
        <v>892</v>
      </c>
      <c r="M112" s="51" t="s">
        <v>908</v>
      </c>
      <c r="N112" s="168" t="s">
        <v>128</v>
      </c>
    </row>
    <row r="113" spans="12:14" ht="30" x14ac:dyDescent="0.25">
      <c r="L113" s="171" t="s">
        <v>893</v>
      </c>
      <c r="M113" s="50" t="s">
        <v>910</v>
      </c>
      <c r="N113" s="170" t="s">
        <v>128</v>
      </c>
    </row>
    <row r="114" spans="12:14" ht="45" x14ac:dyDescent="0.25">
      <c r="L114" s="173" t="s">
        <v>868</v>
      </c>
      <c r="M114" s="51" t="s">
        <v>912</v>
      </c>
      <c r="N114" s="168" t="s">
        <v>128</v>
      </c>
    </row>
    <row r="115" spans="12:14" ht="45.75" thickBot="1" x14ac:dyDescent="0.3">
      <c r="L115" s="174" t="s">
        <v>914</v>
      </c>
      <c r="M115" s="175" t="s">
        <v>913</v>
      </c>
      <c r="N115" s="176" t="s">
        <v>128</v>
      </c>
    </row>
    <row r="116" spans="12:14" ht="90" x14ac:dyDescent="0.25">
      <c r="L116" s="177" t="s">
        <v>853</v>
      </c>
      <c r="M116" s="178" t="s">
        <v>992</v>
      </c>
      <c r="N116" s="179" t="s">
        <v>939</v>
      </c>
    </row>
    <row r="117" spans="12:14" x14ac:dyDescent="0.25">
      <c r="L117" s="180" t="s">
        <v>1079</v>
      </c>
      <c r="M117" s="147" t="s">
        <v>1115</v>
      </c>
      <c r="N117" s="181" t="s">
        <v>939</v>
      </c>
    </row>
    <row r="118" spans="12:14" ht="30" x14ac:dyDescent="0.25">
      <c r="L118" s="182" t="s">
        <v>1080</v>
      </c>
      <c r="M118" s="147" t="s">
        <v>1081</v>
      </c>
      <c r="N118" s="181" t="s">
        <v>939</v>
      </c>
    </row>
    <row r="119" spans="12:14" ht="92.25" x14ac:dyDescent="0.25">
      <c r="L119" s="183" t="s">
        <v>944</v>
      </c>
      <c r="M119" s="65" t="s">
        <v>916</v>
      </c>
      <c r="N119" s="184" t="s">
        <v>939</v>
      </c>
    </row>
    <row r="120" spans="12:14" ht="30" x14ac:dyDescent="0.25">
      <c r="L120" s="185" t="s">
        <v>945</v>
      </c>
      <c r="M120" s="147" t="s">
        <v>915</v>
      </c>
      <c r="N120" s="181" t="s">
        <v>939</v>
      </c>
    </row>
    <row r="121" spans="12:14" ht="81.75" x14ac:dyDescent="0.25">
      <c r="L121" s="186" t="s">
        <v>869</v>
      </c>
      <c r="M121" s="147" t="s">
        <v>917</v>
      </c>
      <c r="N121" s="181" t="s">
        <v>939</v>
      </c>
    </row>
    <row r="122" spans="12:14" ht="30" x14ac:dyDescent="0.25">
      <c r="L122" s="187" t="s">
        <v>954</v>
      </c>
      <c r="M122" s="65" t="s">
        <v>915</v>
      </c>
      <c r="N122" s="184" t="s">
        <v>939</v>
      </c>
    </row>
    <row r="123" spans="12:14" ht="60" x14ac:dyDescent="0.25">
      <c r="L123" s="186" t="s">
        <v>861</v>
      </c>
      <c r="M123" s="147" t="s">
        <v>878</v>
      </c>
      <c r="N123" s="181" t="s">
        <v>939</v>
      </c>
    </row>
    <row r="124" spans="12:14" ht="45" x14ac:dyDescent="0.25">
      <c r="L124" s="188" t="s">
        <v>897</v>
      </c>
      <c r="M124" s="65" t="s">
        <v>918</v>
      </c>
      <c r="N124" s="184" t="s">
        <v>939</v>
      </c>
    </row>
    <row r="125" spans="12:14" ht="30" x14ac:dyDescent="0.25">
      <c r="L125" s="186" t="s">
        <v>855</v>
      </c>
      <c r="M125" s="147" t="s">
        <v>919</v>
      </c>
      <c r="N125" s="181" t="s">
        <v>939</v>
      </c>
    </row>
    <row r="126" spans="12:14" ht="30.75" thickBot="1" x14ac:dyDescent="0.3">
      <c r="L126" s="189" t="s">
        <v>854</v>
      </c>
      <c r="M126" s="190" t="s">
        <v>930</v>
      </c>
      <c r="N126" s="191" t="s">
        <v>939</v>
      </c>
    </row>
    <row r="127" spans="12:14" ht="60" x14ac:dyDescent="0.25">
      <c r="L127" s="192" t="s">
        <v>870</v>
      </c>
      <c r="M127" s="193" t="s">
        <v>920</v>
      </c>
      <c r="N127" s="194" t="s">
        <v>940</v>
      </c>
    </row>
    <row r="128" spans="12:14" ht="30" x14ac:dyDescent="0.25">
      <c r="L128" s="195" t="s">
        <v>859</v>
      </c>
      <c r="M128" s="149" t="s">
        <v>921</v>
      </c>
      <c r="N128" s="196" t="s">
        <v>940</v>
      </c>
    </row>
    <row r="129" spans="12:14" ht="135" x14ac:dyDescent="0.25">
      <c r="L129" s="197" t="s">
        <v>871</v>
      </c>
      <c r="M129" s="148" t="s">
        <v>922</v>
      </c>
      <c r="N129" s="198" t="s">
        <v>940</v>
      </c>
    </row>
    <row r="130" spans="12:14" ht="30" x14ac:dyDescent="0.25">
      <c r="L130" s="197" t="s">
        <v>872</v>
      </c>
      <c r="M130" s="148" t="s">
        <v>923</v>
      </c>
      <c r="N130" s="198" t="s">
        <v>940</v>
      </c>
    </row>
    <row r="131" spans="12:14" ht="30" x14ac:dyDescent="0.25">
      <c r="L131" s="197" t="s">
        <v>873</v>
      </c>
      <c r="M131" s="148" t="s">
        <v>924</v>
      </c>
      <c r="N131" s="198" t="s">
        <v>940</v>
      </c>
    </row>
    <row r="132" spans="12:14" ht="30" x14ac:dyDescent="0.25">
      <c r="L132" s="199" t="s">
        <v>874</v>
      </c>
      <c r="M132" s="149" t="s">
        <v>925</v>
      </c>
      <c r="N132" s="196" t="s">
        <v>940</v>
      </c>
    </row>
    <row r="133" spans="12:14" ht="30" x14ac:dyDescent="0.25">
      <c r="L133" s="197" t="s">
        <v>856</v>
      </c>
      <c r="M133" s="148" t="s">
        <v>926</v>
      </c>
      <c r="N133" s="198" t="s">
        <v>940</v>
      </c>
    </row>
    <row r="134" spans="12:14" ht="30" x14ac:dyDescent="0.25">
      <c r="L134" s="199" t="s">
        <v>857</v>
      </c>
      <c r="M134" s="149" t="s">
        <v>927</v>
      </c>
      <c r="N134" s="196" t="s">
        <v>940</v>
      </c>
    </row>
    <row r="135" spans="12:14" ht="30.75" thickBot="1" x14ac:dyDescent="0.3">
      <c r="L135" s="200" t="s">
        <v>858</v>
      </c>
      <c r="M135" s="201" t="s">
        <v>928</v>
      </c>
      <c r="N135" s="202" t="s">
        <v>940</v>
      </c>
    </row>
    <row r="136" spans="12:14" ht="45" x14ac:dyDescent="0.25">
      <c r="L136" s="203" t="s">
        <v>875</v>
      </c>
      <c r="M136" s="204" t="s">
        <v>929</v>
      </c>
      <c r="N136" s="205" t="s">
        <v>941</v>
      </c>
    </row>
    <row r="137" spans="12:14" ht="45" x14ac:dyDescent="0.25">
      <c r="L137" s="206" t="s">
        <v>914</v>
      </c>
      <c r="M137" s="52" t="s">
        <v>931</v>
      </c>
      <c r="N137" s="207" t="s">
        <v>941</v>
      </c>
    </row>
    <row r="138" spans="12:14" ht="45" x14ac:dyDescent="0.25">
      <c r="L138" s="208" t="s">
        <v>876</v>
      </c>
      <c r="M138" s="53" t="s">
        <v>932</v>
      </c>
      <c r="N138" s="209" t="s">
        <v>941</v>
      </c>
    </row>
    <row r="139" spans="12:14" ht="45" x14ac:dyDescent="0.25">
      <c r="L139" s="206" t="s">
        <v>934</v>
      </c>
      <c r="M139" s="52" t="s">
        <v>933</v>
      </c>
      <c r="N139" s="207" t="s">
        <v>941</v>
      </c>
    </row>
    <row r="140" spans="12:14" ht="45" x14ac:dyDescent="0.25">
      <c r="L140" s="208" t="s">
        <v>935</v>
      </c>
      <c r="M140" s="53" t="s">
        <v>936</v>
      </c>
      <c r="N140" s="209" t="s">
        <v>941</v>
      </c>
    </row>
    <row r="141" spans="12:14" ht="45.75" thickBot="1" x14ac:dyDescent="0.3">
      <c r="L141" s="210" t="s">
        <v>877</v>
      </c>
      <c r="M141" s="211" t="s">
        <v>937</v>
      </c>
      <c r="N141" s="212" t="s">
        <v>941</v>
      </c>
    </row>
    <row r="142" spans="12:14" x14ac:dyDescent="0.25">
      <c r="L142" s="61"/>
      <c r="M142" s="216"/>
      <c r="N142" s="215"/>
    </row>
  </sheetData>
  <sheetProtection sheet="1" objects="1" scenarios="1"/>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5"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4"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E3E654-0E5B-41D2-83A6-0FAED2CFC345}">
          <x14:formula1>
            <xm:f>'ECLSS Functions'!$I$3:$I$7</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55"/>
  <sheetViews>
    <sheetView workbookViewId="0">
      <pane ySplit="2" topLeftCell="A3" activePane="bottomLeft" state="frozen"/>
      <selection pane="bottomLeft" activeCell="K3" sqref="K3"/>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85" t="s">
        <v>1071</v>
      </c>
      <c r="B1" s="286" t="s">
        <v>1466</v>
      </c>
      <c r="C1" s="286" t="s">
        <v>1142</v>
      </c>
      <c r="D1" s="286" t="s">
        <v>962</v>
      </c>
      <c r="E1" s="286" t="s">
        <v>1149</v>
      </c>
      <c r="F1" s="286" t="s">
        <v>1143</v>
      </c>
      <c r="G1" s="286" t="s">
        <v>1252</v>
      </c>
      <c r="H1" s="286" t="s">
        <v>1253</v>
      </c>
      <c r="I1" s="286" t="s">
        <v>1446</v>
      </c>
      <c r="J1" s="286" t="s">
        <v>1254</v>
      </c>
      <c r="K1" s="286" t="s">
        <v>1456</v>
      </c>
      <c r="L1" s="286" t="s">
        <v>1455</v>
      </c>
      <c r="M1" s="286" t="s">
        <v>1397</v>
      </c>
      <c r="N1" s="286" t="s">
        <v>1393</v>
      </c>
      <c r="O1" s="287" t="s">
        <v>844</v>
      </c>
      <c r="P1" s="286" t="s">
        <v>1256</v>
      </c>
      <c r="Q1" s="286" t="s">
        <v>1395</v>
      </c>
      <c r="R1" s="286" t="s">
        <v>1454</v>
      </c>
      <c r="S1" s="288" t="s">
        <v>2</v>
      </c>
    </row>
    <row r="2" spans="1:19" ht="15" x14ac:dyDescent="0.25">
      <c r="A2" s="852" t="s">
        <v>1568</v>
      </c>
      <c r="B2" s="853" t="s">
        <v>1467</v>
      </c>
      <c r="C2" s="853" t="s">
        <v>22</v>
      </c>
      <c r="D2" s="853" t="s">
        <v>116</v>
      </c>
      <c r="E2" s="853" t="s">
        <v>34</v>
      </c>
      <c r="F2" s="853" t="s">
        <v>35</v>
      </c>
      <c r="G2" s="853">
        <v>439.89705882352962</v>
      </c>
      <c r="H2" s="853">
        <v>0.56397058823529433</v>
      </c>
      <c r="I2" s="853">
        <v>281.98529411764719</v>
      </c>
      <c r="J2" s="853">
        <v>1203.1372549019611</v>
      </c>
      <c r="K2" s="853">
        <v>156.78000000000003</v>
      </c>
      <c r="L2" s="853">
        <v>0.62712000000000012</v>
      </c>
      <c r="M2" s="853">
        <v>0</v>
      </c>
      <c r="N2" s="853">
        <v>0</v>
      </c>
      <c r="O2" s="853">
        <v>0</v>
      </c>
      <c r="P2" s="853">
        <v>0.05</v>
      </c>
      <c r="Q2" s="853">
        <v>5163.1112573529435</v>
      </c>
      <c r="R2" s="853">
        <v>5163.2809823529433</v>
      </c>
      <c r="S2" s="854">
        <v>7294.328810352943</v>
      </c>
    </row>
    <row r="3" spans="1:19" ht="15" x14ac:dyDescent="0.25">
      <c r="A3" t="s">
        <v>1562</v>
      </c>
      <c r="B3" t="s">
        <v>1275</v>
      </c>
      <c r="C3" t="s">
        <v>66</v>
      </c>
      <c r="D3" t="s">
        <v>131</v>
      </c>
      <c r="E3" t="s">
        <v>24</v>
      </c>
      <c r="F3" t="s">
        <v>35</v>
      </c>
      <c r="G3">
        <v>5166.9704410595632</v>
      </c>
      <c r="H3">
        <v>50.346970956987292</v>
      </c>
      <c r="I3">
        <v>0</v>
      </c>
      <c r="J3">
        <v>0</v>
      </c>
      <c r="K3">
        <v>60</v>
      </c>
      <c r="L3">
        <v>0.24</v>
      </c>
      <c r="M3">
        <v>13924.05426160318</v>
      </c>
      <c r="N3">
        <v>0.97115587549573401</v>
      </c>
      <c r="O3">
        <v>0.99999997013142949</v>
      </c>
      <c r="P3">
        <v>0</v>
      </c>
      <c r="Q3">
        <v>218567.81769042255</v>
      </c>
      <c r="R3">
        <v>218567.81769042255</v>
      </c>
      <c r="S3">
        <v>219383.37369042257</v>
      </c>
    </row>
    <row r="4" spans="1:19" ht="15" x14ac:dyDescent="0.25">
      <c r="A4" t="s">
        <v>1563</v>
      </c>
      <c r="B4" t="s">
        <v>1275</v>
      </c>
      <c r="C4" t="s">
        <v>66</v>
      </c>
      <c r="D4" t="s">
        <v>131</v>
      </c>
      <c r="E4" t="s">
        <v>24</v>
      </c>
      <c r="F4" t="s">
        <v>35</v>
      </c>
      <c r="G4">
        <v>76.473053719124607</v>
      </c>
      <c r="H4">
        <v>0.41906936674476747</v>
      </c>
      <c r="I4">
        <v>0</v>
      </c>
      <c r="J4">
        <v>0</v>
      </c>
      <c r="K4">
        <v>60</v>
      </c>
      <c r="L4">
        <v>0.24</v>
      </c>
      <c r="M4">
        <v>149.61815412724334</v>
      </c>
      <c r="N4">
        <v>0.97115587549573401</v>
      </c>
      <c r="O4">
        <v>0.99999997013142949</v>
      </c>
      <c r="P4">
        <v>0</v>
      </c>
      <c r="Q4">
        <v>2309.7247915730172</v>
      </c>
      <c r="R4">
        <v>2309.7247915730172</v>
      </c>
      <c r="S4">
        <v>3125.2807915730173</v>
      </c>
    </row>
    <row r="5" spans="1:19" ht="15" x14ac:dyDescent="0.25">
      <c r="A5" t="s">
        <v>1564</v>
      </c>
      <c r="B5" t="s">
        <v>1498</v>
      </c>
      <c r="C5" t="s">
        <v>66</v>
      </c>
      <c r="D5" t="s">
        <v>131</v>
      </c>
      <c r="E5" t="s">
        <v>24</v>
      </c>
      <c r="F5" t="s">
        <v>35</v>
      </c>
      <c r="G5">
        <v>6022.2130049695379</v>
      </c>
      <c r="H5">
        <v>11.786032632260758</v>
      </c>
      <c r="I5">
        <v>0</v>
      </c>
      <c r="J5">
        <v>0</v>
      </c>
      <c r="K5">
        <v>60</v>
      </c>
      <c r="L5">
        <v>0.24</v>
      </c>
      <c r="M5">
        <v>13924.05426160318</v>
      </c>
      <c r="N5">
        <v>0.8887528261660087</v>
      </c>
      <c r="O5">
        <v>0.9999926636177382</v>
      </c>
      <c r="P5">
        <v>0</v>
      </c>
      <c r="Q5">
        <v>164148.94828142185</v>
      </c>
      <c r="R5">
        <v>164148.94828142185</v>
      </c>
      <c r="S5">
        <v>164964.50428142186</v>
      </c>
    </row>
    <row r="6" spans="1:19" ht="15" x14ac:dyDescent="0.25">
      <c r="A6" t="s">
        <v>1565</v>
      </c>
      <c r="B6" t="s">
        <v>1498</v>
      </c>
      <c r="C6" t="s">
        <v>66</v>
      </c>
      <c r="D6" t="s">
        <v>131</v>
      </c>
      <c r="E6" t="s">
        <v>24</v>
      </c>
      <c r="F6" t="s">
        <v>35</v>
      </c>
      <c r="G6">
        <v>75.077564858070531</v>
      </c>
      <c r="H6">
        <v>0.19745117415954211</v>
      </c>
      <c r="I6">
        <v>0</v>
      </c>
      <c r="J6">
        <v>0</v>
      </c>
      <c r="K6">
        <v>60</v>
      </c>
      <c r="L6">
        <v>0.24</v>
      </c>
      <c r="M6">
        <v>149.61815412724334</v>
      </c>
      <c r="N6">
        <v>0.8887528261660087</v>
      </c>
      <c r="O6">
        <v>0.9999926636177382</v>
      </c>
      <c r="P6">
        <v>0</v>
      </c>
      <c r="Q6">
        <v>1950.8990632218747</v>
      </c>
      <c r="R6">
        <v>1950.8990632218747</v>
      </c>
      <c r="S6">
        <v>2766.4550632218748</v>
      </c>
    </row>
    <row r="7" spans="1:19" ht="15" x14ac:dyDescent="0.25">
      <c r="A7" t="s">
        <v>1566</v>
      </c>
      <c r="B7" t="s">
        <v>1272</v>
      </c>
      <c r="C7" t="s">
        <v>46</v>
      </c>
      <c r="D7" t="s">
        <v>131</v>
      </c>
      <c r="E7" t="s">
        <v>24</v>
      </c>
      <c r="F7" t="s">
        <v>35</v>
      </c>
      <c r="G7">
        <v>13272.863491890457</v>
      </c>
      <c r="H7">
        <v>8.8387073440062238</v>
      </c>
      <c r="I7">
        <v>0</v>
      </c>
      <c r="J7">
        <v>0</v>
      </c>
      <c r="K7">
        <v>60</v>
      </c>
      <c r="L7">
        <v>0.24</v>
      </c>
      <c r="M7">
        <v>8791.5959999999995</v>
      </c>
      <c r="N7">
        <v>0.8618305705469439</v>
      </c>
      <c r="O7">
        <v>0.99998190913477858</v>
      </c>
      <c r="P7">
        <v>0</v>
      </c>
      <c r="Q7">
        <v>174975.16674902375</v>
      </c>
      <c r="R7">
        <v>174975.16674902375</v>
      </c>
      <c r="S7">
        <v>175790.72274902376</v>
      </c>
    </row>
    <row r="8" spans="1:19" ht="15" x14ac:dyDescent="0.25">
      <c r="A8" t="s">
        <v>1567</v>
      </c>
      <c r="B8" t="s">
        <v>1272</v>
      </c>
      <c r="C8" t="s">
        <v>46</v>
      </c>
      <c r="D8" t="s">
        <v>131</v>
      </c>
      <c r="E8" t="s">
        <v>24</v>
      </c>
      <c r="F8" t="s">
        <v>35</v>
      </c>
      <c r="G8">
        <v>17103.722386483209</v>
      </c>
      <c r="H8">
        <v>11.391077075033758</v>
      </c>
      <c r="I8">
        <v>0</v>
      </c>
      <c r="J8">
        <v>0</v>
      </c>
      <c r="K8">
        <v>60</v>
      </c>
      <c r="L8">
        <v>0.24</v>
      </c>
      <c r="M8">
        <v>0</v>
      </c>
      <c r="N8">
        <v>0.8618305705469439</v>
      </c>
      <c r="O8">
        <v>0.99998190913477858</v>
      </c>
      <c r="P8">
        <v>0</v>
      </c>
      <c r="Q8">
        <v>142777.04632191677</v>
      </c>
      <c r="R8">
        <v>142777.04632191677</v>
      </c>
      <c r="S8">
        <v>143592.60232191678</v>
      </c>
    </row>
    <row r="9" spans="1:19" ht="15" x14ac:dyDescent="0.25">
      <c r="A9" t="s">
        <v>1568</v>
      </c>
      <c r="B9" t="s">
        <v>1467</v>
      </c>
      <c r="C9" t="s">
        <v>22</v>
      </c>
      <c r="D9" t="s">
        <v>116</v>
      </c>
      <c r="E9" t="s">
        <v>34</v>
      </c>
      <c r="F9" t="s">
        <v>35</v>
      </c>
      <c r="G9">
        <v>527.87647058823541</v>
      </c>
      <c r="H9">
        <v>0.67676470588235305</v>
      </c>
      <c r="I9">
        <v>338.38235294117658</v>
      </c>
      <c r="J9">
        <v>1443.7647058823532</v>
      </c>
      <c r="K9">
        <v>156.78000000000003</v>
      </c>
      <c r="L9">
        <v>0.62712000000000012</v>
      </c>
      <c r="M9">
        <v>0</v>
      </c>
      <c r="N9">
        <v>0</v>
      </c>
      <c r="O9">
        <v>0</v>
      </c>
      <c r="P9">
        <v>0.05</v>
      </c>
      <c r="Q9">
        <v>6195.7335088235304</v>
      </c>
      <c r="R9">
        <v>6195.9032338235302</v>
      </c>
      <c r="S9">
        <v>8326.9510618235308</v>
      </c>
    </row>
    <row r="10" spans="1:19" ht="15" x14ac:dyDescent="0.25">
      <c r="A10" t="s">
        <v>1569</v>
      </c>
      <c r="B10" t="s">
        <v>657</v>
      </c>
      <c r="C10" t="s">
        <v>46</v>
      </c>
      <c r="D10" t="s">
        <v>1158</v>
      </c>
      <c r="E10" t="s">
        <v>24</v>
      </c>
      <c r="F10" t="s">
        <v>35</v>
      </c>
      <c r="G10">
        <v>171.27156816753924</v>
      </c>
      <c r="H10">
        <v>0.47260366492146588</v>
      </c>
      <c r="I10">
        <v>1817.9487643979055</v>
      </c>
      <c r="J10">
        <v>2185.3193465968579</v>
      </c>
      <c r="K10">
        <v>43.709931459424084</v>
      </c>
      <c r="L10">
        <v>0.17483972583769633</v>
      </c>
      <c r="M10">
        <v>89.479627225130869</v>
      </c>
      <c r="N10">
        <v>0.61878339180614084</v>
      </c>
      <c r="O10">
        <v>0.99848868208692665</v>
      </c>
      <c r="P10">
        <v>110.4</v>
      </c>
      <c r="Q10">
        <v>5972.426291956649</v>
      </c>
      <c r="R10">
        <v>6347.1790919566492</v>
      </c>
      <c r="S10">
        <v>6941.3107063120169</v>
      </c>
    </row>
    <row r="11" spans="1:19" ht="15" x14ac:dyDescent="0.25">
      <c r="A11" t="s">
        <v>1570</v>
      </c>
      <c r="B11" t="s">
        <v>1468</v>
      </c>
      <c r="C11" t="s">
        <v>70</v>
      </c>
      <c r="D11" t="s">
        <v>23</v>
      </c>
      <c r="E11" t="s">
        <v>34</v>
      </c>
      <c r="F11" t="s">
        <v>35</v>
      </c>
      <c r="G11">
        <v>16.900649999999999</v>
      </c>
      <c r="H11">
        <v>0.03</v>
      </c>
      <c r="I11">
        <v>175</v>
      </c>
      <c r="J11">
        <v>288.75</v>
      </c>
      <c r="K11">
        <v>23.285339999999998</v>
      </c>
      <c r="L11">
        <v>9.3141359999999992E-2</v>
      </c>
      <c r="M11">
        <v>0</v>
      </c>
      <c r="N11">
        <v>0</v>
      </c>
      <c r="O11">
        <v>0</v>
      </c>
      <c r="P11">
        <v>0</v>
      </c>
      <c r="Q11">
        <v>540.46937000000003</v>
      </c>
      <c r="R11">
        <v>540.46937000000003</v>
      </c>
      <c r="S11">
        <v>856.97768248399996</v>
      </c>
    </row>
    <row r="12" spans="1:19" ht="15" x14ac:dyDescent="0.25">
      <c r="A12" t="s">
        <v>1571</v>
      </c>
      <c r="B12" t="s">
        <v>1469</v>
      </c>
      <c r="C12" t="s">
        <v>70</v>
      </c>
      <c r="D12" t="s">
        <v>23</v>
      </c>
      <c r="E12" t="s">
        <v>24</v>
      </c>
      <c r="F12" t="s">
        <v>35</v>
      </c>
      <c r="G12">
        <v>162.90479999999999</v>
      </c>
      <c r="H12">
        <v>0.11268599999999999</v>
      </c>
      <c r="I12">
        <v>0</v>
      </c>
      <c r="J12">
        <v>0</v>
      </c>
      <c r="K12">
        <v>49.029600000000002</v>
      </c>
      <c r="L12">
        <v>0.19611840000000003</v>
      </c>
      <c r="M12">
        <v>0</v>
      </c>
      <c r="N12">
        <v>0.99995200115198157</v>
      </c>
      <c r="O12">
        <v>1</v>
      </c>
      <c r="P12">
        <v>114.28708414872798</v>
      </c>
      <c r="Q12">
        <v>1366.4770208999998</v>
      </c>
      <c r="R12">
        <v>1754.424528042857</v>
      </c>
      <c r="S12">
        <v>2420.8642690028573</v>
      </c>
    </row>
    <row r="13" spans="1:19" ht="15" x14ac:dyDescent="0.25">
      <c r="A13" t="s">
        <v>1572</v>
      </c>
      <c r="B13" t="s">
        <v>672</v>
      </c>
      <c r="C13" t="s">
        <v>22</v>
      </c>
      <c r="D13" t="s">
        <v>116</v>
      </c>
      <c r="E13" t="s">
        <v>34</v>
      </c>
      <c r="F13" t="s">
        <v>35</v>
      </c>
      <c r="G13">
        <v>458.05702916682679</v>
      </c>
      <c r="H13">
        <v>0.58776501201923059</v>
      </c>
      <c r="I13">
        <v>613.23482920673064</v>
      </c>
      <c r="J13">
        <v>2233.5070456730759</v>
      </c>
      <c r="K13">
        <v>136.92584209499998</v>
      </c>
      <c r="L13">
        <v>0.54770336837999989</v>
      </c>
      <c r="M13">
        <v>0</v>
      </c>
      <c r="N13">
        <v>0.90846401606870619</v>
      </c>
      <c r="O13">
        <v>0.99999672226729996</v>
      </c>
      <c r="P13">
        <v>16</v>
      </c>
      <c r="Q13">
        <v>6340.5448472513917</v>
      </c>
      <c r="R13">
        <v>6394.8568472513925</v>
      </c>
      <c r="S13">
        <v>8256.0350485118888</v>
      </c>
    </row>
    <row r="14" spans="1:19" ht="15" x14ac:dyDescent="0.25">
      <c r="A14" t="s">
        <v>1573</v>
      </c>
      <c r="B14" t="s">
        <v>1273</v>
      </c>
      <c r="C14" t="s">
        <v>22</v>
      </c>
      <c r="D14" t="s">
        <v>33</v>
      </c>
      <c r="E14" t="s">
        <v>24</v>
      </c>
      <c r="F14" t="s">
        <v>35</v>
      </c>
      <c r="G14">
        <v>575.11696676210511</v>
      </c>
      <c r="H14">
        <v>2.1996757894736838</v>
      </c>
      <c r="I14">
        <v>87.987031578947352</v>
      </c>
      <c r="J14">
        <v>98.545475368421037</v>
      </c>
      <c r="K14">
        <v>191.97552000000002</v>
      </c>
      <c r="L14">
        <v>0.76790208000000004</v>
      </c>
      <c r="M14">
        <v>0</v>
      </c>
      <c r="N14">
        <v>0.90846401606870619</v>
      </c>
      <c r="O14">
        <v>0.99999672226729996</v>
      </c>
      <c r="P14">
        <v>0</v>
      </c>
      <c r="Q14">
        <v>7815.1366352372188</v>
      </c>
      <c r="R14">
        <v>7815.1366352372188</v>
      </c>
      <c r="S14">
        <v>10424.583088389218</v>
      </c>
    </row>
    <row r="15" spans="1:19" ht="15" x14ac:dyDescent="0.25">
      <c r="A15" t="s">
        <v>106</v>
      </c>
      <c r="B15" t="s">
        <v>1621</v>
      </c>
      <c r="C15" t="s">
        <v>22</v>
      </c>
      <c r="D15" t="s">
        <v>23</v>
      </c>
      <c r="E15" t="s">
        <v>24</v>
      </c>
      <c r="F15" t="s">
        <v>35</v>
      </c>
      <c r="G15">
        <v>86.190000000000012</v>
      </c>
      <c r="H15">
        <v>2.8373999999999996E-2</v>
      </c>
      <c r="I15">
        <v>0</v>
      </c>
      <c r="J15">
        <v>0</v>
      </c>
      <c r="K15">
        <v>20.553000000000001</v>
      </c>
      <c r="L15">
        <v>8.2212000000000007E-2</v>
      </c>
      <c r="M15">
        <v>0</v>
      </c>
      <c r="N15">
        <v>0.89805856109996762</v>
      </c>
      <c r="O15">
        <v>0.9999948895768489</v>
      </c>
      <c r="P15">
        <v>0</v>
      </c>
      <c r="Q15">
        <v>673.82355810000013</v>
      </c>
      <c r="R15">
        <v>673.82355810000013</v>
      </c>
      <c r="S15">
        <v>953.19226590000005</v>
      </c>
    </row>
    <row r="16" spans="1:19" ht="15" x14ac:dyDescent="0.25">
      <c r="A16" t="s">
        <v>1574</v>
      </c>
      <c r="B16" t="s">
        <v>1470</v>
      </c>
      <c r="C16" t="s">
        <v>22</v>
      </c>
      <c r="D16" t="s">
        <v>23</v>
      </c>
      <c r="E16" t="s">
        <v>24</v>
      </c>
      <c r="F16" t="s">
        <v>35</v>
      </c>
      <c r="G16">
        <v>86.150220000000004</v>
      </c>
      <c r="H16">
        <v>0.145872</v>
      </c>
      <c r="I16">
        <v>0</v>
      </c>
      <c r="J16">
        <v>1161.2159999999999</v>
      </c>
      <c r="K16">
        <v>20.543514000000002</v>
      </c>
      <c r="L16">
        <v>8.2174056000000009E-2</v>
      </c>
      <c r="M16">
        <v>0</v>
      </c>
      <c r="N16">
        <v>0.89828977822571898</v>
      </c>
      <c r="O16">
        <v>0.99999493730519884</v>
      </c>
      <c r="P16">
        <v>2.7397260273972603E-3</v>
      </c>
      <c r="Q16">
        <v>1595.8634244</v>
      </c>
      <c r="R16">
        <v>1595.8727243999999</v>
      </c>
      <c r="S16">
        <v>1875.1124927964001</v>
      </c>
    </row>
    <row r="17" spans="1:19" ht="15" x14ac:dyDescent="0.25">
      <c r="A17" t="s">
        <v>1575</v>
      </c>
      <c r="B17" t="s">
        <v>622</v>
      </c>
      <c r="C17" t="s">
        <v>22</v>
      </c>
      <c r="D17" t="s">
        <v>116</v>
      </c>
      <c r="E17" t="s">
        <v>34</v>
      </c>
      <c r="F17" t="s">
        <v>35</v>
      </c>
      <c r="G17">
        <v>115.41666265808828</v>
      </c>
      <c r="H17">
        <v>6.0015052749360642E-2</v>
      </c>
      <c r="I17">
        <v>750.18815936700798</v>
      </c>
      <c r="J17">
        <v>3420.8580067135563</v>
      </c>
      <c r="K17">
        <v>35.707186757812508</v>
      </c>
      <c r="L17">
        <v>0.14282874703125004</v>
      </c>
      <c r="M17">
        <v>0</v>
      </c>
      <c r="N17">
        <v>0</v>
      </c>
      <c r="O17">
        <v>0</v>
      </c>
      <c r="P17">
        <v>0</v>
      </c>
      <c r="Q17">
        <v>3909.0917779538377</v>
      </c>
      <c r="R17">
        <v>3909.0917779538377</v>
      </c>
      <c r="S17">
        <v>4394.4452846780796</v>
      </c>
    </row>
    <row r="18" spans="1:19" ht="15" x14ac:dyDescent="0.25">
      <c r="A18" t="s">
        <v>1576</v>
      </c>
      <c r="B18" t="s">
        <v>552</v>
      </c>
      <c r="C18" t="s">
        <v>70</v>
      </c>
      <c r="D18" t="s">
        <v>23</v>
      </c>
      <c r="E18" t="s">
        <v>34</v>
      </c>
      <c r="F18" t="s">
        <v>35</v>
      </c>
      <c r="G18">
        <v>129.24165333333335</v>
      </c>
      <c r="H18">
        <v>0.44813333333333333</v>
      </c>
      <c r="I18">
        <v>526.55666666666662</v>
      </c>
      <c r="J18">
        <v>589.74346666666656</v>
      </c>
      <c r="K18">
        <v>74.355765351724145</v>
      </c>
      <c r="L18">
        <v>0.29742306140689656</v>
      </c>
      <c r="M18">
        <v>50.011679999999998</v>
      </c>
      <c r="N18">
        <v>0.65801942273867631</v>
      </c>
      <c r="O18">
        <v>0.9990831741660523</v>
      </c>
      <c r="P18">
        <v>10.083</v>
      </c>
      <c r="Q18">
        <v>2949.2804576799999</v>
      </c>
      <c r="R18">
        <v>2983.5072011799998</v>
      </c>
      <c r="S18">
        <v>3994.1953772998449</v>
      </c>
    </row>
    <row r="19" spans="1:19" ht="15" x14ac:dyDescent="0.25">
      <c r="A19" t="s">
        <v>1577</v>
      </c>
      <c r="B19" t="s">
        <v>594</v>
      </c>
      <c r="C19" t="s">
        <v>22</v>
      </c>
      <c r="D19" t="s">
        <v>33</v>
      </c>
      <c r="E19" t="s">
        <v>34</v>
      </c>
      <c r="F19" t="s">
        <v>35</v>
      </c>
      <c r="G19">
        <v>294.31530082610522</v>
      </c>
      <c r="H19">
        <v>0.14955045773684209</v>
      </c>
      <c r="I19">
        <v>717.84219713684195</v>
      </c>
      <c r="J19">
        <v>109.4709350633684</v>
      </c>
      <c r="K19">
        <v>100.34954999999999</v>
      </c>
      <c r="L19">
        <v>0.40139819999999998</v>
      </c>
      <c r="M19">
        <v>10.254888530526314</v>
      </c>
      <c r="N19">
        <v>0.1240641483501735</v>
      </c>
      <c r="O19">
        <v>0.84110129078332874</v>
      </c>
      <c r="P19">
        <v>0</v>
      </c>
      <c r="Q19">
        <v>3293.2288894593144</v>
      </c>
      <c r="R19">
        <v>3293.2288894593144</v>
      </c>
      <c r="S19">
        <v>4657.2401827893136</v>
      </c>
    </row>
    <row r="20" spans="1:19" ht="15" x14ac:dyDescent="0.25">
      <c r="A20" t="s">
        <v>1578</v>
      </c>
      <c r="B20" t="s">
        <v>1471</v>
      </c>
      <c r="C20" t="s">
        <v>46</v>
      </c>
      <c r="D20" t="s">
        <v>165</v>
      </c>
      <c r="E20" t="s">
        <v>34</v>
      </c>
      <c r="F20" t="s">
        <v>35</v>
      </c>
      <c r="G20">
        <v>0</v>
      </c>
      <c r="H20">
        <v>0</v>
      </c>
      <c r="I20">
        <v>0</v>
      </c>
      <c r="J20">
        <v>0</v>
      </c>
      <c r="K20">
        <v>0</v>
      </c>
      <c r="L20">
        <v>0</v>
      </c>
      <c r="M20">
        <v>0</v>
      </c>
      <c r="N20">
        <v>0.99904046065257934</v>
      </c>
      <c r="O20">
        <v>0.99999999999996469</v>
      </c>
      <c r="P20">
        <v>0</v>
      </c>
      <c r="Q20">
        <v>0</v>
      </c>
      <c r="R20">
        <v>0</v>
      </c>
      <c r="S20">
        <v>0</v>
      </c>
    </row>
    <row r="21" spans="1:19" ht="15" x14ac:dyDescent="0.25">
      <c r="A21" t="s">
        <v>189</v>
      </c>
      <c r="B21" t="s">
        <v>1619</v>
      </c>
      <c r="C21" t="s">
        <v>22</v>
      </c>
      <c r="D21" t="s">
        <v>101</v>
      </c>
      <c r="E21" t="s">
        <v>34</v>
      </c>
      <c r="F21" t="s">
        <v>35</v>
      </c>
      <c r="G21">
        <v>0</v>
      </c>
      <c r="H21">
        <v>0</v>
      </c>
      <c r="I21">
        <v>0</v>
      </c>
      <c r="J21">
        <v>0</v>
      </c>
      <c r="K21">
        <v>0</v>
      </c>
      <c r="L21">
        <v>0</v>
      </c>
      <c r="M21">
        <v>0</v>
      </c>
      <c r="N21">
        <v>0</v>
      </c>
      <c r="O21">
        <v>0</v>
      </c>
      <c r="P21">
        <v>0</v>
      </c>
      <c r="Q21">
        <v>0</v>
      </c>
      <c r="R21">
        <v>0</v>
      </c>
      <c r="S21">
        <v>0</v>
      </c>
    </row>
    <row r="22" spans="1:19" ht="15" x14ac:dyDescent="0.25">
      <c r="A22" t="s">
        <v>979</v>
      </c>
      <c r="B22" t="s">
        <v>1620</v>
      </c>
      <c r="C22" t="s">
        <v>22</v>
      </c>
      <c r="D22" t="s">
        <v>101</v>
      </c>
      <c r="E22" t="s">
        <v>34</v>
      </c>
      <c r="F22" t="s">
        <v>35</v>
      </c>
      <c r="G22">
        <v>0</v>
      </c>
      <c r="H22">
        <v>0</v>
      </c>
      <c r="I22">
        <v>0</v>
      </c>
      <c r="J22">
        <v>0</v>
      </c>
      <c r="K22">
        <v>0</v>
      </c>
      <c r="L22">
        <v>0</v>
      </c>
      <c r="M22">
        <v>0</v>
      </c>
      <c r="N22">
        <v>0</v>
      </c>
      <c r="O22">
        <v>0</v>
      </c>
      <c r="P22">
        <v>0</v>
      </c>
      <c r="Q22">
        <v>0</v>
      </c>
      <c r="R22">
        <v>0</v>
      </c>
      <c r="S22">
        <v>0</v>
      </c>
    </row>
    <row r="23" spans="1:19" ht="15" x14ac:dyDescent="0.25">
      <c r="A23" t="s">
        <v>1579</v>
      </c>
      <c r="B23" t="s">
        <v>1274</v>
      </c>
      <c r="C23" t="s">
        <v>22</v>
      </c>
      <c r="D23" t="s">
        <v>33</v>
      </c>
      <c r="E23" t="s">
        <v>24</v>
      </c>
      <c r="F23" t="s">
        <v>35</v>
      </c>
      <c r="G23">
        <v>103.65784416346152</v>
      </c>
      <c r="H23">
        <v>0.20911759615384609</v>
      </c>
      <c r="I23">
        <v>0</v>
      </c>
      <c r="J23">
        <v>90.371076923076913</v>
      </c>
      <c r="K23">
        <v>37.08975725153374</v>
      </c>
      <c r="L23">
        <v>0.14835902900613496</v>
      </c>
      <c r="M23">
        <v>3411.8238673902779</v>
      </c>
      <c r="N23">
        <v>0.99904046065257934</v>
      </c>
      <c r="O23">
        <v>0.99999999999996469</v>
      </c>
      <c r="P23">
        <v>1173.5682819383255</v>
      </c>
      <c r="Q23">
        <v>26049.384511685566</v>
      </c>
      <c r="R23">
        <v>30033.062044725215</v>
      </c>
      <c r="S23">
        <v>30537.208279142411</v>
      </c>
    </row>
    <row r="24" spans="1:19" ht="45" x14ac:dyDescent="0.25">
      <c r="A24" s="6" t="s">
        <v>220</v>
      </c>
      <c r="C24" t="s">
        <v>66</v>
      </c>
      <c r="D24" t="s">
        <v>23</v>
      </c>
      <c r="E24" t="s">
        <v>34</v>
      </c>
      <c r="F24" t="s">
        <v>35</v>
      </c>
      <c r="G24">
        <v>2.6330399999999998</v>
      </c>
      <c r="H24">
        <v>2.5479999999999999E-3</v>
      </c>
      <c r="I24">
        <v>0</v>
      </c>
      <c r="J24">
        <v>0</v>
      </c>
      <c r="K24">
        <v>3.6277439999999999</v>
      </c>
      <c r="L24">
        <v>1.4510976E-2</v>
      </c>
      <c r="M24">
        <v>0</v>
      </c>
      <c r="N24">
        <v>0.9685065820791976</v>
      </c>
      <c r="O24">
        <v>0.99999995741303671</v>
      </c>
      <c r="P24">
        <v>0</v>
      </c>
      <c r="Q24">
        <v>23.229578199999995</v>
      </c>
      <c r="R24">
        <v>23.229578199999995</v>
      </c>
      <c r="S24">
        <v>72.540051294400001</v>
      </c>
    </row>
    <row r="25" spans="1:19" ht="45" x14ac:dyDescent="0.25">
      <c r="A25" s="6" t="s">
        <v>222</v>
      </c>
      <c r="C25" t="s">
        <v>66</v>
      </c>
      <c r="D25" t="s">
        <v>23</v>
      </c>
      <c r="E25" t="s">
        <v>34</v>
      </c>
      <c r="F25" t="s">
        <v>35</v>
      </c>
      <c r="G25">
        <v>2.6324999999999998</v>
      </c>
      <c r="H25">
        <v>0</v>
      </c>
      <c r="I25">
        <v>0</v>
      </c>
      <c r="J25">
        <v>0</v>
      </c>
      <c r="K25">
        <v>4.8964499999999997</v>
      </c>
      <c r="L25">
        <v>1.95858E-2</v>
      </c>
      <c r="M25">
        <v>0</v>
      </c>
      <c r="N25">
        <v>0.9685065820791976</v>
      </c>
      <c r="O25">
        <v>0.99999995741303671</v>
      </c>
      <c r="P25">
        <v>0</v>
      </c>
      <c r="Q25">
        <v>19.21725</v>
      </c>
      <c r="R25">
        <v>19.21725</v>
      </c>
      <c r="S25">
        <v>85.772736269999996</v>
      </c>
    </row>
    <row r="26" spans="1:19" ht="15" x14ac:dyDescent="0.25">
      <c r="A26" t="s">
        <v>1580</v>
      </c>
      <c r="B26" t="s">
        <v>1461</v>
      </c>
      <c r="C26" t="s">
        <v>22</v>
      </c>
      <c r="D26" t="s">
        <v>101</v>
      </c>
      <c r="E26" t="s">
        <v>34</v>
      </c>
      <c r="F26" t="s">
        <v>35</v>
      </c>
      <c r="G26">
        <v>56.390749</v>
      </c>
      <c r="H26">
        <v>0.43896000000000002</v>
      </c>
      <c r="I26">
        <v>103.5</v>
      </c>
      <c r="J26">
        <v>115.92</v>
      </c>
      <c r="K26">
        <v>101.83183799999999</v>
      </c>
      <c r="L26">
        <v>0.40732735199999998</v>
      </c>
      <c r="M26">
        <v>0</v>
      </c>
      <c r="N26">
        <v>0</v>
      </c>
      <c r="O26">
        <v>0</v>
      </c>
      <c r="P26">
        <v>0</v>
      </c>
      <c r="Q26">
        <v>1286.1334836999997</v>
      </c>
      <c r="R26">
        <v>1286.1334836999997</v>
      </c>
      <c r="S26">
        <v>2670.2929248987998</v>
      </c>
    </row>
    <row r="27" spans="1:19" ht="45" x14ac:dyDescent="0.25">
      <c r="A27" s="6" t="s">
        <v>232</v>
      </c>
      <c r="C27" t="s">
        <v>66</v>
      </c>
      <c r="D27" t="s">
        <v>23</v>
      </c>
      <c r="E27" t="s">
        <v>34</v>
      </c>
      <c r="F27" t="s">
        <v>35</v>
      </c>
      <c r="G27">
        <v>0</v>
      </c>
      <c r="H27">
        <v>0</v>
      </c>
      <c r="I27">
        <v>0</v>
      </c>
      <c r="J27">
        <v>0</v>
      </c>
      <c r="K27">
        <v>0</v>
      </c>
      <c r="L27">
        <v>0</v>
      </c>
      <c r="M27">
        <v>0</v>
      </c>
      <c r="N27">
        <v>0.9685065820791976</v>
      </c>
      <c r="O27">
        <v>0.99999995741303671</v>
      </c>
      <c r="P27">
        <v>0</v>
      </c>
      <c r="Q27">
        <v>0</v>
      </c>
      <c r="R27">
        <v>0</v>
      </c>
      <c r="S27">
        <v>0</v>
      </c>
    </row>
    <row r="28" spans="1:19" ht="15" x14ac:dyDescent="0.25">
      <c r="A28" t="s">
        <v>1581</v>
      </c>
      <c r="B28" t="s">
        <v>1472</v>
      </c>
      <c r="C28" t="s">
        <v>22</v>
      </c>
      <c r="D28" t="s">
        <v>33</v>
      </c>
      <c r="E28" t="s">
        <v>34</v>
      </c>
      <c r="F28" t="s">
        <v>35</v>
      </c>
      <c r="G28">
        <v>102.41660952519229</v>
      </c>
      <c r="H28">
        <v>0.18639034615384611</v>
      </c>
      <c r="I28">
        <v>941.36538461538441</v>
      </c>
      <c r="J28">
        <v>1054.3292307692304</v>
      </c>
      <c r="K28">
        <v>35.490672000000004</v>
      </c>
      <c r="L28">
        <v>0.141962688</v>
      </c>
      <c r="M28">
        <v>0</v>
      </c>
      <c r="N28">
        <v>0</v>
      </c>
      <c r="O28">
        <v>0</v>
      </c>
      <c r="P28">
        <v>1168</v>
      </c>
      <c r="Q28">
        <v>2713.7729439704417</v>
      </c>
      <c r="R28">
        <v>6678.5489439704415</v>
      </c>
      <c r="S28">
        <v>7160.9594521976423</v>
      </c>
    </row>
    <row r="29" spans="1:19" ht="15" x14ac:dyDescent="0.25">
      <c r="A29" t="s">
        <v>961</v>
      </c>
      <c r="C29" t="s">
        <v>22</v>
      </c>
      <c r="D29" t="s">
        <v>101</v>
      </c>
      <c r="E29" t="s">
        <v>24</v>
      </c>
      <c r="F29" t="s">
        <v>35</v>
      </c>
      <c r="G29">
        <v>34.333333333333336</v>
      </c>
      <c r="H29">
        <v>9.0000000000000011E-2</v>
      </c>
      <c r="I29">
        <v>16.666666666666668</v>
      </c>
      <c r="J29">
        <v>18.666666666666668</v>
      </c>
      <c r="K29">
        <v>372</v>
      </c>
      <c r="L29">
        <v>1.488</v>
      </c>
      <c r="M29">
        <v>0</v>
      </c>
      <c r="N29">
        <v>0</v>
      </c>
      <c r="O29">
        <v>0</v>
      </c>
      <c r="P29">
        <v>2</v>
      </c>
      <c r="Q29">
        <v>421.83536666666669</v>
      </c>
      <c r="R29">
        <v>428.62436666666667</v>
      </c>
      <c r="S29">
        <v>5485.0715666666665</v>
      </c>
    </row>
    <row r="30" spans="1:19" ht="15" x14ac:dyDescent="0.25">
      <c r="A30" t="s">
        <v>1582</v>
      </c>
      <c r="B30" t="s">
        <v>1473</v>
      </c>
      <c r="C30" t="s">
        <v>22</v>
      </c>
      <c r="D30" t="s">
        <v>33</v>
      </c>
      <c r="E30" t="s">
        <v>34</v>
      </c>
      <c r="F30" t="s">
        <v>35</v>
      </c>
      <c r="G30">
        <v>318.71942307692296</v>
      </c>
      <c r="H30">
        <v>0.58274999999999988</v>
      </c>
      <c r="I30">
        <v>515.50961538461524</v>
      </c>
      <c r="J30">
        <v>618.61153846153832</v>
      </c>
      <c r="K30">
        <v>118.5</v>
      </c>
      <c r="L30">
        <v>0.47400000000000003</v>
      </c>
      <c r="M30">
        <v>17.930769230769226</v>
      </c>
      <c r="N30">
        <v>0</v>
      </c>
      <c r="O30">
        <v>0</v>
      </c>
      <c r="P30">
        <v>0</v>
      </c>
      <c r="Q30">
        <v>4316.6099024999985</v>
      </c>
      <c r="R30">
        <v>4316.6099024999985</v>
      </c>
      <c r="S30">
        <v>5927.3330024999987</v>
      </c>
    </row>
    <row r="31" spans="1:19" ht="15" x14ac:dyDescent="0.25">
      <c r="A31" t="s">
        <v>1583</v>
      </c>
      <c r="B31" t="s">
        <v>1474</v>
      </c>
      <c r="C31" t="s">
        <v>22</v>
      </c>
      <c r="D31" t="s">
        <v>33</v>
      </c>
      <c r="E31" t="s">
        <v>34</v>
      </c>
      <c r="F31" t="s">
        <v>35</v>
      </c>
      <c r="G31">
        <v>225.54890480769228</v>
      </c>
      <c r="H31">
        <v>0.43706249999999991</v>
      </c>
      <c r="I31">
        <v>963.77884615384596</v>
      </c>
      <c r="J31">
        <v>1079.4323076923074</v>
      </c>
      <c r="K31">
        <v>152.02688760000004</v>
      </c>
      <c r="L31">
        <v>0.6081075504000002</v>
      </c>
      <c r="M31">
        <v>164.06653846153841</v>
      </c>
      <c r="N31">
        <v>0.50643845692883771</v>
      </c>
      <c r="O31">
        <v>0.99478646468069754</v>
      </c>
      <c r="P31">
        <v>18.154903846153843</v>
      </c>
      <c r="Q31">
        <v>5244.5005605865363</v>
      </c>
      <c r="R31">
        <v>5306.1273816923058</v>
      </c>
      <c r="S31">
        <v>7372.5680540840658</v>
      </c>
    </row>
    <row r="32" spans="1:19" ht="15" x14ac:dyDescent="0.25">
      <c r="A32" t="s">
        <v>1584</v>
      </c>
      <c r="B32" t="s">
        <v>25</v>
      </c>
      <c r="C32" t="s">
        <v>22</v>
      </c>
      <c r="D32" t="s">
        <v>23</v>
      </c>
      <c r="E32" t="s">
        <v>24</v>
      </c>
      <c r="F32" t="s">
        <v>35</v>
      </c>
      <c r="G32">
        <v>493.36052400000005</v>
      </c>
      <c r="H32">
        <v>1.6311960000000001</v>
      </c>
      <c r="I32">
        <v>780</v>
      </c>
      <c r="J32">
        <v>1209.5999999999999</v>
      </c>
      <c r="K32">
        <v>148.48714799999999</v>
      </c>
      <c r="L32">
        <v>0.59394859199999994</v>
      </c>
      <c r="M32">
        <v>158.46575342465752</v>
      </c>
      <c r="N32">
        <v>0.74015749092606842</v>
      </c>
      <c r="O32">
        <v>0.99973120223657852</v>
      </c>
      <c r="P32">
        <v>26.22</v>
      </c>
      <c r="Q32">
        <v>8923.9887725999997</v>
      </c>
      <c r="R32">
        <v>9012.9925626000004</v>
      </c>
      <c r="S32">
        <v>11031.318970504799</v>
      </c>
    </row>
    <row r="33" spans="1:19" ht="15" x14ac:dyDescent="0.25">
      <c r="A33" t="s">
        <v>1585</v>
      </c>
      <c r="B33" t="s">
        <v>1475</v>
      </c>
      <c r="C33" t="s">
        <v>66</v>
      </c>
      <c r="D33" t="s">
        <v>23</v>
      </c>
      <c r="E33" t="s">
        <v>34</v>
      </c>
      <c r="F33" t="s">
        <v>35</v>
      </c>
      <c r="G33">
        <v>7.7249999999999996</v>
      </c>
      <c r="H33">
        <v>1.2200000000000001E-2</v>
      </c>
      <c r="I33">
        <v>0</v>
      </c>
      <c r="J33">
        <v>6.16</v>
      </c>
      <c r="K33">
        <v>13.950000000000001</v>
      </c>
      <c r="L33">
        <v>5.5800000000000002E-2</v>
      </c>
      <c r="M33">
        <v>0</v>
      </c>
      <c r="N33">
        <v>0</v>
      </c>
      <c r="O33">
        <v>0</v>
      </c>
      <c r="P33">
        <v>0</v>
      </c>
      <c r="Q33">
        <v>79.497146000000001</v>
      </c>
      <c r="R33">
        <v>79.497146000000001</v>
      </c>
      <c r="S33">
        <v>269.11391600000002</v>
      </c>
    </row>
    <row r="34" spans="1:19" ht="30" x14ac:dyDescent="0.25">
      <c r="A34" s="6" t="s">
        <v>327</v>
      </c>
      <c r="C34" t="s">
        <v>66</v>
      </c>
      <c r="D34" t="s">
        <v>23</v>
      </c>
      <c r="E34" t="s">
        <v>34</v>
      </c>
      <c r="F34" t="s">
        <v>35</v>
      </c>
      <c r="G34">
        <v>2.6330399999999998</v>
      </c>
      <c r="H34">
        <v>8.4900000000000004E-4</v>
      </c>
      <c r="I34">
        <v>0</v>
      </c>
      <c r="J34">
        <v>0</v>
      </c>
      <c r="K34">
        <v>3.6277439999999999</v>
      </c>
      <c r="L34">
        <v>1.4510976E-2</v>
      </c>
      <c r="M34">
        <v>0</v>
      </c>
      <c r="N34">
        <v>0</v>
      </c>
      <c r="O34">
        <v>0</v>
      </c>
      <c r="P34">
        <v>0</v>
      </c>
      <c r="Q34">
        <v>20.556796349999999</v>
      </c>
      <c r="R34">
        <v>20.556796349999999</v>
      </c>
      <c r="S34">
        <v>69.867269444399994</v>
      </c>
    </row>
    <row r="35" spans="1:19" ht="15" x14ac:dyDescent="0.25">
      <c r="A35" t="s">
        <v>1586</v>
      </c>
      <c r="B35" t="s">
        <v>221</v>
      </c>
      <c r="C35" t="s">
        <v>66</v>
      </c>
      <c r="D35" t="s">
        <v>23</v>
      </c>
      <c r="E35" t="s">
        <v>34</v>
      </c>
      <c r="F35" t="s">
        <v>35</v>
      </c>
      <c r="G35">
        <v>27.913</v>
      </c>
      <c r="H35">
        <v>5.2436000000000003E-2</v>
      </c>
      <c r="I35">
        <v>0</v>
      </c>
      <c r="J35">
        <v>126.56</v>
      </c>
      <c r="K35">
        <v>50.405999999999999</v>
      </c>
      <c r="L35">
        <v>0.201624</v>
      </c>
      <c r="M35">
        <v>0</v>
      </c>
      <c r="N35">
        <v>0</v>
      </c>
      <c r="O35">
        <v>0</v>
      </c>
      <c r="P35">
        <v>0</v>
      </c>
      <c r="Q35">
        <v>366.6328494</v>
      </c>
      <c r="R35">
        <v>366.6328494</v>
      </c>
      <c r="S35">
        <v>1051.7814450000001</v>
      </c>
    </row>
    <row r="36" spans="1:19" ht="15" x14ac:dyDescent="0.25">
      <c r="A36" t="s">
        <v>1587</v>
      </c>
      <c r="B36" t="s">
        <v>1476</v>
      </c>
      <c r="C36" t="s">
        <v>22</v>
      </c>
      <c r="D36" t="s">
        <v>23</v>
      </c>
      <c r="E36" t="s">
        <v>34</v>
      </c>
      <c r="F36" t="s">
        <v>35</v>
      </c>
      <c r="G36">
        <v>0</v>
      </c>
      <c r="H36">
        <v>0</v>
      </c>
      <c r="I36">
        <v>0</v>
      </c>
      <c r="J36">
        <v>0</v>
      </c>
      <c r="K36">
        <v>0</v>
      </c>
      <c r="L36">
        <v>0</v>
      </c>
      <c r="M36">
        <v>0</v>
      </c>
      <c r="N36">
        <v>0</v>
      </c>
      <c r="O36">
        <v>0</v>
      </c>
      <c r="P36">
        <v>0</v>
      </c>
      <c r="Q36">
        <v>0</v>
      </c>
      <c r="R36">
        <v>0</v>
      </c>
      <c r="S36">
        <v>0</v>
      </c>
    </row>
    <row r="37" spans="1:19" ht="15" x14ac:dyDescent="0.25">
      <c r="A37" t="s">
        <v>1588</v>
      </c>
      <c r="B37" t="s">
        <v>1477</v>
      </c>
      <c r="C37" t="s">
        <v>46</v>
      </c>
      <c r="D37" t="s">
        <v>165</v>
      </c>
      <c r="E37" t="s">
        <v>34</v>
      </c>
      <c r="F37" t="s">
        <v>35</v>
      </c>
      <c r="G37">
        <v>0</v>
      </c>
      <c r="H37">
        <v>0</v>
      </c>
      <c r="I37">
        <v>0</v>
      </c>
      <c r="J37">
        <v>0</v>
      </c>
      <c r="K37">
        <v>0</v>
      </c>
      <c r="L37">
        <v>0</v>
      </c>
      <c r="M37">
        <v>0</v>
      </c>
      <c r="N37">
        <v>0.67032004603563933</v>
      </c>
      <c r="O37">
        <v>0.99922374862379293</v>
      </c>
      <c r="P37">
        <v>29.866666666666671</v>
      </c>
      <c r="Q37">
        <v>0</v>
      </c>
      <c r="R37">
        <v>101.38240000000002</v>
      </c>
      <c r="S37">
        <v>101.38240000000002</v>
      </c>
    </row>
    <row r="38" spans="1:19" ht="15" x14ac:dyDescent="0.25">
      <c r="A38" t="s">
        <v>1589</v>
      </c>
      <c r="B38" t="s">
        <v>1478</v>
      </c>
      <c r="C38" t="s">
        <v>22</v>
      </c>
      <c r="D38" t="s">
        <v>116</v>
      </c>
      <c r="E38" t="s">
        <v>34</v>
      </c>
      <c r="F38" t="s">
        <v>35</v>
      </c>
      <c r="G38">
        <v>379.76248557692298</v>
      </c>
      <c r="H38">
        <v>0.76205769230769216</v>
      </c>
      <c r="I38">
        <v>404.56298076923065</v>
      </c>
      <c r="J38">
        <v>112.96384615384613</v>
      </c>
      <c r="K38">
        <v>65.50152400890002</v>
      </c>
      <c r="L38">
        <v>0.2620060960356001</v>
      </c>
      <c r="M38">
        <v>46.171730769230763</v>
      </c>
      <c r="N38">
        <v>0</v>
      </c>
      <c r="O38">
        <v>0</v>
      </c>
      <c r="P38">
        <v>2.7</v>
      </c>
      <c r="Q38">
        <v>4811.0774015769211</v>
      </c>
      <c r="R38">
        <v>4820.242551576921</v>
      </c>
      <c r="S38">
        <v>5710.5785668202952</v>
      </c>
    </row>
    <row r="39" spans="1:19" ht="15" x14ac:dyDescent="0.25">
      <c r="A39" t="s">
        <v>368</v>
      </c>
      <c r="C39" t="s">
        <v>22</v>
      </c>
      <c r="D39" t="s">
        <v>116</v>
      </c>
      <c r="E39" t="s">
        <v>24</v>
      </c>
      <c r="F39" t="s">
        <v>35</v>
      </c>
      <c r="G39">
        <v>14144.767996153842</v>
      </c>
      <c r="H39">
        <v>0.20911759615384609</v>
      </c>
      <c r="I39">
        <v>0</v>
      </c>
      <c r="J39">
        <v>98.439923076923066</v>
      </c>
      <c r="K39">
        <v>166.27725000000001</v>
      </c>
      <c r="L39">
        <v>0.66510900000000006</v>
      </c>
      <c r="M39">
        <v>0</v>
      </c>
      <c r="N39">
        <v>0.99904046065257934</v>
      </c>
      <c r="O39">
        <v>0.99999999999996469</v>
      </c>
      <c r="P39">
        <v>0</v>
      </c>
      <c r="Q39">
        <v>103648.29891345862</v>
      </c>
      <c r="R39">
        <v>103648.29891345862</v>
      </c>
      <c r="S39">
        <v>105908.43906180862</v>
      </c>
    </row>
    <row r="40" spans="1:19" ht="15" x14ac:dyDescent="0.25">
      <c r="A40" t="s">
        <v>1590</v>
      </c>
      <c r="B40" t="s">
        <v>612</v>
      </c>
      <c r="C40" t="s">
        <v>22</v>
      </c>
      <c r="D40" t="s">
        <v>33</v>
      </c>
      <c r="E40" t="s">
        <v>34</v>
      </c>
      <c r="F40" t="s">
        <v>35</v>
      </c>
      <c r="G40">
        <v>327.45303120721144</v>
      </c>
      <c r="H40">
        <v>0.54858067788461529</v>
      </c>
      <c r="I40">
        <v>898.62739615384601</v>
      </c>
      <c r="J40">
        <v>1006.4626836923076</v>
      </c>
      <c r="K40">
        <v>116.8772724</v>
      </c>
      <c r="L40">
        <v>0.46750908959999998</v>
      </c>
      <c r="M40">
        <v>0</v>
      </c>
      <c r="N40">
        <v>0.56852733609204842</v>
      </c>
      <c r="O40">
        <v>0.99729114275307729</v>
      </c>
      <c r="P40">
        <v>0</v>
      </c>
      <c r="Q40">
        <v>4850.3683504605788</v>
      </c>
      <c r="R40">
        <v>4850.3683504605788</v>
      </c>
      <c r="S40">
        <v>6439.0343632848189</v>
      </c>
    </row>
    <row r="41" spans="1:19" ht="15" x14ac:dyDescent="0.25">
      <c r="A41" t="s">
        <v>1591</v>
      </c>
      <c r="B41" t="s">
        <v>1481</v>
      </c>
      <c r="C41" t="s">
        <v>22</v>
      </c>
      <c r="D41" t="s">
        <v>62</v>
      </c>
      <c r="E41" t="s">
        <v>34</v>
      </c>
      <c r="F41" t="s">
        <v>35</v>
      </c>
      <c r="G41">
        <v>770.11311764705908</v>
      </c>
      <c r="H41">
        <v>0.89107352941176499</v>
      </c>
      <c r="I41">
        <v>372.2205882352942</v>
      </c>
      <c r="J41">
        <v>4030.2353382352949</v>
      </c>
      <c r="K41">
        <v>131.70569732830188</v>
      </c>
      <c r="L41">
        <v>0.52682278931320758</v>
      </c>
      <c r="M41">
        <v>154.62720000000004</v>
      </c>
      <c r="N41">
        <v>0.2571087097416922</v>
      </c>
      <c r="O41">
        <v>0.95086990027142848</v>
      </c>
      <c r="P41">
        <v>74.98552941176473</v>
      </c>
      <c r="Q41">
        <v>11108.711807872063</v>
      </c>
      <c r="R41">
        <v>11363.250187460299</v>
      </c>
      <c r="S41">
        <v>13153.473048964976</v>
      </c>
    </row>
    <row r="42" spans="1:19" ht="15" x14ac:dyDescent="0.25">
      <c r="A42" t="s">
        <v>1592</v>
      </c>
      <c r="B42" t="s">
        <v>1479</v>
      </c>
      <c r="C42" t="s">
        <v>139</v>
      </c>
      <c r="D42" t="s">
        <v>23</v>
      </c>
      <c r="E42" t="s">
        <v>34</v>
      </c>
      <c r="F42" t="s">
        <v>35</v>
      </c>
      <c r="G42">
        <v>0</v>
      </c>
      <c r="H42">
        <v>0</v>
      </c>
      <c r="I42">
        <v>0</v>
      </c>
      <c r="J42">
        <v>0</v>
      </c>
      <c r="K42">
        <v>0</v>
      </c>
      <c r="L42">
        <v>0</v>
      </c>
      <c r="M42">
        <v>0</v>
      </c>
      <c r="N42">
        <v>0</v>
      </c>
      <c r="O42">
        <v>0</v>
      </c>
      <c r="P42">
        <v>0</v>
      </c>
      <c r="Q42">
        <v>0</v>
      </c>
      <c r="R42">
        <v>0</v>
      </c>
      <c r="S42">
        <v>0</v>
      </c>
    </row>
    <row r="43" spans="1:19" ht="15" x14ac:dyDescent="0.25">
      <c r="A43" t="s">
        <v>1593</v>
      </c>
      <c r="B43" t="s">
        <v>619</v>
      </c>
      <c r="C43" t="s">
        <v>22</v>
      </c>
      <c r="D43" t="s">
        <v>62</v>
      </c>
      <c r="E43" t="s">
        <v>34</v>
      </c>
      <c r="F43" t="s">
        <v>35</v>
      </c>
      <c r="G43">
        <v>196.9216102941177</v>
      </c>
      <c r="H43">
        <v>0.2368676470588236</v>
      </c>
      <c r="I43">
        <v>65.984558823529426</v>
      </c>
      <c r="J43">
        <v>2785.5635294117656</v>
      </c>
      <c r="K43">
        <v>51.502574999999993</v>
      </c>
      <c r="L43">
        <v>0.20601029999999998</v>
      </c>
      <c r="M43">
        <v>0</v>
      </c>
      <c r="N43">
        <v>0.2571087097416922</v>
      </c>
      <c r="O43">
        <v>0.95086990027142848</v>
      </c>
      <c r="P43">
        <v>11.111111111111111</v>
      </c>
      <c r="Q43">
        <v>3649.5938344411779</v>
      </c>
      <c r="R43">
        <v>3687.3105011078446</v>
      </c>
      <c r="S43">
        <v>4387.3644020528436</v>
      </c>
    </row>
    <row r="44" spans="1:19" ht="15" x14ac:dyDescent="0.25">
      <c r="A44" t="s">
        <v>1594</v>
      </c>
      <c r="B44" t="s">
        <v>1482</v>
      </c>
      <c r="C44" t="s">
        <v>139</v>
      </c>
      <c r="D44" t="s">
        <v>23</v>
      </c>
      <c r="E44" t="s">
        <v>34</v>
      </c>
      <c r="F44" t="s">
        <v>35</v>
      </c>
      <c r="G44">
        <v>0</v>
      </c>
      <c r="H44">
        <v>0</v>
      </c>
      <c r="I44">
        <v>0</v>
      </c>
      <c r="J44">
        <v>0</v>
      </c>
      <c r="K44">
        <v>0</v>
      </c>
      <c r="L44">
        <v>0</v>
      </c>
      <c r="M44">
        <v>0</v>
      </c>
      <c r="N44">
        <v>0</v>
      </c>
      <c r="O44">
        <v>0</v>
      </c>
      <c r="P44">
        <v>0</v>
      </c>
      <c r="Q44">
        <v>0</v>
      </c>
      <c r="R44">
        <v>0</v>
      </c>
      <c r="S44">
        <v>0</v>
      </c>
    </row>
    <row r="45" spans="1:19" ht="15" x14ac:dyDescent="0.25">
      <c r="A45" t="s">
        <v>421</v>
      </c>
      <c r="C45" t="s">
        <v>22</v>
      </c>
      <c r="D45" t="s">
        <v>116</v>
      </c>
      <c r="E45" t="s">
        <v>24</v>
      </c>
      <c r="F45" t="s">
        <v>35</v>
      </c>
      <c r="G45">
        <v>22466.422588235298</v>
      </c>
      <c r="H45">
        <v>29.326470588235299</v>
      </c>
      <c r="I45">
        <v>0</v>
      </c>
      <c r="J45">
        <v>3.41089411764706</v>
      </c>
      <c r="K45">
        <v>30.552</v>
      </c>
      <c r="L45">
        <v>0.122208</v>
      </c>
      <c r="M45">
        <v>0</v>
      </c>
      <c r="N45">
        <v>0.99904046065257934</v>
      </c>
      <c r="O45">
        <v>0.99999999999996469</v>
      </c>
      <c r="P45">
        <v>3243.2857142857142</v>
      </c>
      <c r="Q45">
        <v>210141.98835885414</v>
      </c>
      <c r="R45">
        <v>221151.32171599698</v>
      </c>
      <c r="S45">
        <v>221566.602831197</v>
      </c>
    </row>
    <row r="46" spans="1:19" ht="15" x14ac:dyDescent="0.25">
      <c r="A46" t="s">
        <v>1390</v>
      </c>
      <c r="B46" t="s">
        <v>640</v>
      </c>
      <c r="C46" t="s">
        <v>46</v>
      </c>
      <c r="D46" t="s">
        <v>1158</v>
      </c>
      <c r="E46" t="s">
        <v>34</v>
      </c>
      <c r="F46" t="s">
        <v>35</v>
      </c>
      <c r="G46">
        <v>40.759240759240754</v>
      </c>
      <c r="H46">
        <v>0.11028971028971027</v>
      </c>
      <c r="I46">
        <v>81.518481518481508</v>
      </c>
      <c r="J46">
        <v>99.452547452547435</v>
      </c>
      <c r="K46">
        <v>9.9860139860139867</v>
      </c>
      <c r="L46">
        <v>3.9944055944055951E-2</v>
      </c>
      <c r="M46">
        <v>9.590409590409589</v>
      </c>
      <c r="N46">
        <v>0.51102913674747164</v>
      </c>
      <c r="O46">
        <v>0.99502265647390331</v>
      </c>
      <c r="P46">
        <v>19.2</v>
      </c>
      <c r="Q46">
        <v>691.09941578421569</v>
      </c>
      <c r="R46">
        <v>756.27381578421569</v>
      </c>
      <c r="S46">
        <v>892.00970949050941</v>
      </c>
    </row>
    <row r="47" spans="1:19" ht="15" x14ac:dyDescent="0.25">
      <c r="A47" t="s">
        <v>1595</v>
      </c>
      <c r="B47" t="s">
        <v>1483</v>
      </c>
      <c r="C47" t="s">
        <v>46</v>
      </c>
      <c r="D47" t="s">
        <v>165</v>
      </c>
      <c r="E47" t="s">
        <v>34</v>
      </c>
      <c r="F47" t="s">
        <v>35</v>
      </c>
      <c r="G47">
        <v>0</v>
      </c>
      <c r="H47">
        <v>0</v>
      </c>
      <c r="I47">
        <v>0</v>
      </c>
      <c r="J47">
        <v>0</v>
      </c>
      <c r="K47">
        <v>0</v>
      </c>
      <c r="L47">
        <v>0</v>
      </c>
      <c r="M47">
        <v>0</v>
      </c>
      <c r="N47">
        <v>0</v>
      </c>
      <c r="O47">
        <v>0</v>
      </c>
      <c r="P47">
        <v>0</v>
      </c>
      <c r="Q47">
        <v>0</v>
      </c>
      <c r="R47">
        <v>0</v>
      </c>
      <c r="S47">
        <v>0</v>
      </c>
    </row>
    <row r="48" spans="1:19" ht="15" x14ac:dyDescent="0.25">
      <c r="A48" t="s">
        <v>1596</v>
      </c>
      <c r="B48" t="s">
        <v>1499</v>
      </c>
      <c r="C48" t="s">
        <v>46</v>
      </c>
      <c r="D48" t="s">
        <v>1158</v>
      </c>
      <c r="E48" t="s">
        <v>34</v>
      </c>
      <c r="F48" t="s">
        <v>35</v>
      </c>
      <c r="G48">
        <v>512.46966371681401</v>
      </c>
      <c r="H48">
        <v>1.4081415929203538</v>
      </c>
      <c r="I48">
        <v>1333.0407079646016</v>
      </c>
      <c r="J48">
        <v>1493.0055929203538</v>
      </c>
      <c r="K48">
        <v>159</v>
      </c>
      <c r="L48">
        <v>0.63600000000000001</v>
      </c>
      <c r="M48">
        <v>652.79999999999995</v>
      </c>
      <c r="N48">
        <v>0</v>
      </c>
      <c r="O48">
        <v>0</v>
      </c>
      <c r="P48">
        <v>83.999999999999986</v>
      </c>
      <c r="Q48">
        <v>13090.649130647784</v>
      </c>
      <c r="R48">
        <v>13375.787130647785</v>
      </c>
      <c r="S48">
        <v>15537.010530647782</v>
      </c>
    </row>
    <row r="49" spans="1:19" ht="15" x14ac:dyDescent="0.25">
      <c r="A49" t="s">
        <v>1597</v>
      </c>
      <c r="B49" t="s">
        <v>1484</v>
      </c>
      <c r="C49" t="s">
        <v>46</v>
      </c>
      <c r="D49" t="s">
        <v>1158</v>
      </c>
      <c r="E49" t="s">
        <v>34</v>
      </c>
      <c r="F49" t="s">
        <v>35</v>
      </c>
      <c r="G49">
        <v>468.64999999999986</v>
      </c>
      <c r="H49">
        <v>0.78549999999999975</v>
      </c>
      <c r="I49">
        <v>211.39999999999998</v>
      </c>
      <c r="J49">
        <v>236.76799999999997</v>
      </c>
      <c r="K49">
        <v>71.894117647058806</v>
      </c>
      <c r="L49">
        <v>0.28757647058823521</v>
      </c>
      <c r="M49">
        <v>411.26399999999995</v>
      </c>
      <c r="N49">
        <v>3.6420284262733131E-2</v>
      </c>
      <c r="O49">
        <v>0.5775498363388043</v>
      </c>
      <c r="P49">
        <v>89.680499999999981</v>
      </c>
      <c r="Q49">
        <v>8034.7630017999982</v>
      </c>
      <c r="R49">
        <v>8339.1834590499984</v>
      </c>
      <c r="S49">
        <v>9316.4114425794087</v>
      </c>
    </row>
    <row r="50" spans="1:19" ht="15" x14ac:dyDescent="0.25">
      <c r="A50" t="s">
        <v>1391</v>
      </c>
      <c r="B50" t="s">
        <v>1485</v>
      </c>
      <c r="C50" t="s">
        <v>46</v>
      </c>
      <c r="D50" t="s">
        <v>165</v>
      </c>
      <c r="E50" t="s">
        <v>34</v>
      </c>
      <c r="F50" t="s">
        <v>35</v>
      </c>
      <c r="G50">
        <v>1056.0147342857142</v>
      </c>
      <c r="H50">
        <v>2.6493119571428569</v>
      </c>
      <c r="I50">
        <v>309.28314</v>
      </c>
      <c r="J50">
        <v>346.39711679999999</v>
      </c>
      <c r="K50">
        <v>255.75</v>
      </c>
      <c r="L50">
        <v>1.0230000000000001</v>
      </c>
      <c r="M50">
        <v>362.64038400000004</v>
      </c>
      <c r="N50">
        <v>5.0441946826710882E-2</v>
      </c>
      <c r="O50">
        <v>0.65015960080957447</v>
      </c>
      <c r="P50">
        <v>17.92425648</v>
      </c>
      <c r="Q50">
        <v>15073.578248356678</v>
      </c>
      <c r="R50">
        <v>15134.422136978037</v>
      </c>
      <c r="S50">
        <v>18610.729586978039</v>
      </c>
    </row>
    <row r="51" spans="1:19" ht="15" x14ac:dyDescent="0.25">
      <c r="A51" t="s">
        <v>1392</v>
      </c>
      <c r="B51" t="s">
        <v>648</v>
      </c>
      <c r="C51" t="s">
        <v>46</v>
      </c>
      <c r="D51" t="s">
        <v>1158</v>
      </c>
      <c r="E51" t="s">
        <v>34</v>
      </c>
      <c r="F51" t="s">
        <v>35</v>
      </c>
      <c r="G51">
        <v>420.19143418467576</v>
      </c>
      <c r="H51">
        <v>1.5545776031434184</v>
      </c>
      <c r="I51">
        <v>2356.6208251473477</v>
      </c>
      <c r="J51">
        <v>2639.4153241650292</v>
      </c>
      <c r="K51">
        <v>102.9469013752456</v>
      </c>
      <c r="L51">
        <v>0.41178760550098242</v>
      </c>
      <c r="M51">
        <v>1.9803536345776029</v>
      </c>
      <c r="N51">
        <v>0</v>
      </c>
      <c r="O51">
        <v>0</v>
      </c>
      <c r="P51">
        <v>0</v>
      </c>
      <c r="Q51">
        <v>9715.4169552848707</v>
      </c>
      <c r="R51">
        <v>9715.4169552848707</v>
      </c>
      <c r="S51">
        <v>11114.733006918035</v>
      </c>
    </row>
    <row r="52" spans="1:19" ht="15" x14ac:dyDescent="0.25">
      <c r="A52" t="s">
        <v>1598</v>
      </c>
      <c r="B52" t="s">
        <v>1486</v>
      </c>
      <c r="C52" t="s">
        <v>66</v>
      </c>
      <c r="D52" t="s">
        <v>23</v>
      </c>
      <c r="E52" t="s">
        <v>34</v>
      </c>
      <c r="F52" t="s">
        <v>35</v>
      </c>
      <c r="G52">
        <v>7.29</v>
      </c>
      <c r="H52">
        <v>1.41E-2</v>
      </c>
      <c r="I52">
        <v>0</v>
      </c>
      <c r="J52">
        <v>52.5</v>
      </c>
      <c r="K52">
        <v>10.044</v>
      </c>
      <c r="L52">
        <v>4.0176000000000003E-2</v>
      </c>
      <c r="M52">
        <v>0</v>
      </c>
      <c r="N52">
        <v>0</v>
      </c>
      <c r="O52">
        <v>0</v>
      </c>
      <c r="P52">
        <v>0</v>
      </c>
      <c r="Q52">
        <v>108.741165</v>
      </c>
      <c r="R52">
        <v>108.741165</v>
      </c>
      <c r="S52">
        <v>245.26523939999998</v>
      </c>
    </row>
    <row r="53" spans="1:19" ht="15" x14ac:dyDescent="0.25">
      <c r="A53" t="s">
        <v>965</v>
      </c>
      <c r="C53" t="s">
        <v>46</v>
      </c>
      <c r="D53" t="s">
        <v>101</v>
      </c>
      <c r="E53" t="s">
        <v>24</v>
      </c>
      <c r="F53" t="s">
        <v>35</v>
      </c>
      <c r="G53">
        <v>39.14</v>
      </c>
      <c r="H53">
        <v>5.0999999999999997E-2</v>
      </c>
      <c r="I53">
        <v>30</v>
      </c>
      <c r="J53">
        <v>33.6</v>
      </c>
      <c r="K53">
        <v>70.679999999999993</v>
      </c>
      <c r="L53">
        <v>0.28271999999999997</v>
      </c>
      <c r="M53">
        <v>0</v>
      </c>
      <c r="N53">
        <v>0.88074765260767418</v>
      </c>
      <c r="O53">
        <v>0.9999902104719095</v>
      </c>
      <c r="P53">
        <v>0</v>
      </c>
      <c r="Q53">
        <v>419.26600999999999</v>
      </c>
      <c r="R53">
        <v>419.26600999999999</v>
      </c>
      <c r="S53">
        <v>1379.9909779999998</v>
      </c>
    </row>
    <row r="54" spans="1:19" ht="15" x14ac:dyDescent="0.25">
      <c r="A54" t="s">
        <v>1599</v>
      </c>
      <c r="B54" t="s">
        <v>1487</v>
      </c>
      <c r="C54" t="s">
        <v>22</v>
      </c>
      <c r="D54" t="s">
        <v>62</v>
      </c>
      <c r="E54" t="s">
        <v>34</v>
      </c>
      <c r="F54" t="s">
        <v>35</v>
      </c>
      <c r="G54">
        <v>0</v>
      </c>
      <c r="H54">
        <v>0</v>
      </c>
      <c r="I54">
        <v>0</v>
      </c>
      <c r="J54">
        <v>0</v>
      </c>
      <c r="K54">
        <v>0</v>
      </c>
      <c r="L54">
        <v>0</v>
      </c>
      <c r="M54">
        <v>0</v>
      </c>
      <c r="N54">
        <v>0.89620236196886616</v>
      </c>
      <c r="O54">
        <v>0.99999449379833372</v>
      </c>
      <c r="P54">
        <v>0</v>
      </c>
      <c r="Q54">
        <v>0</v>
      </c>
      <c r="R54">
        <v>0</v>
      </c>
      <c r="S54">
        <v>0</v>
      </c>
    </row>
    <row r="55" spans="1:19" ht="15" x14ac:dyDescent="0.25">
      <c r="A55" t="s">
        <v>969</v>
      </c>
      <c r="C55" t="s">
        <v>139</v>
      </c>
      <c r="D55" t="s">
        <v>23</v>
      </c>
      <c r="E55" t="s">
        <v>34</v>
      </c>
      <c r="F55" t="s">
        <v>35</v>
      </c>
      <c r="G55">
        <v>0</v>
      </c>
      <c r="H55">
        <v>0</v>
      </c>
      <c r="I55">
        <v>0</v>
      </c>
      <c r="J55">
        <v>0</v>
      </c>
      <c r="K55">
        <v>0</v>
      </c>
      <c r="L55">
        <v>0</v>
      </c>
      <c r="M55">
        <v>0</v>
      </c>
      <c r="N55">
        <v>0</v>
      </c>
      <c r="O55">
        <v>0</v>
      </c>
      <c r="P55">
        <v>0</v>
      </c>
      <c r="Q55">
        <v>0</v>
      </c>
      <c r="R55">
        <v>0</v>
      </c>
      <c r="S55">
        <v>0</v>
      </c>
    </row>
    <row r="56" spans="1:19" ht="15" x14ac:dyDescent="0.25">
      <c r="A56" t="s">
        <v>967</v>
      </c>
      <c r="C56" t="s">
        <v>70</v>
      </c>
      <c r="D56" t="s">
        <v>23</v>
      </c>
      <c r="E56" t="s">
        <v>34</v>
      </c>
      <c r="F56" t="s">
        <v>35</v>
      </c>
      <c r="G56">
        <v>1.6823333333333335</v>
      </c>
      <c r="H56">
        <v>3.3333333333333335E-3</v>
      </c>
      <c r="I56">
        <v>10.166666666666666</v>
      </c>
      <c r="J56">
        <v>11.386666666666667</v>
      </c>
      <c r="K56">
        <v>3.0380000000000003</v>
      </c>
      <c r="L56">
        <v>1.2152000000000001E-2</v>
      </c>
      <c r="M56">
        <v>0</v>
      </c>
      <c r="N56">
        <v>0</v>
      </c>
      <c r="O56">
        <v>0</v>
      </c>
      <c r="P56">
        <v>0</v>
      </c>
      <c r="Q56">
        <v>35.592172000000005</v>
      </c>
      <c r="R56">
        <v>35.592172000000005</v>
      </c>
      <c r="S56">
        <v>76.886490800000018</v>
      </c>
    </row>
    <row r="57" spans="1:19" ht="15" x14ac:dyDescent="0.25">
      <c r="A57" t="s">
        <v>1249</v>
      </c>
      <c r="B57" t="s">
        <v>1506</v>
      </c>
      <c r="C57" t="s">
        <v>46</v>
      </c>
      <c r="D57" t="s">
        <v>23</v>
      </c>
      <c r="E57" t="s">
        <v>34</v>
      </c>
      <c r="F57" t="s">
        <v>35</v>
      </c>
      <c r="G57">
        <v>0</v>
      </c>
      <c r="H57">
        <v>0</v>
      </c>
      <c r="I57">
        <v>0</v>
      </c>
      <c r="J57">
        <v>0</v>
      </c>
      <c r="K57">
        <v>0</v>
      </c>
      <c r="L57">
        <v>0</v>
      </c>
      <c r="M57">
        <v>0</v>
      </c>
      <c r="N57">
        <v>0</v>
      </c>
      <c r="O57">
        <v>0</v>
      </c>
      <c r="P57">
        <v>0.49315068493150682</v>
      </c>
      <c r="Q57">
        <v>0</v>
      </c>
      <c r="R57">
        <v>1.6740000000000002</v>
      </c>
      <c r="S57">
        <v>1.6740000000000002</v>
      </c>
    </row>
    <row r="58" spans="1:19" ht="15" x14ac:dyDescent="0.25">
      <c r="A58" t="s">
        <v>527</v>
      </c>
      <c r="C58" t="s">
        <v>528</v>
      </c>
      <c r="D58" t="s">
        <v>23</v>
      </c>
      <c r="E58" t="s">
        <v>34</v>
      </c>
      <c r="F58" t="s">
        <v>35</v>
      </c>
      <c r="G58">
        <v>390</v>
      </c>
      <c r="H58">
        <v>1</v>
      </c>
      <c r="I58">
        <v>0</v>
      </c>
      <c r="J58">
        <v>0</v>
      </c>
      <c r="K58">
        <v>558</v>
      </c>
      <c r="L58">
        <v>2.2320000000000002</v>
      </c>
      <c r="M58">
        <v>0</v>
      </c>
      <c r="N58">
        <v>0</v>
      </c>
      <c r="O58">
        <v>0</v>
      </c>
      <c r="P58">
        <v>0</v>
      </c>
      <c r="Q58">
        <v>4420.1499999999996</v>
      </c>
      <c r="R58">
        <v>4420.1499999999996</v>
      </c>
      <c r="S58">
        <v>12004.8208</v>
      </c>
    </row>
    <row r="59" spans="1:19" ht="15" x14ac:dyDescent="0.25">
      <c r="A59" t="s">
        <v>539</v>
      </c>
      <c r="C59" t="s">
        <v>66</v>
      </c>
      <c r="D59" t="s">
        <v>23</v>
      </c>
      <c r="E59" t="s">
        <v>34</v>
      </c>
      <c r="F59" t="s">
        <v>35</v>
      </c>
      <c r="G59">
        <v>0</v>
      </c>
      <c r="H59">
        <v>0</v>
      </c>
      <c r="I59">
        <v>0</v>
      </c>
      <c r="J59">
        <v>0</v>
      </c>
      <c r="K59">
        <v>0</v>
      </c>
      <c r="L59">
        <v>0</v>
      </c>
      <c r="M59">
        <v>0</v>
      </c>
      <c r="N59">
        <v>0</v>
      </c>
      <c r="O59">
        <v>0</v>
      </c>
      <c r="P59">
        <v>0</v>
      </c>
      <c r="Q59">
        <v>0</v>
      </c>
      <c r="R59">
        <v>0</v>
      </c>
      <c r="S59">
        <v>0</v>
      </c>
    </row>
    <row r="60" spans="1:19" ht="15" x14ac:dyDescent="0.25">
      <c r="A60" t="s">
        <v>1600</v>
      </c>
      <c r="B60" t="s">
        <v>1488</v>
      </c>
      <c r="C60" t="s">
        <v>22</v>
      </c>
      <c r="D60" t="s">
        <v>62</v>
      </c>
      <c r="E60" t="s">
        <v>34</v>
      </c>
      <c r="F60" t="s">
        <v>35</v>
      </c>
      <c r="G60">
        <v>0</v>
      </c>
      <c r="H60">
        <v>0</v>
      </c>
      <c r="I60">
        <v>0</v>
      </c>
      <c r="J60">
        <v>0</v>
      </c>
      <c r="K60">
        <v>0</v>
      </c>
      <c r="L60">
        <v>0</v>
      </c>
      <c r="M60">
        <v>0</v>
      </c>
      <c r="N60">
        <v>0</v>
      </c>
      <c r="O60">
        <v>0</v>
      </c>
      <c r="P60">
        <v>0</v>
      </c>
      <c r="Q60">
        <v>0</v>
      </c>
      <c r="R60">
        <v>0</v>
      </c>
      <c r="S60">
        <v>0</v>
      </c>
    </row>
    <row r="61" spans="1:19" ht="15" x14ac:dyDescent="0.25">
      <c r="A61" t="s">
        <v>1601</v>
      </c>
      <c r="B61" t="s">
        <v>1489</v>
      </c>
      <c r="C61" t="s">
        <v>22</v>
      </c>
      <c r="D61" t="s">
        <v>62</v>
      </c>
      <c r="E61" t="s">
        <v>34</v>
      </c>
      <c r="F61" t="s">
        <v>35</v>
      </c>
      <c r="G61">
        <v>0</v>
      </c>
      <c r="H61">
        <v>0</v>
      </c>
      <c r="I61">
        <v>0</v>
      </c>
      <c r="J61">
        <v>0</v>
      </c>
      <c r="K61">
        <v>0</v>
      </c>
      <c r="L61">
        <v>0</v>
      </c>
      <c r="M61">
        <v>0</v>
      </c>
      <c r="N61">
        <v>0</v>
      </c>
      <c r="O61">
        <v>0</v>
      </c>
      <c r="P61">
        <v>0</v>
      </c>
      <c r="Q61">
        <v>0</v>
      </c>
      <c r="R61">
        <v>0</v>
      </c>
      <c r="S61">
        <v>0</v>
      </c>
    </row>
    <row r="62" spans="1:19" ht="15" x14ac:dyDescent="0.25">
      <c r="A62" t="s">
        <v>1272</v>
      </c>
      <c r="B62" t="s">
        <v>1272</v>
      </c>
      <c r="C62" t="s">
        <v>46</v>
      </c>
      <c r="D62" t="s">
        <v>131</v>
      </c>
      <c r="E62" t="s">
        <v>24</v>
      </c>
      <c r="F62" t="s">
        <v>35</v>
      </c>
      <c r="G62">
        <v>96.693249400900839</v>
      </c>
      <c r="H62">
        <v>26.982045036207516</v>
      </c>
      <c r="I62">
        <v>0</v>
      </c>
      <c r="J62">
        <v>0</v>
      </c>
      <c r="K62">
        <v>60</v>
      </c>
      <c r="L62">
        <v>0.24</v>
      </c>
      <c r="M62">
        <v>9791999.9999999981</v>
      </c>
      <c r="N62">
        <v>0.8618305705469439</v>
      </c>
      <c r="O62">
        <v>0.99998190913477858</v>
      </c>
      <c r="P62">
        <v>0</v>
      </c>
      <c r="Q62">
        <v>71524752.664869323</v>
      </c>
      <c r="R62">
        <v>71524752.664869323</v>
      </c>
      <c r="S62">
        <v>71525568.220869318</v>
      </c>
    </row>
    <row r="63" spans="1:19" ht="15" x14ac:dyDescent="0.25">
      <c r="A63" t="s">
        <v>1602</v>
      </c>
      <c r="B63" t="s">
        <v>568</v>
      </c>
      <c r="C63" t="s">
        <v>70</v>
      </c>
      <c r="D63" t="s">
        <v>23</v>
      </c>
      <c r="E63" t="s">
        <v>34</v>
      </c>
      <c r="F63" t="s">
        <v>35</v>
      </c>
      <c r="G63">
        <v>14.728999999999999</v>
      </c>
      <c r="H63">
        <v>1.9200000000000002E-2</v>
      </c>
      <c r="I63">
        <v>0</v>
      </c>
      <c r="J63">
        <v>68.319999999999993</v>
      </c>
      <c r="K63">
        <v>26.597999999999999</v>
      </c>
      <c r="L63">
        <v>0.106392</v>
      </c>
      <c r="M63">
        <v>0</v>
      </c>
      <c r="N63">
        <v>0</v>
      </c>
      <c r="O63">
        <v>0</v>
      </c>
      <c r="P63">
        <v>0</v>
      </c>
      <c r="Q63">
        <v>181.11621199999996</v>
      </c>
      <c r="R63">
        <v>181.11621199999996</v>
      </c>
      <c r="S63">
        <v>542.65218679999998</v>
      </c>
    </row>
    <row r="64" spans="1:19" ht="15" x14ac:dyDescent="0.25">
      <c r="A64" t="s">
        <v>678</v>
      </c>
      <c r="C64" t="s">
        <v>139</v>
      </c>
      <c r="D64" t="s">
        <v>23</v>
      </c>
      <c r="E64" t="s">
        <v>34</v>
      </c>
      <c r="F64" t="s">
        <v>35</v>
      </c>
      <c r="G64">
        <v>1293.9850000000001</v>
      </c>
      <c r="H64">
        <v>5.377600000000001</v>
      </c>
      <c r="I64">
        <v>661.71368000000007</v>
      </c>
      <c r="J64">
        <v>4070.3659380000008</v>
      </c>
      <c r="K64">
        <v>286.44</v>
      </c>
      <c r="L64">
        <v>1.1457600000000001</v>
      </c>
      <c r="M64">
        <v>0</v>
      </c>
      <c r="N64">
        <v>0</v>
      </c>
      <c r="O64">
        <v>0</v>
      </c>
      <c r="P64">
        <v>0</v>
      </c>
      <c r="Q64">
        <v>21196.205787367806</v>
      </c>
      <c r="R64">
        <v>21196.205787367806</v>
      </c>
      <c r="S64">
        <v>25089.67013136781</v>
      </c>
    </row>
    <row r="65" spans="1:19" ht="15" x14ac:dyDescent="0.25">
      <c r="A65" t="s">
        <v>1603</v>
      </c>
      <c r="B65" t="s">
        <v>1490</v>
      </c>
      <c r="C65" t="s">
        <v>22</v>
      </c>
      <c r="D65" t="s">
        <v>33</v>
      </c>
      <c r="E65" t="s">
        <v>34</v>
      </c>
      <c r="F65" t="s">
        <v>35</v>
      </c>
      <c r="G65">
        <v>672.40384615384596</v>
      </c>
      <c r="H65">
        <v>1.0086057692307691</v>
      </c>
      <c r="I65">
        <v>0</v>
      </c>
      <c r="J65">
        <v>1312.5323076923073</v>
      </c>
      <c r="K65">
        <v>192</v>
      </c>
      <c r="L65">
        <v>0.76800000000000002</v>
      </c>
      <c r="M65">
        <v>0</v>
      </c>
      <c r="N65">
        <v>0</v>
      </c>
      <c r="O65">
        <v>0</v>
      </c>
      <c r="P65">
        <v>0</v>
      </c>
      <c r="Q65">
        <v>7328.8255114038438</v>
      </c>
      <c r="R65">
        <v>7328.8255114038438</v>
      </c>
      <c r="S65">
        <v>9938.6047114038429</v>
      </c>
    </row>
    <row r="66" spans="1:19" ht="15" x14ac:dyDescent="0.25">
      <c r="A66" t="s">
        <v>1604</v>
      </c>
      <c r="B66" t="s">
        <v>1491</v>
      </c>
      <c r="C66" t="s">
        <v>22</v>
      </c>
      <c r="D66" t="s">
        <v>33</v>
      </c>
      <c r="E66" t="s">
        <v>34</v>
      </c>
      <c r="F66" t="s">
        <v>35</v>
      </c>
      <c r="G66">
        <v>172.92545913461535</v>
      </c>
      <c r="H66">
        <v>0.24836917067307684</v>
      </c>
      <c r="I66">
        <v>951.4514423076921</v>
      </c>
      <c r="J66">
        <v>1539.1324038461535</v>
      </c>
      <c r="K66">
        <v>51.435000000000002</v>
      </c>
      <c r="L66">
        <v>0.20574000000000001</v>
      </c>
      <c r="M66">
        <v>0</v>
      </c>
      <c r="N66">
        <v>0</v>
      </c>
      <c r="O66">
        <v>0</v>
      </c>
      <c r="P66">
        <v>0</v>
      </c>
      <c r="Q66">
        <v>3644.6377494212734</v>
      </c>
      <c r="R66">
        <v>3644.6377494212734</v>
      </c>
      <c r="S66">
        <v>4343.773130421273</v>
      </c>
    </row>
    <row r="67" spans="1:19" ht="15" x14ac:dyDescent="0.25">
      <c r="A67" t="s">
        <v>699</v>
      </c>
      <c r="B67" t="s">
        <v>1492</v>
      </c>
      <c r="C67" t="s">
        <v>139</v>
      </c>
      <c r="D67" t="s">
        <v>23</v>
      </c>
      <c r="E67" t="s">
        <v>34</v>
      </c>
      <c r="F67" t="s">
        <v>35</v>
      </c>
      <c r="G67">
        <v>403.32000000000005</v>
      </c>
      <c r="H67">
        <v>1.3444000000000003</v>
      </c>
      <c r="I67">
        <v>0</v>
      </c>
      <c r="J67">
        <v>6453.1200000000008</v>
      </c>
      <c r="K67">
        <v>93</v>
      </c>
      <c r="L67">
        <v>0.372</v>
      </c>
      <c r="M67">
        <v>0</v>
      </c>
      <c r="N67">
        <v>0</v>
      </c>
      <c r="O67">
        <v>0</v>
      </c>
      <c r="P67">
        <v>0</v>
      </c>
      <c r="Q67">
        <v>9157.5553720000025</v>
      </c>
      <c r="R67">
        <v>9157.5553720000025</v>
      </c>
      <c r="S67">
        <v>10421.667172000001</v>
      </c>
    </row>
    <row r="68" spans="1:19" ht="15" x14ac:dyDescent="0.25">
      <c r="A68" t="s">
        <v>1605</v>
      </c>
      <c r="B68" t="s">
        <v>1493</v>
      </c>
      <c r="C68" t="s">
        <v>46</v>
      </c>
      <c r="D68" t="s">
        <v>47</v>
      </c>
      <c r="E68" t="s">
        <v>34</v>
      </c>
      <c r="F68" t="s">
        <v>35</v>
      </c>
      <c r="G68">
        <v>0</v>
      </c>
      <c r="H68">
        <v>0</v>
      </c>
      <c r="I68">
        <v>0</v>
      </c>
      <c r="J68">
        <v>0</v>
      </c>
      <c r="K68">
        <v>0</v>
      </c>
      <c r="L68">
        <v>0</v>
      </c>
      <c r="M68">
        <v>0</v>
      </c>
      <c r="N68">
        <v>0</v>
      </c>
      <c r="O68">
        <v>0</v>
      </c>
      <c r="P68">
        <v>0</v>
      </c>
      <c r="Q68">
        <v>0</v>
      </c>
      <c r="R68">
        <v>0</v>
      </c>
      <c r="S68">
        <v>0</v>
      </c>
    </row>
    <row r="69" spans="1:19" ht="15" x14ac:dyDescent="0.25">
      <c r="A69" t="s">
        <v>1606</v>
      </c>
      <c r="B69" t="s">
        <v>1494</v>
      </c>
      <c r="C69" t="s">
        <v>46</v>
      </c>
      <c r="D69" t="s">
        <v>165</v>
      </c>
      <c r="E69" t="s">
        <v>34</v>
      </c>
      <c r="F69" t="s">
        <v>35</v>
      </c>
      <c r="G69">
        <v>0</v>
      </c>
      <c r="H69">
        <v>0</v>
      </c>
      <c r="I69">
        <v>0</v>
      </c>
      <c r="J69">
        <v>0</v>
      </c>
      <c r="K69">
        <v>0</v>
      </c>
      <c r="L69">
        <v>0</v>
      </c>
      <c r="M69">
        <v>0</v>
      </c>
      <c r="N69">
        <v>0</v>
      </c>
      <c r="O69">
        <v>0</v>
      </c>
      <c r="P69">
        <v>0</v>
      </c>
      <c r="Q69">
        <v>0</v>
      </c>
      <c r="R69">
        <v>0</v>
      </c>
      <c r="S69">
        <v>0</v>
      </c>
    </row>
    <row r="70" spans="1:19" ht="15" x14ac:dyDescent="0.25">
      <c r="A70" t="s">
        <v>1607</v>
      </c>
      <c r="B70" t="s">
        <v>1495</v>
      </c>
      <c r="C70" t="s">
        <v>46</v>
      </c>
      <c r="D70" t="s">
        <v>165</v>
      </c>
      <c r="E70" t="s">
        <v>24</v>
      </c>
      <c r="F70" t="s">
        <v>35</v>
      </c>
      <c r="G70">
        <v>0</v>
      </c>
      <c r="H70">
        <v>0</v>
      </c>
      <c r="I70">
        <v>0</v>
      </c>
      <c r="J70">
        <v>0</v>
      </c>
      <c r="K70">
        <v>0</v>
      </c>
      <c r="L70">
        <v>0</v>
      </c>
      <c r="M70">
        <v>0</v>
      </c>
      <c r="N70">
        <v>0</v>
      </c>
      <c r="O70">
        <v>0</v>
      </c>
      <c r="P70">
        <v>0</v>
      </c>
      <c r="Q70">
        <v>0</v>
      </c>
      <c r="R70">
        <v>0</v>
      </c>
      <c r="S70">
        <v>0</v>
      </c>
    </row>
    <row r="71" spans="1:19" ht="15" x14ac:dyDescent="0.25">
      <c r="A71" t="s">
        <v>1608</v>
      </c>
      <c r="B71" t="s">
        <v>1496</v>
      </c>
      <c r="C71" t="s">
        <v>139</v>
      </c>
      <c r="D71" t="s">
        <v>23</v>
      </c>
      <c r="E71" t="s">
        <v>34</v>
      </c>
      <c r="F71" t="s">
        <v>35</v>
      </c>
      <c r="G71">
        <v>0</v>
      </c>
      <c r="H71">
        <v>0</v>
      </c>
      <c r="I71">
        <v>0</v>
      </c>
      <c r="J71">
        <v>0</v>
      </c>
      <c r="K71">
        <v>0</v>
      </c>
      <c r="L71">
        <v>0</v>
      </c>
      <c r="M71">
        <v>0</v>
      </c>
      <c r="N71">
        <v>0</v>
      </c>
      <c r="O71">
        <v>0</v>
      </c>
      <c r="P71">
        <v>0</v>
      </c>
      <c r="Q71">
        <v>0</v>
      </c>
      <c r="R71">
        <v>0</v>
      </c>
      <c r="S71">
        <v>0</v>
      </c>
    </row>
    <row r="72" spans="1:19" ht="15" x14ac:dyDescent="0.25">
      <c r="A72" t="s">
        <v>1609</v>
      </c>
      <c r="B72" t="s">
        <v>1497</v>
      </c>
      <c r="C72" t="s">
        <v>22</v>
      </c>
      <c r="D72" t="s">
        <v>33</v>
      </c>
      <c r="E72" t="s">
        <v>34</v>
      </c>
      <c r="F72" t="s">
        <v>35</v>
      </c>
      <c r="G72">
        <v>0</v>
      </c>
      <c r="H72">
        <v>0.70467923076923067</v>
      </c>
      <c r="I72">
        <v>0</v>
      </c>
      <c r="J72">
        <v>0</v>
      </c>
      <c r="K72">
        <v>0</v>
      </c>
      <c r="L72">
        <v>0</v>
      </c>
      <c r="M72">
        <v>0</v>
      </c>
      <c r="N72">
        <v>0.56852733609204842</v>
      </c>
      <c r="O72">
        <v>0.99729114275307729</v>
      </c>
      <c r="P72">
        <v>0</v>
      </c>
      <c r="Q72">
        <v>1108.5661318846153</v>
      </c>
      <c r="R72">
        <v>1108.5661318846153</v>
      </c>
      <c r="S72">
        <v>1108.5661318846153</v>
      </c>
    </row>
    <row r="73" spans="1:19" ht="15" x14ac:dyDescent="0.25">
      <c r="A73" t="s">
        <v>1178</v>
      </c>
      <c r="C73" t="s">
        <v>70</v>
      </c>
      <c r="D73" t="s">
        <v>23</v>
      </c>
      <c r="E73" t="s">
        <v>24</v>
      </c>
      <c r="F73" t="s">
        <v>35</v>
      </c>
      <c r="G73">
        <v>1.5449999999999999</v>
      </c>
      <c r="H73">
        <v>2.8E-3</v>
      </c>
      <c r="I73">
        <v>1.48</v>
      </c>
      <c r="J73">
        <v>1.6576</v>
      </c>
      <c r="K73">
        <v>2.79</v>
      </c>
      <c r="L73">
        <v>1.116E-2</v>
      </c>
      <c r="M73">
        <v>0</v>
      </c>
      <c r="N73">
        <v>0</v>
      </c>
      <c r="O73">
        <v>0</v>
      </c>
      <c r="P73">
        <v>0</v>
      </c>
      <c r="Q73">
        <v>18.31344576</v>
      </c>
      <c r="R73">
        <v>18.31344576</v>
      </c>
      <c r="S73">
        <v>56.236799760000004</v>
      </c>
    </row>
    <row r="74" spans="1:19" ht="15" x14ac:dyDescent="0.25">
      <c r="A74" t="s">
        <v>1516</v>
      </c>
      <c r="B74" t="s">
        <v>1515</v>
      </c>
      <c r="C74" t="s">
        <v>22</v>
      </c>
      <c r="D74" t="s">
        <v>1515</v>
      </c>
      <c r="E74" t="s">
        <v>34</v>
      </c>
      <c r="F74" t="s">
        <v>35</v>
      </c>
      <c r="G74">
        <v>1124.1249999999998</v>
      </c>
      <c r="H74">
        <v>0.83</v>
      </c>
      <c r="I74">
        <v>2448</v>
      </c>
      <c r="J74">
        <v>2937.6</v>
      </c>
      <c r="K74">
        <v>2346</v>
      </c>
      <c r="L74">
        <v>9.3840000000000003</v>
      </c>
      <c r="M74">
        <v>4</v>
      </c>
      <c r="N74">
        <v>0</v>
      </c>
      <c r="O74">
        <v>0</v>
      </c>
      <c r="P74">
        <v>21.6</v>
      </c>
      <c r="Q74">
        <v>14015.775159999996</v>
      </c>
      <c r="R74">
        <v>14089.096359999998</v>
      </c>
      <c r="S74">
        <v>45977.335959999997</v>
      </c>
    </row>
    <row r="75" spans="1:19" ht="15" x14ac:dyDescent="0.25">
      <c r="A75" t="s">
        <v>1516</v>
      </c>
      <c r="B75" t="s">
        <v>1716</v>
      </c>
      <c r="C75" t="s">
        <v>46</v>
      </c>
      <c r="D75" t="s">
        <v>1158</v>
      </c>
      <c r="E75" t="s">
        <v>34</v>
      </c>
      <c r="F75" t="s">
        <v>35</v>
      </c>
      <c r="G75">
        <v>0</v>
      </c>
      <c r="H75">
        <v>0</v>
      </c>
      <c r="I75">
        <v>0</v>
      </c>
      <c r="J75">
        <v>0</v>
      </c>
      <c r="K75">
        <v>0</v>
      </c>
      <c r="L75">
        <v>0</v>
      </c>
      <c r="M75">
        <v>0</v>
      </c>
      <c r="N75">
        <v>0</v>
      </c>
      <c r="O75">
        <v>0</v>
      </c>
      <c r="P75">
        <v>21.6</v>
      </c>
      <c r="Q75">
        <v>0</v>
      </c>
      <c r="R75">
        <v>73.321200000000005</v>
      </c>
      <c r="S75">
        <v>73.321200000000005</v>
      </c>
    </row>
    <row r="76" spans="1:19" ht="15" x14ac:dyDescent="0.25">
      <c r="A76" t="s">
        <v>1517</v>
      </c>
      <c r="B76" t="s">
        <v>1518</v>
      </c>
      <c r="C76" t="s">
        <v>22</v>
      </c>
      <c r="D76" t="s">
        <v>1519</v>
      </c>
      <c r="E76" t="s">
        <v>34</v>
      </c>
      <c r="F76" t="s">
        <v>35</v>
      </c>
      <c r="G76">
        <v>88.575917590588247</v>
      </c>
      <c r="H76">
        <v>0.34515000000000007</v>
      </c>
      <c r="I76">
        <v>473.73529411764719</v>
      </c>
      <c r="J76">
        <v>577.95705882352956</v>
      </c>
      <c r="K76">
        <v>32.720351999999998</v>
      </c>
      <c r="L76">
        <v>0.130881408</v>
      </c>
      <c r="M76">
        <v>1.0201063905882355</v>
      </c>
      <c r="N76">
        <v>0</v>
      </c>
      <c r="O76">
        <v>0</v>
      </c>
      <c r="P76">
        <v>1.4076735999999999</v>
      </c>
      <c r="Q76">
        <v>2068.9913020920003</v>
      </c>
      <c r="R76">
        <v>2073.7696501272003</v>
      </c>
      <c r="S76">
        <v>2518.5243067224005</v>
      </c>
    </row>
    <row r="77" spans="1:19" ht="15" x14ac:dyDescent="0.25">
      <c r="A77" t="s">
        <v>1523</v>
      </c>
      <c r="B77" t="s">
        <v>1533</v>
      </c>
      <c r="C77" t="s">
        <v>22</v>
      </c>
      <c r="D77" t="s">
        <v>1519</v>
      </c>
      <c r="E77" t="s">
        <v>34</v>
      </c>
      <c r="F77" t="s">
        <v>35</v>
      </c>
      <c r="G77">
        <v>1261.3543295294123</v>
      </c>
      <c r="H77">
        <v>10.631973529411766</v>
      </c>
      <c r="I77">
        <v>11793.73489411765</v>
      </c>
      <c r="J77">
        <v>14152.48187294118</v>
      </c>
      <c r="K77">
        <v>486.2088</v>
      </c>
      <c r="L77">
        <v>1.9448352</v>
      </c>
      <c r="M77">
        <v>17.543521160354558</v>
      </c>
      <c r="N77">
        <v>0.78662786106655347</v>
      </c>
      <c r="O77">
        <v>0.99988582071314025</v>
      </c>
      <c r="P77">
        <v>24.2088</v>
      </c>
      <c r="Q77">
        <v>47619.647355484951</v>
      </c>
      <c r="R77">
        <v>47701.824127084954</v>
      </c>
      <c r="S77">
        <v>54310.665861964953</v>
      </c>
    </row>
    <row r="78" spans="1:19" ht="15" x14ac:dyDescent="0.25">
      <c r="A78" t="s">
        <v>1534</v>
      </c>
      <c r="B78" t="s">
        <v>1536</v>
      </c>
      <c r="C78" t="s">
        <v>22</v>
      </c>
      <c r="D78" t="s">
        <v>1519</v>
      </c>
      <c r="E78" t="s">
        <v>34</v>
      </c>
      <c r="F78" t="s">
        <v>35</v>
      </c>
      <c r="G78">
        <v>12962.53461176471</v>
      </c>
      <c r="H78">
        <v>135.92819117647062</v>
      </c>
      <c r="I78">
        <v>124446.8779411765</v>
      </c>
      <c r="J78">
        <v>149336.2535294118</v>
      </c>
      <c r="K78">
        <v>561</v>
      </c>
      <c r="L78">
        <v>2.2440000000000002</v>
      </c>
      <c r="M78">
        <v>185.11832393231271</v>
      </c>
      <c r="N78">
        <v>0.78662786106655347</v>
      </c>
      <c r="O78">
        <v>0.99988582071314025</v>
      </c>
      <c r="P78">
        <v>1728.7954411764711</v>
      </c>
      <c r="Q78">
        <v>537292.23750608834</v>
      </c>
      <c r="R78">
        <v>543160.63363116188</v>
      </c>
      <c r="S78">
        <v>550786.08223116188</v>
      </c>
    </row>
    <row r="79" spans="1:19" ht="15" x14ac:dyDescent="0.25">
      <c r="A79" t="s">
        <v>1693</v>
      </c>
      <c r="B79" t="s">
        <v>1535</v>
      </c>
      <c r="C79" t="s">
        <v>22</v>
      </c>
      <c r="D79" t="s">
        <v>1519</v>
      </c>
      <c r="E79" t="s">
        <v>34</v>
      </c>
      <c r="F79" t="s">
        <v>35</v>
      </c>
      <c r="G79">
        <v>109117.95161647063</v>
      </c>
      <c r="H79">
        <v>1144.2365426470592</v>
      </c>
      <c r="I79">
        <v>1047587.4366176474</v>
      </c>
      <c r="J79">
        <v>1257104.9239411769</v>
      </c>
      <c r="K79">
        <v>561</v>
      </c>
      <c r="L79">
        <v>2.2440000000000002</v>
      </c>
      <c r="M79">
        <v>1558.3165576148274</v>
      </c>
      <c r="N79">
        <v>0.78662786106655347</v>
      </c>
      <c r="O79">
        <v>0.99988582071314025</v>
      </c>
      <c r="P79">
        <v>14552.911367647064</v>
      </c>
      <c r="Q79">
        <v>4522898.501878175</v>
      </c>
      <c r="R79">
        <v>4572298.3595156539</v>
      </c>
      <c r="S79">
        <v>4579923.8081156537</v>
      </c>
    </row>
    <row r="80" spans="1:19" ht="15" x14ac:dyDescent="0.25">
      <c r="A80" t="s">
        <v>1689</v>
      </c>
      <c r="B80" t="s">
        <v>1686</v>
      </c>
      <c r="C80" t="s">
        <v>22</v>
      </c>
      <c r="D80" t="s">
        <v>1519</v>
      </c>
      <c r="E80" t="s">
        <v>34</v>
      </c>
      <c r="F80" t="s">
        <v>35</v>
      </c>
      <c r="G80">
        <v>35597.114280000009</v>
      </c>
      <c r="H80">
        <v>373.2797250000001</v>
      </c>
      <c r="I80">
        <v>341750.27250000002</v>
      </c>
      <c r="J80">
        <v>410100.32700000005</v>
      </c>
      <c r="K80">
        <v>561</v>
      </c>
      <c r="L80">
        <v>2.2440000000000002</v>
      </c>
      <c r="M80">
        <v>508.3633972602741</v>
      </c>
      <c r="N80">
        <v>0.78662786106655347</v>
      </c>
      <c r="O80">
        <v>0.99988582071314025</v>
      </c>
      <c r="P80">
        <v>4747.5382500000014</v>
      </c>
      <c r="Q80">
        <v>1475487.1445359502</v>
      </c>
      <c r="R80">
        <v>1491602.6631255753</v>
      </c>
      <c r="S80">
        <v>1499228.1117255753</v>
      </c>
    </row>
    <row r="81" spans="1:19" ht="15" x14ac:dyDescent="0.25">
      <c r="A81" t="s">
        <v>1692</v>
      </c>
      <c r="B81" t="s">
        <v>1694</v>
      </c>
      <c r="C81" t="s">
        <v>22</v>
      </c>
      <c r="D81" t="s">
        <v>1519</v>
      </c>
      <c r="E81" t="s">
        <v>34</v>
      </c>
      <c r="F81" t="s">
        <v>35</v>
      </c>
      <c r="G81">
        <v>34154.616838588248</v>
      </c>
      <c r="H81">
        <v>358.15335705882364</v>
      </c>
      <c r="I81">
        <v>327901.56864705891</v>
      </c>
      <c r="J81">
        <v>393481.88237647072</v>
      </c>
      <c r="K81">
        <v>561</v>
      </c>
      <c r="L81">
        <v>2.2440000000000002</v>
      </c>
      <c r="M81">
        <v>487.7630504431911</v>
      </c>
      <c r="N81">
        <v>0.78662786106655347</v>
      </c>
      <c r="O81">
        <v>0.99988582071314025</v>
      </c>
      <c r="P81">
        <v>4555.1543470588249</v>
      </c>
      <c r="Q81">
        <v>1415696.1622083501</v>
      </c>
      <c r="R81">
        <v>1431158.6336394413</v>
      </c>
      <c r="S81">
        <v>1438784.0822394413</v>
      </c>
    </row>
    <row r="82" spans="1:19" ht="15" x14ac:dyDescent="0.25">
      <c r="A82" t="s">
        <v>1703</v>
      </c>
      <c r="B82" t="s">
        <v>1702</v>
      </c>
      <c r="C82" t="s">
        <v>22</v>
      </c>
      <c r="D82" t="s">
        <v>1519</v>
      </c>
      <c r="E82" t="s">
        <v>34</v>
      </c>
      <c r="F82" t="s">
        <v>35</v>
      </c>
      <c r="G82">
        <v>37890.485788235303</v>
      </c>
      <c r="H82">
        <v>397.32855882352953</v>
      </c>
      <c r="I82">
        <v>363767.79705882363</v>
      </c>
      <c r="J82">
        <v>436521.35647058836</v>
      </c>
      <c r="K82">
        <v>561</v>
      </c>
      <c r="L82">
        <v>2.2440000000000002</v>
      </c>
      <c r="M82">
        <v>541.11510072522185</v>
      </c>
      <c r="N82">
        <v>0.78662786106655347</v>
      </c>
      <c r="O82">
        <v>0.99988582071314025</v>
      </c>
      <c r="P82">
        <v>5053.4020588235298</v>
      </c>
      <c r="Q82">
        <v>1570546.5404024124</v>
      </c>
      <c r="R82">
        <v>1587700.3136910889</v>
      </c>
      <c r="S82">
        <v>1595325.7622910889</v>
      </c>
    </row>
    <row r="83" spans="1:19" ht="15" x14ac:dyDescent="0.25">
      <c r="A83" t="s">
        <v>1701</v>
      </c>
      <c r="B83" t="s">
        <v>1700</v>
      </c>
      <c r="C83" t="s">
        <v>22</v>
      </c>
      <c r="D83" t="s">
        <v>1519</v>
      </c>
      <c r="E83" t="s">
        <v>34</v>
      </c>
      <c r="F83" t="s">
        <v>35</v>
      </c>
      <c r="G83">
        <v>76485.601663058842</v>
      </c>
      <c r="H83">
        <v>802.04603470588256</v>
      </c>
      <c r="I83">
        <v>734300.3987647061</v>
      </c>
      <c r="J83">
        <v>881160.47851764737</v>
      </c>
      <c r="K83">
        <v>561</v>
      </c>
      <c r="L83">
        <v>2.2440000000000002</v>
      </c>
      <c r="M83">
        <v>1092.2930436744564</v>
      </c>
      <c r="N83">
        <v>0.78662786106655347</v>
      </c>
      <c r="O83">
        <v>0.99988582071314025</v>
      </c>
      <c r="P83">
        <v>10200.779664705886</v>
      </c>
      <c r="Q83">
        <v>3170299.7357666935</v>
      </c>
      <c r="R83">
        <v>3204926.2823385373</v>
      </c>
      <c r="S83">
        <v>3212551.7309385375</v>
      </c>
    </row>
    <row r="84" spans="1:19" ht="15" x14ac:dyDescent="0.25">
      <c r="A84" t="s">
        <v>1717</v>
      </c>
      <c r="B84" t="s">
        <v>1718</v>
      </c>
      <c r="C84" t="s">
        <v>22</v>
      </c>
      <c r="D84" t="s">
        <v>33</v>
      </c>
      <c r="E84" t="s">
        <v>34</v>
      </c>
      <c r="F84" t="s">
        <v>35</v>
      </c>
      <c r="G84">
        <v>383.27019230769224</v>
      </c>
      <c r="H84">
        <v>0.36982211538461529</v>
      </c>
      <c r="I84">
        <v>704.34302884615374</v>
      </c>
      <c r="J84">
        <v>1492.736538461538</v>
      </c>
      <c r="K84">
        <v>142.5</v>
      </c>
      <c r="L84">
        <v>0.57000000000000006</v>
      </c>
      <c r="M84">
        <v>0</v>
      </c>
      <c r="N84">
        <v>0</v>
      </c>
      <c r="O84">
        <v>0</v>
      </c>
      <c r="P84">
        <v>0</v>
      </c>
      <c r="Q84">
        <v>5078.3838403846139</v>
      </c>
      <c r="R84">
        <v>5078.3838403846139</v>
      </c>
      <c r="S84">
        <v>7015.3293403846146</v>
      </c>
    </row>
    <row r="85" spans="1:19" ht="15" x14ac:dyDescent="0.25">
      <c r="A85" t="s">
        <v>1721</v>
      </c>
      <c r="B85" t="s">
        <v>1719</v>
      </c>
      <c r="C85" t="s">
        <v>22</v>
      </c>
      <c r="D85" t="s">
        <v>1724</v>
      </c>
      <c r="E85" t="s">
        <v>34</v>
      </c>
      <c r="F85" t="s">
        <v>35</v>
      </c>
      <c r="G85">
        <v>15.625</v>
      </c>
      <c r="H85">
        <v>6.25E-2</v>
      </c>
      <c r="I85">
        <v>208</v>
      </c>
      <c r="J85">
        <v>253.76</v>
      </c>
      <c r="K85">
        <v>37.5</v>
      </c>
      <c r="L85">
        <v>0.15</v>
      </c>
      <c r="M85">
        <v>0</v>
      </c>
      <c r="N85">
        <v>0</v>
      </c>
      <c r="O85">
        <v>0</v>
      </c>
      <c r="P85">
        <v>0</v>
      </c>
      <c r="Q85">
        <v>595.23375099999998</v>
      </c>
      <c r="R85">
        <v>595.23375099999998</v>
      </c>
      <c r="S85">
        <v>1104.9562509999998</v>
      </c>
    </row>
    <row r="86" spans="1:19" ht="15" x14ac:dyDescent="0.25">
      <c r="A86" t="s">
        <v>1722</v>
      </c>
      <c r="B86" t="s">
        <v>1720</v>
      </c>
      <c r="C86" t="s">
        <v>22</v>
      </c>
      <c r="D86" t="s">
        <v>1724</v>
      </c>
      <c r="E86" t="s">
        <v>34</v>
      </c>
      <c r="F86" t="s">
        <v>35</v>
      </c>
      <c r="G86">
        <v>16.875</v>
      </c>
      <c r="H86">
        <v>6.25E-2</v>
      </c>
      <c r="I86">
        <v>208</v>
      </c>
      <c r="J86">
        <v>343.2</v>
      </c>
      <c r="K86">
        <v>37.5</v>
      </c>
      <c r="L86">
        <v>0.15</v>
      </c>
      <c r="M86">
        <v>0</v>
      </c>
      <c r="N86">
        <v>0</v>
      </c>
      <c r="O86">
        <v>0</v>
      </c>
      <c r="P86">
        <v>0</v>
      </c>
      <c r="Q86">
        <v>661.16209500000002</v>
      </c>
      <c r="R86">
        <v>661.16209500000002</v>
      </c>
      <c r="S86">
        <v>1170.884595</v>
      </c>
    </row>
    <row r="87" spans="1:19" ht="15" x14ac:dyDescent="0.25">
      <c r="A87" t="s">
        <v>2002</v>
      </c>
      <c r="B87" t="s">
        <v>1723</v>
      </c>
      <c r="C87" t="s">
        <v>22</v>
      </c>
      <c r="D87" t="s">
        <v>1724</v>
      </c>
      <c r="E87" t="s">
        <v>34</v>
      </c>
      <c r="F87" t="s">
        <v>35</v>
      </c>
      <c r="G87">
        <v>0</v>
      </c>
      <c r="H87">
        <v>0</v>
      </c>
      <c r="I87">
        <v>0</v>
      </c>
      <c r="J87">
        <v>0</v>
      </c>
      <c r="K87">
        <v>0</v>
      </c>
      <c r="L87">
        <v>0</v>
      </c>
      <c r="M87">
        <v>0</v>
      </c>
      <c r="N87">
        <v>0</v>
      </c>
      <c r="O87">
        <v>0</v>
      </c>
      <c r="P87">
        <v>0</v>
      </c>
      <c r="Q87">
        <v>0</v>
      </c>
      <c r="R87">
        <v>0</v>
      </c>
      <c r="S87">
        <v>0</v>
      </c>
    </row>
    <row r="88" spans="1:19" ht="15" x14ac:dyDescent="0.25">
      <c r="A88" t="s">
        <v>2188</v>
      </c>
      <c r="B88" t="s">
        <v>2188</v>
      </c>
      <c r="F88" t="s">
        <v>35</v>
      </c>
      <c r="G88">
        <v>6.9236600000000008</v>
      </c>
      <c r="H88">
        <v>0</v>
      </c>
      <c r="I88">
        <v>0</v>
      </c>
      <c r="J88">
        <v>0</v>
      </c>
      <c r="K88">
        <v>12.878007600000002</v>
      </c>
      <c r="L88">
        <v>5.1512030400000006E-2</v>
      </c>
      <c r="M88">
        <v>0</v>
      </c>
      <c r="N88">
        <v>0</v>
      </c>
      <c r="O88">
        <v>0</v>
      </c>
      <c r="P88">
        <v>0</v>
      </c>
      <c r="Q88">
        <v>50.542718000000008</v>
      </c>
      <c r="R88">
        <v>50.542718000000008</v>
      </c>
      <c r="S88">
        <v>225.58832410376004</v>
      </c>
    </row>
    <row r="89" spans="1:19" ht="15" x14ac:dyDescent="0.25">
      <c r="Q89">
        <v>0</v>
      </c>
      <c r="R89">
        <v>0</v>
      </c>
      <c r="S89">
        <v>0</v>
      </c>
    </row>
    <row r="90" spans="1:19" ht="15" x14ac:dyDescent="0.25"/>
    <row r="91" spans="1:19" ht="15" x14ac:dyDescent="0.25"/>
    <row r="92" spans="1:19" ht="15" x14ac:dyDescent="0.25"/>
    <row r="93" spans="1:19" ht="15" x14ac:dyDescent="0.25"/>
    <row r="94" spans="1:19" ht="15" x14ac:dyDescent="0.25"/>
    <row r="95" spans="1:19" ht="15" x14ac:dyDescent="0.25"/>
    <row r="96" spans="1:19"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sheetData>
  <autoFilter ref="A1:S301" xr:uid="{00000000-0009-0000-0000-000002000000}">
    <sortState xmlns:xlrd2="http://schemas.microsoft.com/office/spreadsheetml/2017/richdata2" ref="A2:S301">
      <sortCondition ref="A1:A301"/>
    </sortState>
  </autoFilter>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70" zoomScaleNormal="70" workbookViewId="0">
      <pane xSplit="1" topLeftCell="C1" activePane="topRight" state="frozen"/>
      <selection pane="topRight" activeCell="C4" sqref="C4"/>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0" t="s">
        <v>842</v>
      </c>
      <c r="B1" s="36"/>
      <c r="C1" s="36"/>
      <c r="D1" s="36"/>
      <c r="E1" s="36"/>
      <c r="F1" s="36"/>
      <c r="G1" s="36"/>
      <c r="H1" s="36"/>
      <c r="I1" s="36"/>
      <c r="J1" s="36"/>
      <c r="K1" s="36"/>
      <c r="L1" s="36"/>
      <c r="M1" s="36"/>
      <c r="N1" s="36"/>
      <c r="O1" s="36"/>
      <c r="P1" s="36"/>
      <c r="Q1" s="36"/>
      <c r="R1" s="36"/>
      <c r="S1" s="36"/>
      <c r="T1" s="36"/>
      <c r="U1" s="36"/>
      <c r="V1" s="36"/>
      <c r="W1" s="36"/>
      <c r="X1" s="36"/>
      <c r="Y1" s="36"/>
      <c r="Z1" s="36"/>
      <c r="AA1" s="36"/>
      <c r="AB1" s="58"/>
      <c r="AC1" s="58"/>
      <c r="AD1" s="36"/>
      <c r="AE1" s="36"/>
      <c r="AF1" s="36"/>
      <c r="AG1" s="36"/>
      <c r="AH1" s="36"/>
    </row>
    <row r="2" spans="1:34" x14ac:dyDescent="0.25">
      <c r="A2" s="71" t="s">
        <v>952</v>
      </c>
      <c r="B2" s="36"/>
      <c r="C2" s="36"/>
      <c r="D2" s="36"/>
      <c r="E2" s="36"/>
      <c r="F2" s="36"/>
      <c r="G2" s="36"/>
      <c r="H2" s="36"/>
      <c r="I2" s="36"/>
      <c r="J2" s="36"/>
      <c r="K2" s="36"/>
      <c r="L2" s="36"/>
      <c r="M2" s="36"/>
      <c r="N2" s="36"/>
      <c r="O2" s="36"/>
      <c r="P2" s="36"/>
      <c r="Q2" s="36"/>
      <c r="R2" s="36"/>
      <c r="S2" s="36"/>
      <c r="T2" s="36"/>
      <c r="U2" s="36"/>
      <c r="V2" s="36"/>
      <c r="W2" s="36"/>
      <c r="X2" s="36"/>
      <c r="Y2" s="36"/>
      <c r="Z2" s="36"/>
      <c r="AA2" s="36"/>
      <c r="AB2" s="58"/>
      <c r="AC2" s="58"/>
      <c r="AD2" s="36"/>
      <c r="AE2" s="36"/>
      <c r="AF2" s="36"/>
      <c r="AG2" s="36"/>
      <c r="AH2" s="36"/>
    </row>
    <row r="3" spans="1:34" ht="97.35" customHeight="1" thickBot="1" x14ac:dyDescent="0.3">
      <c r="A3" s="72" t="s">
        <v>2189</v>
      </c>
      <c r="B3" s="36"/>
      <c r="C3" s="36"/>
      <c r="D3" s="36"/>
      <c r="E3" s="36"/>
      <c r="F3" s="36"/>
      <c r="G3" s="36"/>
      <c r="H3" s="36"/>
      <c r="I3" s="36"/>
      <c r="J3" s="36"/>
      <c r="K3" s="36"/>
      <c r="L3" s="36"/>
      <c r="M3" s="36"/>
      <c r="N3" s="36"/>
      <c r="O3" s="36"/>
      <c r="P3" s="36"/>
      <c r="Q3" s="36"/>
      <c r="R3" s="36"/>
      <c r="S3" s="36"/>
      <c r="T3" s="36"/>
      <c r="U3" s="36"/>
      <c r="V3" s="36"/>
      <c r="W3" s="36"/>
      <c r="X3" s="36"/>
      <c r="Y3" s="36"/>
      <c r="Z3" s="36"/>
      <c r="AA3" s="36"/>
      <c r="AB3" s="58"/>
      <c r="AC3" s="58"/>
      <c r="AD3" s="36"/>
      <c r="AE3" s="36"/>
      <c r="AF3" s="36"/>
      <c r="AG3" s="36"/>
      <c r="AH3" s="36"/>
    </row>
    <row r="4" spans="1:34" ht="43.35" customHeight="1" thickBot="1" x14ac:dyDescent="0.3">
      <c r="A4" s="90" t="s">
        <v>841</v>
      </c>
      <c r="B4" s="293" t="s">
        <v>843</v>
      </c>
      <c r="C4" s="293" t="s">
        <v>962</v>
      </c>
      <c r="D4" s="293" t="s">
        <v>963</v>
      </c>
      <c r="E4" s="294" t="s">
        <v>1252</v>
      </c>
      <c r="F4" s="294" t="s">
        <v>1253</v>
      </c>
      <c r="G4" s="294" t="s">
        <v>1254</v>
      </c>
      <c r="H4" s="294" t="s">
        <v>1255</v>
      </c>
      <c r="I4" s="294" t="s">
        <v>1256</v>
      </c>
      <c r="J4" s="293" t="s">
        <v>844</v>
      </c>
      <c r="K4" s="293" t="s">
        <v>1</v>
      </c>
      <c r="L4" s="294" t="s">
        <v>845</v>
      </c>
      <c r="M4" s="294" t="s">
        <v>846</v>
      </c>
      <c r="N4" s="294" t="s">
        <v>847</v>
      </c>
      <c r="O4" s="294" t="s">
        <v>848</v>
      </c>
      <c r="P4" s="294" t="s">
        <v>849</v>
      </c>
      <c r="Q4" s="294" t="s">
        <v>850</v>
      </c>
      <c r="R4" s="294" t="s">
        <v>851</v>
      </c>
      <c r="S4" s="293" t="s">
        <v>852</v>
      </c>
      <c r="T4" s="295" t="s">
        <v>1172</v>
      </c>
      <c r="U4" s="294" t="s">
        <v>1395</v>
      </c>
      <c r="V4" s="294" t="s">
        <v>1457</v>
      </c>
      <c r="W4" s="294" t="s">
        <v>2</v>
      </c>
      <c r="X4" s="293" t="s">
        <v>1173</v>
      </c>
      <c r="Y4" s="67"/>
      <c r="Z4" s="67"/>
      <c r="AA4" s="46" t="s">
        <v>845</v>
      </c>
      <c r="AB4" s="45" t="s">
        <v>846</v>
      </c>
      <c r="AC4" s="47" t="s">
        <v>847</v>
      </c>
      <c r="AD4" s="45" t="s">
        <v>848</v>
      </c>
      <c r="AE4" s="46" t="s">
        <v>849</v>
      </c>
      <c r="AF4" s="57" t="s">
        <v>850</v>
      </c>
      <c r="AG4" s="46" t="s">
        <v>851</v>
      </c>
    </row>
    <row r="5" spans="1:34" ht="28.7" customHeight="1" x14ac:dyDescent="0.25">
      <c r="A5" s="290"/>
      <c r="B5" s="291"/>
      <c r="C5" s="291"/>
      <c r="D5" s="291"/>
      <c r="E5" s="292" t="s">
        <v>785</v>
      </c>
      <c r="F5" s="292" t="s">
        <v>1394</v>
      </c>
      <c r="G5" s="292" t="s">
        <v>787</v>
      </c>
      <c r="H5" s="292" t="s">
        <v>787</v>
      </c>
      <c r="I5" s="292" t="s">
        <v>788</v>
      </c>
      <c r="J5" s="291" t="s">
        <v>1396</v>
      </c>
      <c r="K5" s="291" t="s">
        <v>1396</v>
      </c>
      <c r="L5" s="291" t="s">
        <v>1396</v>
      </c>
      <c r="M5" s="291" t="s">
        <v>1396</v>
      </c>
      <c r="N5" s="291" t="s">
        <v>1396</v>
      </c>
      <c r="O5" s="291" t="s">
        <v>1396</v>
      </c>
      <c r="P5" s="291" t="s">
        <v>1396</v>
      </c>
      <c r="Q5" s="291" t="s">
        <v>1396</v>
      </c>
      <c r="R5" s="291" t="s">
        <v>1396</v>
      </c>
      <c r="S5" s="291" t="s">
        <v>1396</v>
      </c>
      <c r="T5" s="291" t="s">
        <v>1396</v>
      </c>
      <c r="U5" s="292" t="s">
        <v>785</v>
      </c>
      <c r="V5" s="291" t="s">
        <v>1396</v>
      </c>
      <c r="W5" s="292" t="s">
        <v>785</v>
      </c>
      <c r="X5" s="291" t="s">
        <v>1396</v>
      </c>
      <c r="Y5" s="67"/>
      <c r="Z5" s="67"/>
      <c r="AA5" s="289"/>
      <c r="AB5" s="289"/>
      <c r="AC5" s="289"/>
      <c r="AD5" s="289"/>
      <c r="AE5" s="289"/>
      <c r="AF5" s="289"/>
      <c r="AG5" s="289"/>
    </row>
    <row r="6" spans="1:34" ht="28.7" customHeight="1" x14ac:dyDescent="0.25">
      <c r="A6" s="850" t="s">
        <v>1586</v>
      </c>
      <c r="B6" s="850" t="s">
        <v>66</v>
      </c>
      <c r="C6" s="850" t="s">
        <v>23</v>
      </c>
      <c r="D6" s="850" t="s">
        <v>34</v>
      </c>
      <c r="E6" s="850">
        <v>78.319000000000003</v>
      </c>
      <c r="F6" s="850">
        <v>0.25406000000000001</v>
      </c>
      <c r="G6" s="850">
        <v>126.56</v>
      </c>
      <c r="H6" s="850">
        <v>0</v>
      </c>
      <c r="I6" s="850">
        <v>0</v>
      </c>
      <c r="J6" s="850">
        <v>0</v>
      </c>
      <c r="K6" s="850">
        <v>9</v>
      </c>
      <c r="L6" s="850">
        <v>0.75</v>
      </c>
      <c r="M6" s="850">
        <v>0.75</v>
      </c>
      <c r="N6" s="850">
        <v>0.75</v>
      </c>
      <c r="O6" s="850">
        <v>0.5</v>
      </c>
      <c r="P6" s="850"/>
      <c r="Q6" s="850"/>
      <c r="R6" s="850">
        <v>1</v>
      </c>
      <c r="S6">
        <v>0.21428571428571427</v>
      </c>
      <c r="T6">
        <v>1</v>
      </c>
      <c r="U6">
        <v>366.6328494</v>
      </c>
      <c r="V6">
        <v>2</v>
      </c>
      <c r="W6">
        <v>1051.7814450000001</v>
      </c>
      <c r="X6">
        <v>2</v>
      </c>
    </row>
    <row r="7" spans="1:34" ht="28.7" customHeight="1" x14ac:dyDescent="0.25">
      <c r="A7" s="850" t="s">
        <v>2188</v>
      </c>
      <c r="B7" s="850"/>
      <c r="C7" s="850"/>
      <c r="D7" s="850"/>
      <c r="E7" s="850">
        <v>19.801667600000002</v>
      </c>
      <c r="F7" s="850">
        <v>5.1512030400000006E-2</v>
      </c>
      <c r="G7" s="850">
        <v>0</v>
      </c>
      <c r="H7" s="850">
        <v>0</v>
      </c>
      <c r="I7" s="850">
        <v>0</v>
      </c>
      <c r="J7" s="850">
        <v>0</v>
      </c>
      <c r="K7" s="850">
        <v>9</v>
      </c>
      <c r="L7" s="850"/>
      <c r="M7" s="850"/>
      <c r="N7" s="850"/>
      <c r="O7" s="850"/>
      <c r="P7" s="850"/>
      <c r="Q7" s="850"/>
      <c r="R7" s="850"/>
      <c r="S7">
        <v>0</v>
      </c>
      <c r="T7">
        <v>2</v>
      </c>
      <c r="U7">
        <v>50.542718000000008</v>
      </c>
      <c r="V7">
        <v>1</v>
      </c>
      <c r="W7">
        <v>225.58832410376004</v>
      </c>
      <c r="X7">
        <v>1</v>
      </c>
    </row>
    <row r="8" spans="1:34" ht="28.7" customHeight="1" x14ac:dyDescent="0.25">
      <c r="A8" s="850"/>
      <c r="B8" s="850"/>
      <c r="C8" s="850"/>
      <c r="D8" s="850"/>
      <c r="E8" s="850"/>
      <c r="F8" s="850"/>
      <c r="G8" s="850"/>
      <c r="H8" s="850"/>
      <c r="I8" s="850"/>
      <c r="J8" s="850"/>
      <c r="K8" s="850"/>
      <c r="L8" s="850"/>
      <c r="M8" s="850"/>
      <c r="N8" s="850"/>
      <c r="O8" s="850"/>
      <c r="P8" s="850"/>
      <c r="Q8" s="850"/>
      <c r="R8" s="850"/>
    </row>
    <row r="9" spans="1:34" ht="28.7" customHeight="1" x14ac:dyDescent="0.25">
      <c r="A9" s="850"/>
      <c r="B9" s="850"/>
      <c r="C9" s="850"/>
      <c r="D9" s="850"/>
      <c r="E9" s="850"/>
      <c r="F9" s="850"/>
      <c r="G9" s="850"/>
      <c r="H9" s="850"/>
      <c r="I9" s="850"/>
      <c r="J9" s="850"/>
      <c r="K9" s="850"/>
      <c r="L9" s="850"/>
      <c r="M9" s="850"/>
      <c r="N9" s="850"/>
      <c r="O9" s="850"/>
      <c r="P9" s="850"/>
      <c r="Q9" s="850"/>
      <c r="R9" s="850"/>
    </row>
    <row r="10" spans="1:34" ht="28.7" customHeight="1" x14ac:dyDescent="0.25">
      <c r="A10" s="850"/>
      <c r="B10" s="850"/>
      <c r="C10" s="850"/>
      <c r="D10" s="850"/>
      <c r="E10" s="850"/>
      <c r="F10" s="850"/>
      <c r="G10" s="850"/>
      <c r="H10" s="850"/>
      <c r="I10" s="850"/>
      <c r="J10" s="850"/>
      <c r="K10" s="850"/>
      <c r="L10" s="850"/>
      <c r="M10" s="850"/>
      <c r="N10" s="850"/>
      <c r="O10" s="850"/>
      <c r="P10" s="850"/>
      <c r="Q10" s="850"/>
      <c r="R10" s="850"/>
    </row>
    <row r="11" spans="1:34" ht="28.7" customHeight="1" x14ac:dyDescent="0.25">
      <c r="A11" s="850"/>
      <c r="B11" s="850"/>
      <c r="C11" s="850"/>
      <c r="D11" s="850"/>
      <c r="E11" s="850"/>
      <c r="F11" s="850"/>
      <c r="G11" s="850"/>
      <c r="H11" s="850"/>
      <c r="I11" s="850"/>
      <c r="J11" s="850"/>
      <c r="K11" s="850"/>
      <c r="L11" s="850"/>
      <c r="M11" s="850"/>
      <c r="N11" s="850"/>
      <c r="O11" s="850"/>
      <c r="P11" s="850"/>
      <c r="Q11" s="850"/>
      <c r="R11" s="850"/>
    </row>
    <row r="12" spans="1:34" ht="28.7" customHeight="1" x14ac:dyDescent="0.25">
      <c r="A12" s="850"/>
      <c r="B12" s="850"/>
      <c r="C12" s="850"/>
      <c r="D12" s="850"/>
      <c r="E12" s="850"/>
      <c r="F12" s="850"/>
      <c r="G12" s="850"/>
      <c r="H12" s="850"/>
      <c r="I12" s="850"/>
      <c r="J12" s="850"/>
      <c r="K12" s="850"/>
      <c r="L12" s="850"/>
      <c r="M12" s="850"/>
      <c r="N12" s="850"/>
      <c r="O12" s="850"/>
      <c r="P12" s="850"/>
      <c r="Q12" s="850"/>
      <c r="R12" s="850"/>
    </row>
    <row r="13" spans="1:34" ht="28.7" customHeight="1" x14ac:dyDescent="0.25">
      <c r="A13" s="850"/>
      <c r="B13" s="850"/>
      <c r="C13" s="850"/>
      <c r="D13" s="850"/>
      <c r="E13" s="850"/>
      <c r="F13" s="850"/>
      <c r="G13" s="850"/>
      <c r="H13" s="850"/>
      <c r="I13" s="850"/>
      <c r="J13" s="850"/>
      <c r="K13" s="850"/>
      <c r="L13" s="850"/>
      <c r="M13" s="850"/>
      <c r="N13" s="850"/>
      <c r="O13" s="850"/>
      <c r="P13" s="850"/>
      <c r="Q13" s="850"/>
      <c r="R13" s="850"/>
    </row>
    <row r="14" spans="1:34" ht="28.7" customHeight="1" x14ac:dyDescent="0.25">
      <c r="A14" s="850"/>
      <c r="B14" s="850"/>
      <c r="C14" s="850"/>
      <c r="D14" s="850"/>
      <c r="E14" s="850"/>
      <c r="F14" s="850"/>
      <c r="G14" s="850"/>
      <c r="H14" s="850"/>
      <c r="I14" s="850"/>
      <c r="J14" s="850"/>
      <c r="K14" s="850"/>
      <c r="L14" s="850"/>
      <c r="M14" s="850"/>
      <c r="N14" s="850"/>
      <c r="O14" s="850"/>
      <c r="P14" s="850"/>
      <c r="Q14" s="850"/>
      <c r="R14" s="850"/>
    </row>
    <row r="15" spans="1:34" ht="28.7" customHeight="1" x14ac:dyDescent="0.25">
      <c r="A15" s="850"/>
      <c r="B15" s="851"/>
      <c r="C15" s="851"/>
      <c r="D15" s="851"/>
      <c r="E15" s="851"/>
      <c r="F15" s="851"/>
      <c r="G15" s="851"/>
      <c r="H15" s="851"/>
      <c r="I15" s="851"/>
      <c r="J15" s="850"/>
      <c r="K15" s="850"/>
      <c r="L15" s="850"/>
      <c r="M15" s="850"/>
      <c r="N15" s="850"/>
      <c r="O15" s="850"/>
      <c r="P15" s="850"/>
      <c r="Q15" s="850"/>
      <c r="R15" s="850"/>
    </row>
    <row r="16" spans="1:34" ht="28.7" customHeight="1" x14ac:dyDescent="0.25">
      <c r="A16" s="850"/>
      <c r="B16" s="851"/>
      <c r="C16" s="851"/>
      <c r="D16" s="851"/>
      <c r="E16" s="851"/>
      <c r="F16" s="851"/>
      <c r="G16" s="851"/>
      <c r="H16" s="851"/>
      <c r="I16" s="851"/>
      <c r="J16" s="850"/>
      <c r="K16" s="850"/>
      <c r="L16" s="850"/>
      <c r="M16" s="850"/>
      <c r="N16" s="850"/>
      <c r="O16" s="850"/>
      <c r="P16" s="850"/>
      <c r="Q16" s="850"/>
      <c r="R16" s="850"/>
    </row>
    <row r="17" spans="1:18" ht="28.7" customHeight="1" x14ac:dyDescent="0.25">
      <c r="A17" s="850"/>
      <c r="B17" s="850"/>
      <c r="C17" s="850"/>
      <c r="D17" s="850"/>
      <c r="E17" s="850"/>
      <c r="F17" s="850"/>
      <c r="G17" s="850"/>
      <c r="H17" s="850"/>
      <c r="I17" s="850"/>
      <c r="J17" s="850"/>
      <c r="K17" s="850"/>
      <c r="L17" s="850"/>
      <c r="M17" s="850"/>
      <c r="N17" s="850"/>
      <c r="O17" s="850"/>
      <c r="P17" s="850"/>
      <c r="Q17" s="850"/>
      <c r="R17" s="850"/>
    </row>
    <row r="18" spans="1:18" ht="28.7" customHeight="1" x14ac:dyDescent="0.25">
      <c r="A18" s="850"/>
      <c r="B18" s="850"/>
      <c r="C18" s="850"/>
      <c r="D18" s="850"/>
      <c r="E18" s="850"/>
      <c r="F18" s="850"/>
      <c r="G18" s="850"/>
      <c r="H18" s="850"/>
      <c r="I18" s="850"/>
      <c r="J18" s="850"/>
      <c r="K18" s="850"/>
      <c r="L18" s="850"/>
      <c r="M18" s="850"/>
      <c r="N18" s="850"/>
      <c r="O18" s="850"/>
      <c r="P18" s="850"/>
      <c r="Q18" s="850"/>
      <c r="R18" s="850"/>
    </row>
    <row r="19" spans="1:18" ht="28.7" customHeight="1" x14ac:dyDescent="0.25">
      <c r="A19" s="850"/>
      <c r="B19" s="851"/>
      <c r="C19" s="851"/>
      <c r="D19" s="851"/>
      <c r="E19" s="851"/>
      <c r="F19" s="851"/>
      <c r="G19" s="851"/>
      <c r="H19" s="851"/>
      <c r="I19" s="851"/>
      <c r="J19" s="850"/>
      <c r="K19" s="850"/>
      <c r="L19" s="850"/>
      <c r="M19" s="850"/>
      <c r="N19" s="850"/>
      <c r="O19" s="850"/>
      <c r="P19" s="850"/>
      <c r="Q19" s="850"/>
      <c r="R19" s="850"/>
    </row>
    <row r="20" spans="1:18" ht="28.7" customHeight="1" x14ac:dyDescent="0.25">
      <c r="A20" s="850"/>
      <c r="B20" s="850"/>
      <c r="C20" s="850"/>
      <c r="D20" s="850"/>
      <c r="E20" s="850"/>
      <c r="F20" s="850"/>
      <c r="G20" s="850"/>
      <c r="H20" s="850"/>
      <c r="I20" s="850"/>
      <c r="J20" s="850"/>
      <c r="K20" s="850"/>
      <c r="L20" s="850"/>
      <c r="M20" s="850"/>
      <c r="N20" s="850"/>
      <c r="O20" s="850"/>
      <c r="P20" s="850"/>
      <c r="Q20" s="850"/>
      <c r="R20" s="850"/>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79" t="s">
        <v>1610</v>
      </c>
      <c r="AB1" s="36"/>
      <c r="AJ1" s="746"/>
    </row>
    <row r="2" spans="1:39" x14ac:dyDescent="0.25">
      <c r="AA2" t="s">
        <v>1611</v>
      </c>
      <c r="AB2" s="36"/>
    </row>
    <row r="3" spans="1:39" ht="15" customHeight="1" x14ac:dyDescent="0.25">
      <c r="A3" s="36"/>
      <c r="B3" s="36"/>
      <c r="C3" s="36"/>
      <c r="D3" s="36"/>
      <c r="E3" s="36"/>
      <c r="F3" s="36"/>
      <c r="G3" s="36"/>
      <c r="H3" s="393"/>
      <c r="I3" s="36"/>
      <c r="J3" s="36"/>
      <c r="K3" s="36"/>
      <c r="L3" s="36"/>
      <c r="M3" s="36"/>
      <c r="N3" s="36"/>
      <c r="O3" s="36"/>
      <c r="P3" s="36"/>
      <c r="Q3" s="36"/>
      <c r="R3" s="396">
        <v>0</v>
      </c>
      <c r="S3" s="36"/>
      <c r="T3" s="36"/>
      <c r="U3" s="36"/>
      <c r="V3" s="36"/>
      <c r="W3" s="36"/>
      <c r="X3" s="417"/>
      <c r="Y3" s="36"/>
      <c r="Z3" s="36"/>
      <c r="AA3" s="36" t="s">
        <v>1612</v>
      </c>
      <c r="AB3" s="36"/>
      <c r="AC3" s="36"/>
      <c r="AD3" s="36"/>
      <c r="AE3" s="36"/>
      <c r="AF3" s="36"/>
      <c r="AG3" s="36"/>
      <c r="AH3" s="36"/>
      <c r="AI3" s="36"/>
      <c r="AJ3" s="36"/>
      <c r="AK3" s="36"/>
      <c r="AL3" s="36"/>
      <c r="AM3" s="36"/>
    </row>
    <row r="4" spans="1:39" ht="15" customHeight="1" x14ac:dyDescent="0.25">
      <c r="A4" s="36"/>
      <c r="B4" s="36"/>
      <c r="C4" s="36"/>
      <c r="D4" s="36"/>
      <c r="E4" s="36"/>
      <c r="F4" s="36"/>
      <c r="G4" s="36"/>
      <c r="H4" s="393"/>
      <c r="I4" s="36"/>
      <c r="J4" s="36"/>
      <c r="K4" s="394"/>
      <c r="L4" s="36"/>
      <c r="M4" s="36"/>
      <c r="N4" s="36"/>
      <c r="O4" s="36"/>
      <c r="P4" s="36"/>
      <c r="Q4" s="36"/>
      <c r="R4" s="36"/>
      <c r="S4" s="95"/>
      <c r="T4" s="36"/>
      <c r="U4" s="36"/>
      <c r="V4" s="36"/>
      <c r="W4" s="395"/>
      <c r="X4" s="799">
        <v>2.4370800000000012</v>
      </c>
      <c r="Y4" s="36"/>
      <c r="Z4" s="36"/>
      <c r="AA4" s="36"/>
      <c r="AB4" s="36"/>
      <c r="AC4" s="36"/>
      <c r="AD4" s="95"/>
      <c r="AE4" s="36"/>
      <c r="AF4" s="36"/>
      <c r="AG4" s="36"/>
      <c r="AH4" s="36"/>
      <c r="AI4" s="36"/>
      <c r="AJ4" s="36"/>
      <c r="AK4" s="36"/>
      <c r="AL4" s="36"/>
      <c r="AM4" s="36"/>
    </row>
    <row r="5" spans="1:39" ht="15" customHeight="1" x14ac:dyDescent="0.25">
      <c r="A5" s="36"/>
      <c r="B5" s="36"/>
      <c r="C5" s="36"/>
      <c r="D5" s="36"/>
      <c r="E5" s="36"/>
      <c r="F5" s="36"/>
      <c r="G5" s="36"/>
      <c r="H5" s="674"/>
      <c r="I5" s="36"/>
      <c r="J5" s="396">
        <v>0</v>
      </c>
      <c r="K5" s="394"/>
      <c r="L5" s="36"/>
      <c r="M5" s="36"/>
      <c r="N5" s="36"/>
      <c r="O5" s="36"/>
      <c r="P5" s="36"/>
      <c r="Q5" s="36"/>
      <c r="R5" s="36"/>
      <c r="S5" s="95"/>
      <c r="T5" s="36"/>
      <c r="U5" s="36"/>
      <c r="V5" s="36"/>
      <c r="W5" s="395"/>
      <c r="X5" s="799"/>
      <c r="Y5" s="36"/>
      <c r="Z5" s="36"/>
      <c r="AA5" s="36"/>
      <c r="AB5" s="36"/>
      <c r="AC5" s="36"/>
      <c r="AD5" s="95"/>
      <c r="AE5" s="36"/>
      <c r="AF5" s="414">
        <v>0</v>
      </c>
      <c r="AG5" s="396" t="s">
        <v>1560</v>
      </c>
      <c r="AH5" s="36"/>
      <c r="AI5" s="36"/>
      <c r="AJ5" s="36"/>
      <c r="AK5" s="36"/>
      <c r="AL5" s="36"/>
      <c r="AM5" s="36"/>
    </row>
    <row r="6" spans="1:39" ht="15" customHeight="1" x14ac:dyDescent="0.25">
      <c r="A6" s="36"/>
      <c r="B6" s="36"/>
      <c r="C6" s="36"/>
      <c r="D6" s="36"/>
      <c r="E6" s="36"/>
      <c r="F6" s="36"/>
      <c r="G6" s="36"/>
      <c r="H6" s="36"/>
      <c r="I6" s="36"/>
      <c r="J6" s="36"/>
      <c r="K6" s="36"/>
      <c r="L6" s="36"/>
      <c r="M6" s="36"/>
      <c r="N6" s="36"/>
      <c r="O6" s="36"/>
      <c r="P6" s="36"/>
      <c r="Q6" s="414">
        <v>0</v>
      </c>
      <c r="R6" s="36"/>
      <c r="S6" s="318"/>
      <c r="T6" s="36"/>
      <c r="U6" s="36"/>
      <c r="V6" s="36"/>
      <c r="W6" s="36"/>
      <c r="X6" s="36"/>
      <c r="Y6" s="36"/>
      <c r="Z6" s="36"/>
      <c r="AA6" s="36"/>
      <c r="AB6" s="36"/>
      <c r="AC6" s="319"/>
      <c r="AD6" s="320"/>
      <c r="AE6" s="36"/>
      <c r="AF6" s="36"/>
      <c r="AG6" s="36"/>
      <c r="AH6" s="36"/>
      <c r="AI6" s="36"/>
      <c r="AJ6" s="36"/>
      <c r="AK6" s="36"/>
      <c r="AL6" s="36"/>
      <c r="AM6" s="36"/>
    </row>
    <row r="7" spans="1:39" ht="15" customHeight="1" x14ac:dyDescent="0.25">
      <c r="A7" s="723">
        <v>0</v>
      </c>
      <c r="B7" s="36"/>
      <c r="C7" s="36"/>
      <c r="D7" s="36"/>
      <c r="E7" s="36"/>
      <c r="F7" s="36"/>
      <c r="G7" s="36"/>
      <c r="H7" s="36"/>
      <c r="I7" s="728">
        <v>0</v>
      </c>
      <c r="J7" s="36"/>
      <c r="K7" s="36"/>
      <c r="L7" s="36"/>
      <c r="M7" s="36"/>
      <c r="N7" s="36"/>
      <c r="O7" s="36"/>
      <c r="P7" s="36"/>
      <c r="Q7" s="36"/>
      <c r="R7" s="36"/>
      <c r="S7" s="36"/>
      <c r="T7" s="36"/>
      <c r="U7" s="36"/>
      <c r="V7" s="36"/>
      <c r="W7" s="36"/>
      <c r="X7" s="36"/>
      <c r="Y7" s="36"/>
      <c r="Z7" s="809">
        <v>1.1655</v>
      </c>
      <c r="AA7" s="36"/>
      <c r="AB7" s="36"/>
      <c r="AC7" s="36"/>
      <c r="AD7" s="36"/>
      <c r="AE7" s="809">
        <v>1.1655</v>
      </c>
      <c r="AF7" s="36"/>
      <c r="AG7" s="36"/>
      <c r="AH7" s="36"/>
      <c r="AI7" s="36"/>
      <c r="AK7" s="36"/>
      <c r="AL7" s="36"/>
      <c r="AM7" s="36"/>
    </row>
    <row r="8" spans="1:39" ht="15" customHeight="1" x14ac:dyDescent="0.25">
      <c r="A8" s="36"/>
      <c r="B8" s="36"/>
      <c r="C8" s="36"/>
      <c r="D8" s="36"/>
      <c r="E8" s="36"/>
      <c r="F8" s="802">
        <v>0</v>
      </c>
      <c r="G8" s="802">
        <v>0</v>
      </c>
      <c r="H8" s="322"/>
      <c r="I8" s="317"/>
      <c r="J8" s="317"/>
      <c r="K8" s="36"/>
      <c r="L8" s="36"/>
      <c r="M8" s="36"/>
      <c r="N8" s="36"/>
      <c r="O8" s="36"/>
      <c r="P8" s="36"/>
      <c r="Q8" s="36"/>
      <c r="R8" s="36"/>
      <c r="S8" s="36"/>
      <c r="T8" s="36"/>
      <c r="U8" s="323"/>
      <c r="V8" s="36"/>
      <c r="W8" s="36"/>
      <c r="X8" s="36"/>
      <c r="Y8" s="36"/>
      <c r="Z8" s="809"/>
      <c r="AA8" s="36"/>
      <c r="AB8" s="324"/>
      <c r="AC8" s="325"/>
      <c r="AD8" s="36"/>
      <c r="AE8" s="809"/>
      <c r="AF8" s="36"/>
      <c r="AG8" s="36"/>
      <c r="AH8" s="36"/>
      <c r="AI8" s="36"/>
      <c r="AJ8" s="36"/>
      <c r="AK8" s="36"/>
      <c r="AL8" s="36"/>
      <c r="AM8" s="36"/>
    </row>
    <row r="9" spans="1:39" ht="15" customHeight="1" x14ac:dyDescent="0.25">
      <c r="A9" s="397"/>
      <c r="B9" s="761">
        <v>0</v>
      </c>
      <c r="C9" s="36"/>
      <c r="D9" s="36"/>
      <c r="E9" s="36"/>
      <c r="F9" s="803"/>
      <c r="G9" s="799"/>
      <c r="H9" s="36"/>
      <c r="I9" s="36"/>
      <c r="J9" s="36"/>
      <c r="K9" s="36"/>
      <c r="L9" s="36"/>
      <c r="M9" s="36"/>
      <c r="N9" s="36"/>
      <c r="O9" s="327"/>
      <c r="P9" s="36"/>
      <c r="Q9" s="36"/>
      <c r="R9" s="36"/>
      <c r="S9" s="36"/>
      <c r="T9" s="36"/>
      <c r="U9" s="36"/>
      <c r="V9" s="36"/>
      <c r="W9" s="36"/>
      <c r="X9" s="36"/>
      <c r="Y9" s="339"/>
      <c r="Z9" s="760">
        <v>0</v>
      </c>
      <c r="AA9" s="396" t="s">
        <v>1560</v>
      </c>
      <c r="AB9" s="36"/>
      <c r="AC9" s="36"/>
      <c r="AD9" s="36"/>
      <c r="AE9" s="36"/>
      <c r="AF9" s="36"/>
      <c r="AG9" s="36"/>
      <c r="AH9" s="36"/>
      <c r="AI9" s="36"/>
      <c r="AJ9" s="36"/>
      <c r="AK9" s="36"/>
      <c r="AL9" s="36"/>
      <c r="AM9" s="36"/>
    </row>
    <row r="10" spans="1:39" ht="15" customHeight="1" x14ac:dyDescent="0.25">
      <c r="A10" s="36"/>
      <c r="B10" s="36"/>
      <c r="C10" s="36"/>
      <c r="E10" s="36"/>
      <c r="F10" s="36"/>
      <c r="G10" s="396">
        <v>0</v>
      </c>
      <c r="H10" s="36"/>
      <c r="I10" s="36"/>
      <c r="J10" s="36"/>
      <c r="K10" s="36"/>
      <c r="L10" s="36"/>
      <c r="M10" s="36"/>
      <c r="N10" s="36"/>
      <c r="O10" s="328"/>
      <c r="P10" s="36"/>
      <c r="Q10" s="36"/>
      <c r="R10" s="36"/>
      <c r="S10" s="36"/>
      <c r="T10" s="36"/>
      <c r="U10" s="36"/>
      <c r="V10" s="36"/>
      <c r="W10" s="36"/>
      <c r="X10" s="36"/>
      <c r="Y10" s="36"/>
      <c r="Z10" s="328"/>
      <c r="AA10" s="36"/>
      <c r="AB10" s="321">
        <v>0</v>
      </c>
      <c r="AC10" s="792"/>
      <c r="AD10" s="792"/>
      <c r="AE10" s="36"/>
      <c r="AF10" s="36"/>
      <c r="AG10" s="36"/>
      <c r="AH10" s="36"/>
      <c r="AI10" s="36"/>
      <c r="AJ10" s="36"/>
      <c r="AK10" s="36"/>
      <c r="AL10" s="36"/>
      <c r="AM10" s="36"/>
    </row>
    <row r="11" spans="1:39" ht="15" customHeight="1" x14ac:dyDescent="0.25">
      <c r="A11" s="36"/>
      <c r="C11" s="396">
        <v>0</v>
      </c>
      <c r="D11" s="791">
        <v>0</v>
      </c>
      <c r="E11" s="798"/>
      <c r="F11" s="36"/>
      <c r="G11" s="36"/>
      <c r="H11" s="36"/>
      <c r="I11" s="36"/>
      <c r="J11" s="317"/>
      <c r="K11" s="329"/>
      <c r="L11" s="36"/>
      <c r="M11" s="36"/>
      <c r="N11" s="36"/>
      <c r="O11" s="330"/>
      <c r="P11" s="36"/>
      <c r="Q11" s="760">
        <v>0</v>
      </c>
      <c r="R11" s="36"/>
      <c r="S11" s="36"/>
      <c r="T11" s="36"/>
      <c r="U11" s="36"/>
      <c r="V11" s="36"/>
      <c r="W11" s="331"/>
      <c r="X11" s="36"/>
      <c r="Y11" s="36"/>
      <c r="Z11" s="328"/>
      <c r="AA11" s="36"/>
      <c r="AB11" s="36"/>
      <c r="AC11" s="332"/>
      <c r="AD11" s="333"/>
      <c r="AE11" s="36"/>
      <c r="AF11" s="36"/>
      <c r="AG11" s="334"/>
      <c r="AH11" s="36"/>
      <c r="AI11" s="396">
        <v>0</v>
      </c>
      <c r="AJ11" s="396" t="s">
        <v>2001</v>
      </c>
      <c r="AK11" s="36"/>
      <c r="AL11" s="36"/>
      <c r="AM11" s="36"/>
    </row>
    <row r="12" spans="1:39" ht="15" customHeight="1" x14ac:dyDescent="0.25">
      <c r="A12" s="36"/>
      <c r="B12" s="36"/>
      <c r="C12" s="36"/>
      <c r="D12" s="36"/>
      <c r="E12" s="36"/>
      <c r="F12" s="36"/>
      <c r="G12" s="36"/>
      <c r="H12" s="36"/>
      <c r="I12" s="36"/>
      <c r="J12" s="36"/>
      <c r="K12" s="36"/>
      <c r="L12" s="36"/>
      <c r="M12" s="36"/>
      <c r="N12" s="335"/>
      <c r="O12" s="330"/>
      <c r="P12" s="327"/>
      <c r="Q12" s="327"/>
      <c r="R12" s="327"/>
      <c r="S12" s="327"/>
      <c r="T12" s="36"/>
      <c r="U12" s="36"/>
      <c r="V12" s="36"/>
      <c r="W12" s="336"/>
      <c r="X12" s="36"/>
      <c r="Y12" s="36"/>
      <c r="Z12" s="330"/>
      <c r="AA12" s="36"/>
      <c r="AB12" s="337"/>
      <c r="AC12" s="36"/>
      <c r="AD12" s="36"/>
      <c r="AE12" s="36"/>
      <c r="AF12" s="36"/>
      <c r="AG12" s="760">
        <v>0</v>
      </c>
      <c r="AH12" s="728" t="s">
        <v>2007</v>
      </c>
      <c r="AI12" s="36"/>
      <c r="AJ12" s="36"/>
      <c r="AK12" s="36"/>
      <c r="AL12" s="36"/>
      <c r="AM12" s="36"/>
    </row>
    <row r="13" spans="1:39" ht="15" customHeight="1" x14ac:dyDescent="0.25">
      <c r="A13" s="36"/>
      <c r="B13" s="36"/>
      <c r="C13" s="36"/>
      <c r="D13" s="36"/>
      <c r="E13" s="36"/>
      <c r="F13" s="36"/>
      <c r="G13" s="36"/>
      <c r="I13" s="414">
        <v>0</v>
      </c>
      <c r="J13" s="36"/>
      <c r="K13" s="36"/>
      <c r="L13" s="36"/>
      <c r="M13" s="338"/>
      <c r="N13" s="36"/>
      <c r="O13" s="328"/>
      <c r="P13" s="36"/>
      <c r="Q13" s="811">
        <v>0.92137999999999998</v>
      </c>
      <c r="R13" s="36"/>
      <c r="S13" s="36"/>
      <c r="T13" s="36"/>
      <c r="U13" s="36"/>
      <c r="V13" s="36"/>
      <c r="W13" s="36"/>
      <c r="X13" s="339"/>
      <c r="Y13" s="810">
        <v>0</v>
      </c>
      <c r="Z13" s="328"/>
      <c r="AA13" s="36"/>
      <c r="AB13" s="36"/>
      <c r="AC13" s="36"/>
      <c r="AD13" s="36"/>
      <c r="AE13" s="36"/>
      <c r="AF13" s="36"/>
      <c r="AG13" s="340"/>
      <c r="AH13" s="36"/>
      <c r="AI13" s="804"/>
      <c r="AJ13" s="804"/>
      <c r="AK13" s="36"/>
      <c r="AL13" s="396">
        <v>0</v>
      </c>
      <c r="AM13" s="36"/>
    </row>
    <row r="14" spans="1:39" ht="15" customHeight="1" x14ac:dyDescent="0.25">
      <c r="A14" s="36"/>
      <c r="B14" s="36"/>
      <c r="C14" s="36"/>
      <c r="D14" s="36">
        <v>45.075740607817067</v>
      </c>
      <c r="E14" s="36"/>
      <c r="F14" s="36"/>
      <c r="G14" s="36"/>
      <c r="H14" s="36"/>
      <c r="I14" s="36"/>
      <c r="J14" s="36"/>
      <c r="K14" s="36"/>
      <c r="L14" s="36"/>
      <c r="M14" s="36"/>
      <c r="N14" s="36"/>
      <c r="O14" s="328"/>
      <c r="P14" s="36"/>
      <c r="Q14" s="811"/>
      <c r="R14" s="36"/>
      <c r="S14" s="36"/>
      <c r="T14" s="36"/>
      <c r="U14" s="36"/>
      <c r="V14" s="36"/>
      <c r="W14" s="36"/>
      <c r="X14" s="36"/>
      <c r="Y14" s="811"/>
      <c r="Z14" s="341"/>
      <c r="AA14" s="36"/>
      <c r="AB14" s="36"/>
      <c r="AC14" s="36"/>
      <c r="AD14" s="36"/>
      <c r="AE14" s="36"/>
      <c r="AF14" s="36"/>
      <c r="AG14" s="36"/>
      <c r="AH14" s="36"/>
      <c r="AI14" s="36"/>
      <c r="AJ14" s="36"/>
      <c r="AK14" s="36"/>
      <c r="AL14" s="36"/>
      <c r="AM14" s="36"/>
    </row>
    <row r="15" spans="1:39" ht="15" customHeight="1" x14ac:dyDescent="0.25">
      <c r="A15" s="36"/>
      <c r="B15" s="36"/>
      <c r="C15" s="36"/>
      <c r="D15" s="36"/>
      <c r="E15" s="36"/>
      <c r="F15" s="36"/>
      <c r="G15" s="36"/>
      <c r="H15" s="36"/>
      <c r="I15" s="728">
        <v>0</v>
      </c>
      <c r="J15" s="36"/>
      <c r="K15" s="36"/>
      <c r="L15" s="36"/>
      <c r="M15" s="36"/>
      <c r="N15" s="342"/>
      <c r="O15" s="328"/>
      <c r="P15" s="36"/>
      <c r="Q15" s="36"/>
      <c r="R15" s="36"/>
      <c r="S15" s="36"/>
      <c r="T15" s="36"/>
      <c r="U15" s="327"/>
      <c r="V15" s="36"/>
      <c r="W15" s="36"/>
      <c r="X15" s="36"/>
      <c r="Y15" s="36"/>
      <c r="Z15" s="328"/>
      <c r="AA15" s="36"/>
      <c r="AB15" s="36"/>
      <c r="AC15" s="36"/>
      <c r="AD15" s="36"/>
      <c r="AE15" s="396">
        <v>0</v>
      </c>
      <c r="AF15" s="36"/>
      <c r="AG15" s="36"/>
      <c r="AH15" s="36"/>
      <c r="AI15" s="36"/>
      <c r="AJ15" s="36"/>
      <c r="AK15" s="36"/>
      <c r="AL15" s="36"/>
      <c r="AM15" s="36"/>
    </row>
    <row r="16" spans="1:39" ht="15" customHeight="1" x14ac:dyDescent="0.25">
      <c r="A16" s="36"/>
      <c r="B16" s="36"/>
      <c r="C16" s="36"/>
      <c r="D16" s="36"/>
      <c r="E16" s="36"/>
      <c r="F16" s="36"/>
      <c r="G16" s="36"/>
      <c r="H16" s="36"/>
      <c r="I16" s="36"/>
      <c r="J16" s="36"/>
      <c r="K16" s="36"/>
      <c r="L16" s="36"/>
      <c r="M16" s="36"/>
      <c r="N16" s="36"/>
      <c r="O16" s="343"/>
      <c r="P16" s="36"/>
      <c r="Q16" s="344"/>
      <c r="R16" s="36"/>
      <c r="S16" s="36"/>
      <c r="T16" s="36"/>
      <c r="U16" s="327"/>
      <c r="V16" s="36"/>
      <c r="W16" s="332"/>
      <c r="X16" s="36"/>
      <c r="Y16" s="36"/>
      <c r="Z16" s="327"/>
      <c r="AA16" s="36"/>
      <c r="AB16" s="340"/>
      <c r="AC16" s="36"/>
      <c r="AD16" s="36"/>
      <c r="AE16" s="36"/>
      <c r="AF16" s="339"/>
      <c r="AG16" s="345"/>
      <c r="AH16" s="333"/>
      <c r="AI16" s="36"/>
      <c r="AJ16" s="36"/>
      <c r="AK16" s="36"/>
      <c r="AL16" s="36"/>
      <c r="AM16" s="36"/>
    </row>
    <row r="17" spans="1:39" ht="15" customHeight="1" x14ac:dyDescent="0.25">
      <c r="A17" s="36"/>
      <c r="B17" s="36"/>
      <c r="C17" s="36"/>
      <c r="D17" s="36"/>
      <c r="E17" s="36"/>
      <c r="F17" s="36"/>
      <c r="G17" s="36"/>
      <c r="H17" s="36"/>
      <c r="I17" s="414">
        <v>0</v>
      </c>
      <c r="J17" s="36"/>
      <c r="K17" s="36"/>
      <c r="L17" s="36"/>
      <c r="M17" s="36"/>
      <c r="N17" s="346"/>
      <c r="O17" s="36"/>
      <c r="P17" s="36" t="s">
        <v>1561</v>
      </c>
      <c r="Q17" s="36"/>
      <c r="R17" s="36"/>
      <c r="S17" s="36"/>
      <c r="T17" s="36"/>
      <c r="U17" s="791">
        <v>0</v>
      </c>
      <c r="V17" s="793"/>
      <c r="W17" s="36"/>
      <c r="X17" s="761">
        <v>0</v>
      </c>
      <c r="Y17" s="36"/>
      <c r="Z17" s="36"/>
      <c r="AA17" s="36"/>
      <c r="AB17" s="384">
        <v>0</v>
      </c>
      <c r="AC17" s="804"/>
      <c r="AD17" s="818"/>
      <c r="AE17" s="36"/>
      <c r="AF17" s="345"/>
      <c r="AG17" s="36"/>
      <c r="AH17" s="36"/>
      <c r="AI17" s="36"/>
      <c r="AJ17" s="36"/>
      <c r="AK17" s="36"/>
      <c r="AL17" s="36"/>
      <c r="AM17" s="36"/>
    </row>
    <row r="18" spans="1:39" ht="15" customHeight="1" x14ac:dyDescent="0.25">
      <c r="A18" s="36"/>
      <c r="B18" s="36"/>
      <c r="C18" s="36"/>
      <c r="D18" s="36"/>
      <c r="E18" s="36"/>
      <c r="F18" s="36"/>
      <c r="G18" s="36"/>
      <c r="H18" s="36"/>
      <c r="I18" s="347"/>
      <c r="J18" s="348"/>
      <c r="K18" s="349"/>
      <c r="L18" s="36"/>
      <c r="M18" s="36"/>
      <c r="N18" s="36"/>
      <c r="O18" s="36"/>
      <c r="P18" s="415">
        <v>9.7922553358738501E-4</v>
      </c>
      <c r="Q18" s="36"/>
      <c r="R18" s="36"/>
      <c r="S18" s="36"/>
      <c r="T18" s="36"/>
      <c r="U18" s="350"/>
      <c r="V18" s="36"/>
      <c r="W18" s="351"/>
      <c r="X18" s="36"/>
      <c r="Y18" s="36"/>
      <c r="Z18" s="328"/>
      <c r="AA18" s="36"/>
      <c r="AB18" s="36"/>
      <c r="AC18" s="352"/>
      <c r="AD18" s="353"/>
      <c r="AE18" s="354"/>
      <c r="AF18" s="36"/>
      <c r="AG18" s="36"/>
      <c r="AH18" s="36"/>
      <c r="AI18" s="36"/>
      <c r="AJ18" s="36"/>
      <c r="AK18" s="36"/>
      <c r="AL18" s="36"/>
      <c r="AM18" s="36"/>
    </row>
    <row r="19" spans="1:39" ht="15" customHeight="1" x14ac:dyDescent="0.25">
      <c r="A19" s="36"/>
      <c r="B19" s="36"/>
      <c r="C19" s="36"/>
      <c r="D19" s="36"/>
      <c r="E19" s="36"/>
      <c r="F19" s="36"/>
      <c r="G19" s="36"/>
      <c r="H19" s="327"/>
      <c r="I19" s="36"/>
      <c r="J19" s="36"/>
      <c r="K19" s="36"/>
      <c r="L19" s="36"/>
      <c r="M19" s="36"/>
      <c r="N19" s="36"/>
      <c r="O19" s="36"/>
      <c r="P19" s="416">
        <v>3.2101136014324786E-3</v>
      </c>
      <c r="Q19" s="36"/>
      <c r="R19" s="36"/>
      <c r="S19" s="36"/>
      <c r="T19" s="36"/>
      <c r="U19" s="36"/>
      <c r="V19" s="36"/>
      <c r="W19" s="36"/>
      <c r="X19" s="396">
        <v>0</v>
      </c>
      <c r="Y19" s="816"/>
      <c r="Z19" s="328"/>
      <c r="AA19" s="36"/>
      <c r="AB19" s="36"/>
      <c r="AC19" s="36"/>
      <c r="AD19" s="36"/>
      <c r="AE19" s="36"/>
      <c r="AF19" s="36"/>
      <c r="AG19" s="327"/>
      <c r="AH19" s="36"/>
      <c r="AI19" s="36"/>
      <c r="AJ19" s="36"/>
      <c r="AK19" s="36"/>
      <c r="AL19" s="36"/>
      <c r="AM19" s="36"/>
    </row>
    <row r="20" spans="1:39" ht="15" customHeight="1" x14ac:dyDescent="0.25">
      <c r="A20" s="36"/>
      <c r="B20" s="36"/>
      <c r="C20" s="36"/>
      <c r="D20" s="36"/>
      <c r="E20" s="36"/>
      <c r="F20" s="36"/>
      <c r="G20" s="36"/>
      <c r="H20" s="95"/>
      <c r="I20" s="95"/>
      <c r="J20" s="36"/>
      <c r="K20" s="355"/>
      <c r="L20" s="95"/>
      <c r="M20" s="95"/>
      <c r="N20" s="36"/>
      <c r="O20" s="327"/>
      <c r="P20" s="36"/>
      <c r="Q20" s="36"/>
      <c r="R20" s="36"/>
      <c r="S20" s="344"/>
      <c r="T20" s="36"/>
      <c r="U20" s="327"/>
      <c r="V20" s="36"/>
      <c r="W20" s="36"/>
      <c r="X20" s="340"/>
      <c r="Y20" s="816"/>
      <c r="Z20" s="328"/>
      <c r="AA20" s="36"/>
      <c r="AB20" s="36"/>
      <c r="AC20" s="36"/>
      <c r="AD20" s="36"/>
      <c r="AE20" s="36"/>
      <c r="AF20" s="36"/>
      <c r="AG20" s="327"/>
      <c r="AH20" s="36"/>
      <c r="AI20" s="36"/>
      <c r="AJ20" s="36"/>
      <c r="AK20" s="36"/>
      <c r="AL20" s="36"/>
      <c r="AM20" s="36"/>
    </row>
    <row r="21" spans="1:39" ht="15" customHeight="1" x14ac:dyDescent="0.25">
      <c r="A21" s="36"/>
      <c r="B21" s="36"/>
      <c r="C21" s="414">
        <v>0</v>
      </c>
      <c r="D21" s="396" t="s">
        <v>1514</v>
      </c>
      <c r="E21" s="36"/>
      <c r="F21" s="414">
        <v>0</v>
      </c>
      <c r="G21" s="396" t="s">
        <v>1513</v>
      </c>
      <c r="H21" s="36"/>
      <c r="I21" s="36"/>
      <c r="J21" s="356"/>
      <c r="K21" s="36"/>
      <c r="L21" s="36"/>
      <c r="M21" s="36"/>
      <c r="N21" s="36"/>
      <c r="O21" s="36"/>
      <c r="P21" s="36"/>
      <c r="Q21" s="36"/>
      <c r="R21" s="36"/>
      <c r="S21" s="36"/>
      <c r="T21" s="36"/>
      <c r="U21" s="357"/>
      <c r="V21" s="36"/>
      <c r="W21" s="339"/>
      <c r="X21" s="358"/>
      <c r="Y21" s="36"/>
      <c r="Z21" s="328"/>
      <c r="AA21" s="36"/>
      <c r="AB21" s="36"/>
      <c r="AC21" s="36"/>
      <c r="AD21" s="36"/>
      <c r="AE21" s="36"/>
      <c r="AF21" s="36"/>
      <c r="AG21" s="396">
        <v>0</v>
      </c>
      <c r="AH21" s="36"/>
      <c r="AI21" s="36"/>
      <c r="AJ21" s="36"/>
      <c r="AK21" s="36"/>
      <c r="AL21" s="36"/>
      <c r="AM21" s="36"/>
    </row>
    <row r="22" spans="1:39" ht="15" customHeight="1" x14ac:dyDescent="0.25">
      <c r="A22" s="36"/>
      <c r="B22" s="36"/>
      <c r="C22" s="414">
        <v>0</v>
      </c>
      <c r="D22" s="396" t="s">
        <v>1541</v>
      </c>
      <c r="E22" s="796">
        <v>0</v>
      </c>
      <c r="F22" s="797"/>
      <c r="G22" s="396" t="s">
        <v>1546</v>
      </c>
      <c r="H22" s="36"/>
      <c r="I22" s="356"/>
      <c r="J22" s="349"/>
      <c r="K22" s="36"/>
      <c r="L22" s="36"/>
      <c r="M22" s="36"/>
      <c r="N22" s="36"/>
      <c r="O22" s="352"/>
      <c r="P22" s="36"/>
      <c r="Q22" s="36"/>
      <c r="R22" s="36"/>
      <c r="S22" s="36"/>
      <c r="T22" s="36"/>
      <c r="U22" s="330"/>
      <c r="V22" s="36"/>
      <c r="W22" s="328"/>
      <c r="X22" s="36"/>
      <c r="Y22" s="36"/>
      <c r="Z22" s="359"/>
      <c r="AA22" s="36"/>
      <c r="AB22" s="360"/>
      <c r="AC22" s="36"/>
      <c r="AD22" s="361"/>
      <c r="AE22" s="360"/>
      <c r="AF22" s="36"/>
      <c r="AG22" s="36"/>
      <c r="AH22" s="36"/>
      <c r="AI22" s="36"/>
      <c r="AJ22" s="36"/>
      <c r="AK22" s="36"/>
      <c r="AL22" s="36"/>
      <c r="AM22" s="36"/>
    </row>
    <row r="23" spans="1:39" ht="15" customHeight="1" x14ac:dyDescent="0.25">
      <c r="A23" s="36"/>
      <c r="B23" s="36"/>
      <c r="C23" s="36"/>
      <c r="D23" s="36"/>
      <c r="E23" s="36"/>
      <c r="F23" s="414">
        <v>0</v>
      </c>
      <c r="G23" s="396" t="s">
        <v>1654</v>
      </c>
      <c r="H23" s="36"/>
      <c r="I23" s="36"/>
      <c r="J23" s="36"/>
      <c r="K23" s="400">
        <v>2.3218800000000011</v>
      </c>
      <c r="L23" s="36"/>
      <c r="M23" s="792">
        <v>1.1654999999999993</v>
      </c>
      <c r="N23" s="792"/>
      <c r="O23" s="402">
        <v>0.92040000000000044</v>
      </c>
      <c r="P23" s="36"/>
      <c r="Q23" s="36"/>
      <c r="R23" s="36"/>
      <c r="S23" s="36"/>
      <c r="T23" s="36"/>
      <c r="U23" s="812">
        <v>0</v>
      </c>
      <c r="V23" s="813"/>
      <c r="W23" s="36"/>
      <c r="X23" s="36"/>
      <c r="Y23" s="36"/>
      <c r="Z23" s="362"/>
      <c r="AA23" s="36"/>
      <c r="AB23" s="36"/>
      <c r="AC23" s="36"/>
      <c r="AD23" s="360"/>
      <c r="AE23" s="354"/>
      <c r="AF23" s="36"/>
      <c r="AG23" s="346"/>
      <c r="AH23" s="36"/>
      <c r="AI23" s="363"/>
      <c r="AJ23" s="36"/>
      <c r="AK23" s="36"/>
      <c r="AL23" s="36"/>
      <c r="AM23" s="36"/>
    </row>
    <row r="24" spans="1:39" ht="15" customHeight="1" x14ac:dyDescent="0.25">
      <c r="A24" s="36"/>
      <c r="B24" s="36"/>
      <c r="C24" s="36"/>
      <c r="D24" s="36"/>
      <c r="E24" s="36"/>
      <c r="F24" s="36"/>
      <c r="G24" s="36"/>
      <c r="H24" s="36"/>
      <c r="I24" s="36"/>
      <c r="J24" s="349"/>
      <c r="K24" s="349"/>
      <c r="L24" s="36"/>
      <c r="M24" s="36"/>
      <c r="N24" s="36"/>
      <c r="O24" s="327"/>
      <c r="P24" s="370" t="s">
        <v>1542</v>
      </c>
      <c r="Q24" s="398"/>
      <c r="R24" s="370" t="s">
        <v>1421</v>
      </c>
      <c r="S24" s="364"/>
      <c r="T24" s="36"/>
      <c r="U24" s="327"/>
      <c r="V24" s="36"/>
      <c r="W24" s="36"/>
      <c r="X24" s="36"/>
      <c r="Y24" s="36"/>
      <c r="Z24" s="95"/>
      <c r="AA24" s="36"/>
      <c r="AB24" s="36"/>
      <c r="AC24" s="36"/>
      <c r="AD24" s="36"/>
      <c r="AE24" s="36"/>
      <c r="AF24" s="36"/>
      <c r="AG24" s="36"/>
      <c r="AH24" s="36"/>
      <c r="AI24" s="36"/>
      <c r="AJ24" s="36"/>
      <c r="AK24" s="36"/>
      <c r="AL24" s="36"/>
      <c r="AM24" s="36"/>
    </row>
    <row r="25" spans="1:39" ht="15" customHeight="1" x14ac:dyDescent="0.25">
      <c r="A25" s="36"/>
      <c r="B25" s="36"/>
      <c r="C25" s="36"/>
      <c r="D25" s="36"/>
      <c r="E25" s="36"/>
      <c r="F25" s="36"/>
      <c r="G25" s="36"/>
      <c r="H25" s="403">
        <v>1.6917033333333333</v>
      </c>
      <c r="I25" s="36" t="s">
        <v>1197</v>
      </c>
      <c r="J25" s="365"/>
      <c r="K25" s="366"/>
      <c r="L25" s="339"/>
      <c r="M25" s="36"/>
      <c r="N25" s="342"/>
      <c r="O25" s="36"/>
      <c r="P25" s="400">
        <v>2.8631649999999995</v>
      </c>
      <c r="Q25" s="401" t="s">
        <v>1543</v>
      </c>
      <c r="R25" s="399">
        <v>0.80000000000000016</v>
      </c>
      <c r="S25" s="36"/>
      <c r="T25" s="36"/>
      <c r="U25" s="344"/>
      <c r="V25" s="36"/>
      <c r="W25" s="344"/>
      <c r="X25" s="36"/>
      <c r="Y25" s="36"/>
      <c r="Z25" s="414">
        <v>0</v>
      </c>
      <c r="AA25" s="36"/>
      <c r="AB25" s="36"/>
      <c r="AC25" s="367"/>
      <c r="AD25" s="368"/>
      <c r="AE25" s="36"/>
      <c r="AF25" s="36"/>
      <c r="AG25" s="36"/>
      <c r="AH25" s="745"/>
      <c r="AI25" s="397"/>
      <c r="AJ25" s="36"/>
      <c r="AK25" s="36"/>
      <c r="AL25" s="36"/>
      <c r="AM25" s="36"/>
    </row>
    <row r="26" spans="1:39" ht="15" customHeight="1" x14ac:dyDescent="0.25">
      <c r="A26" s="36"/>
      <c r="B26" s="36"/>
      <c r="C26" s="36"/>
      <c r="D26" s="36"/>
      <c r="E26" s="36"/>
      <c r="F26" s="36"/>
      <c r="G26" s="36"/>
      <c r="H26" s="396">
        <f>EdibleFromPlantsValue</f>
        <v>0</v>
      </c>
      <c r="I26" s="396" t="s">
        <v>1547</v>
      </c>
      <c r="J26" s="36"/>
      <c r="K26" s="36"/>
      <c r="L26" s="36"/>
      <c r="M26" s="36"/>
      <c r="N26" s="36"/>
      <c r="O26" s="327"/>
      <c r="P26" s="36"/>
      <c r="Q26" s="36"/>
      <c r="R26" s="360"/>
      <c r="S26" s="36"/>
      <c r="T26" s="36"/>
      <c r="U26" s="354"/>
      <c r="V26" s="36"/>
      <c r="W26" s="36"/>
      <c r="X26" s="36"/>
      <c r="Y26" s="36"/>
      <c r="Z26" s="36"/>
      <c r="AA26" s="36"/>
      <c r="AB26" s="36"/>
      <c r="AC26" s="36"/>
      <c r="AD26" s="36"/>
      <c r="AE26" s="36"/>
      <c r="AF26" s="36"/>
      <c r="AG26" s="36"/>
      <c r="AH26" s="36"/>
      <c r="AI26" s="397"/>
      <c r="AJ26" s="36"/>
      <c r="AK26" s="36"/>
      <c r="AL26" s="36"/>
      <c r="AM26" s="36"/>
    </row>
    <row r="27" spans="1:39" ht="15" customHeight="1" x14ac:dyDescent="0.25">
      <c r="A27" s="36"/>
      <c r="B27" s="36"/>
      <c r="C27" s="36"/>
      <c r="D27" s="36"/>
      <c r="E27" s="36"/>
      <c r="F27" s="36"/>
      <c r="G27" s="36"/>
      <c r="H27" s="400">
        <v>0.78423333333333323</v>
      </c>
      <c r="I27" s="36"/>
      <c r="J27" s="36"/>
      <c r="K27" s="36"/>
      <c r="L27" s="36"/>
      <c r="M27" s="36"/>
      <c r="N27" s="36"/>
      <c r="O27" s="328"/>
      <c r="P27" s="36"/>
      <c r="Q27" s="326">
        <v>0.80000000000000016</v>
      </c>
      <c r="R27" s="360"/>
      <c r="S27" s="36"/>
      <c r="T27" s="36"/>
      <c r="U27" s="36"/>
      <c r="V27" s="36"/>
      <c r="W27" s="36"/>
      <c r="X27" s="36"/>
      <c r="Y27" s="36"/>
      <c r="Z27" s="326">
        <v>0</v>
      </c>
      <c r="AA27" s="36"/>
      <c r="AB27" s="354"/>
      <c r="AC27" s="36"/>
      <c r="AD27" s="36"/>
      <c r="AE27" s="36"/>
      <c r="AF27" s="36"/>
      <c r="AG27" s="36"/>
      <c r="AH27" s="36"/>
      <c r="AI27" s="36"/>
      <c r="AJ27" s="36"/>
      <c r="AK27" s="36"/>
      <c r="AL27" s="36"/>
      <c r="AM27" s="36"/>
    </row>
    <row r="28" spans="1:39" ht="15" customHeight="1" x14ac:dyDescent="0.25">
      <c r="A28" s="36"/>
      <c r="B28" s="36"/>
      <c r="C28" s="36"/>
      <c r="D28" s="36"/>
      <c r="E28" s="36"/>
      <c r="F28" s="36"/>
      <c r="G28" s="759" t="s">
        <v>1543</v>
      </c>
      <c r="H28" s="414">
        <v>0</v>
      </c>
      <c r="I28" s="396" t="s">
        <v>1547</v>
      </c>
      <c r="J28" s="36"/>
      <c r="K28" s="36"/>
      <c r="L28" s="36"/>
      <c r="M28" s="36"/>
      <c r="N28" s="36"/>
      <c r="O28" s="369"/>
      <c r="P28" s="36"/>
      <c r="Q28" s="36"/>
      <c r="R28" s="36"/>
      <c r="S28" s="36"/>
      <c r="T28" s="36"/>
      <c r="U28" s="36"/>
      <c r="V28" s="36"/>
      <c r="W28" s="36"/>
      <c r="X28" s="36"/>
      <c r="Y28" s="36"/>
      <c r="Z28" s="36"/>
      <c r="AA28" s="36"/>
      <c r="AB28" s="36"/>
      <c r="AC28" s="36"/>
      <c r="AD28" s="36"/>
      <c r="AE28" s="36"/>
      <c r="AF28" s="36"/>
      <c r="AG28" s="36"/>
      <c r="AH28" s="36"/>
      <c r="AI28" s="36"/>
      <c r="AJ28" s="36"/>
      <c r="AK28" s="36"/>
      <c r="AL28" s="36"/>
      <c r="AM28" s="36"/>
    </row>
    <row r="29" spans="1:39" ht="15" customHeight="1" x14ac:dyDescent="0.25">
      <c r="A29" s="36"/>
      <c r="B29" s="36"/>
      <c r="C29" s="36"/>
      <c r="D29" s="36"/>
      <c r="E29" s="36"/>
      <c r="F29" s="36"/>
      <c r="G29" s="36"/>
      <c r="H29" s="36"/>
      <c r="I29" s="36"/>
      <c r="J29" s="36"/>
      <c r="K29" s="95"/>
      <c r="L29" s="36"/>
      <c r="M29" s="806">
        <v>1.6589999999999998</v>
      </c>
      <c r="N29" s="806"/>
      <c r="O29" s="369"/>
      <c r="P29" s="97">
        <v>0.14788400000000002</v>
      </c>
      <c r="Q29" s="36" t="s">
        <v>799</v>
      </c>
      <c r="R29" s="814">
        <v>0</v>
      </c>
      <c r="S29" s="815"/>
      <c r="T29" s="36"/>
      <c r="U29" s="798">
        <v>1.8048000000000002</v>
      </c>
      <c r="V29" s="798"/>
      <c r="W29" s="36"/>
      <c r="X29" s="36"/>
      <c r="Y29" s="36"/>
      <c r="Z29" s="36"/>
      <c r="AA29" s="36"/>
      <c r="AB29" s="36"/>
      <c r="AC29" s="36"/>
      <c r="AD29" s="36"/>
      <c r="AE29" s="36"/>
      <c r="AF29" s="36"/>
      <c r="AG29" s="36"/>
      <c r="AH29" s="36"/>
      <c r="AI29" s="36"/>
      <c r="AJ29" s="36"/>
      <c r="AK29" s="36"/>
      <c r="AL29" s="36"/>
      <c r="AM29" s="36"/>
    </row>
    <row r="30" spans="1:39" ht="15" customHeight="1" x14ac:dyDescent="0.25">
      <c r="A30" s="36"/>
      <c r="B30" s="36"/>
      <c r="C30" s="36"/>
      <c r="D30" s="36"/>
      <c r="E30" s="36"/>
      <c r="F30" s="36"/>
      <c r="G30" s="36"/>
      <c r="H30" s="414">
        <v>1.6589999999999998</v>
      </c>
      <c r="I30" s="36"/>
      <c r="J30" s="347"/>
      <c r="K30" s="36"/>
      <c r="L30" s="36"/>
      <c r="M30" s="36"/>
      <c r="N30" s="36"/>
      <c r="O30" s="36"/>
      <c r="P30" s="396">
        <v>0</v>
      </c>
      <c r="Q30" s="396" t="s">
        <v>1541</v>
      </c>
      <c r="R30" s="326"/>
      <c r="S30" s="326"/>
      <c r="T30" s="36"/>
      <c r="U30" s="371"/>
      <c r="V30" s="36"/>
      <c r="W30" s="36"/>
      <c r="X30" s="36"/>
      <c r="Y30" s="36"/>
      <c r="Z30" s="372"/>
      <c r="AA30" s="36"/>
      <c r="AB30" s="36"/>
      <c r="AC30" s="36"/>
      <c r="AD30" s="36"/>
      <c r="AE30" s="397">
        <v>0</v>
      </c>
      <c r="AF30" s="397" t="s">
        <v>2000</v>
      </c>
      <c r="AG30" s="36"/>
      <c r="AH30" s="36"/>
      <c r="AI30" s="36"/>
      <c r="AJ30" s="36"/>
      <c r="AK30" s="36"/>
      <c r="AL30" s="36"/>
      <c r="AM30" s="36"/>
    </row>
    <row r="31" spans="1:39" ht="15" customHeight="1" x14ac:dyDescent="0.25">
      <c r="A31" s="36"/>
      <c r="B31" s="36"/>
      <c r="C31" s="36"/>
      <c r="D31" s="807" t="s">
        <v>1545</v>
      </c>
      <c r="E31" s="808"/>
      <c r="F31" s="36"/>
      <c r="G31" s="36"/>
      <c r="H31" s="36"/>
      <c r="I31" s="36"/>
      <c r="J31" s="36"/>
      <c r="K31" s="36"/>
      <c r="L31" s="36"/>
      <c r="M31" s="36"/>
      <c r="N31" s="36"/>
      <c r="O31" s="342"/>
      <c r="P31" s="802">
        <v>0</v>
      </c>
      <c r="Q31" s="817">
        <v>1.456</v>
      </c>
      <c r="R31" s="36"/>
      <c r="S31" s="350"/>
      <c r="T31" s="36"/>
      <c r="U31" s="374"/>
      <c r="V31" s="36"/>
      <c r="W31" s="36"/>
      <c r="X31" s="36"/>
      <c r="Y31" s="36"/>
      <c r="Z31" s="343"/>
      <c r="AA31" s="36"/>
      <c r="AB31" s="36"/>
      <c r="AC31" s="36"/>
      <c r="AD31" s="375"/>
      <c r="AE31" s="36"/>
      <c r="AF31" s="36"/>
      <c r="AG31" s="36"/>
      <c r="AH31" s="36"/>
      <c r="AI31" s="36"/>
      <c r="AJ31" s="36"/>
      <c r="AK31" s="36"/>
      <c r="AL31" s="36"/>
      <c r="AM31" s="36"/>
    </row>
    <row r="32" spans="1:39" ht="15" customHeight="1" x14ac:dyDescent="0.25">
      <c r="A32" s="36"/>
      <c r="B32" s="36"/>
      <c r="C32" s="36"/>
      <c r="D32" s="808"/>
      <c r="E32" s="808"/>
      <c r="F32" s="36"/>
      <c r="G32" s="36"/>
      <c r="H32" s="36"/>
      <c r="I32" s="376"/>
      <c r="J32" s="377"/>
      <c r="K32" s="36"/>
      <c r="L32" s="36"/>
      <c r="M32" s="36"/>
      <c r="N32" s="36"/>
      <c r="O32" s="36"/>
      <c r="P32" s="817"/>
      <c r="Q32" s="817"/>
      <c r="R32" s="36"/>
      <c r="S32" s="36"/>
      <c r="T32" s="36"/>
      <c r="U32" s="36"/>
      <c r="V32" s="36"/>
      <c r="W32" s="378"/>
      <c r="X32" s="36"/>
      <c r="Y32" s="36"/>
      <c r="Z32" s="36"/>
      <c r="AA32" s="36"/>
      <c r="AB32" s="36"/>
      <c r="AC32" s="36"/>
      <c r="AD32" s="36"/>
      <c r="AE32" s="36"/>
      <c r="AF32" s="36"/>
      <c r="AG32" s="36"/>
      <c r="AH32" s="36"/>
      <c r="AI32" s="36"/>
      <c r="AJ32" s="36"/>
      <c r="AK32" s="36"/>
      <c r="AL32" s="36"/>
      <c r="AM32" s="36"/>
    </row>
    <row r="33" spans="1:39" ht="15" customHeight="1" x14ac:dyDescent="0.25">
      <c r="A33" s="36"/>
      <c r="B33" s="791">
        <v>0</v>
      </c>
      <c r="C33" s="798"/>
      <c r="D33" s="791">
        <v>0</v>
      </c>
      <c r="E33" s="805"/>
      <c r="F33" s="36"/>
      <c r="G33" s="36"/>
      <c r="H33" s="36"/>
      <c r="I33" s="329"/>
      <c r="J33" s="36"/>
      <c r="K33" s="36"/>
      <c r="L33" s="36"/>
      <c r="M33" s="379"/>
      <c r="N33" s="36"/>
      <c r="O33" s="36"/>
      <c r="P33" s="36"/>
      <c r="Q33" s="36"/>
      <c r="R33" s="36"/>
      <c r="S33" s="36"/>
      <c r="T33" s="36"/>
      <c r="U33" s="36"/>
      <c r="V33" s="36"/>
      <c r="W33" s="36"/>
      <c r="X33" s="36"/>
      <c r="Y33" s="36"/>
      <c r="Z33" s="36"/>
      <c r="AA33" s="36"/>
      <c r="AB33" s="36"/>
      <c r="AC33" s="36"/>
      <c r="AD33" s="97"/>
      <c r="AE33" s="36"/>
      <c r="AF33" s="97"/>
      <c r="AG33" s="36"/>
      <c r="AH33" s="36"/>
      <c r="AI33" s="36"/>
      <c r="AJ33" s="36"/>
      <c r="AK33" s="36"/>
      <c r="AL33" s="36"/>
      <c r="AM33" s="36"/>
    </row>
    <row r="34" spans="1:39" ht="15" customHeight="1" x14ac:dyDescent="0.25">
      <c r="A34" s="36"/>
      <c r="B34" s="798"/>
      <c r="C34" s="798"/>
      <c r="D34" s="723" t="s">
        <v>1655</v>
      </c>
      <c r="F34" s="36"/>
      <c r="G34" s="36"/>
      <c r="H34" s="36"/>
      <c r="I34" s="36"/>
      <c r="J34" s="36"/>
      <c r="K34" s="36"/>
      <c r="L34" s="36"/>
      <c r="M34" s="36"/>
      <c r="N34" s="36"/>
      <c r="O34" s="327"/>
      <c r="P34" s="36"/>
      <c r="Q34" s="36"/>
      <c r="R34" s="36"/>
      <c r="U34" s="380"/>
      <c r="V34" s="36"/>
      <c r="W34" s="36"/>
      <c r="X34" s="760">
        <v>0</v>
      </c>
      <c r="Y34" s="36"/>
      <c r="Z34" s="36"/>
      <c r="AA34" s="36"/>
      <c r="AB34" s="36"/>
      <c r="AC34" s="36"/>
      <c r="AD34" s="380"/>
      <c r="AE34" s="350"/>
      <c r="AF34" s="36"/>
      <c r="AG34" s="36"/>
      <c r="AH34" s="36"/>
      <c r="AI34" s="36"/>
      <c r="AJ34" s="396">
        <v>0</v>
      </c>
      <c r="AK34" s="728" t="s">
        <v>2000</v>
      </c>
      <c r="AL34" s="36"/>
      <c r="AM34" s="36"/>
    </row>
    <row r="35" spans="1:39" ht="15" customHeight="1" x14ac:dyDescent="0.25">
      <c r="A35" s="36"/>
      <c r="B35" s="36"/>
      <c r="C35" s="36"/>
      <c r="D35" s="791">
        <v>0</v>
      </c>
      <c r="E35" s="798"/>
      <c r="F35" s="36"/>
      <c r="G35" s="36"/>
      <c r="H35" s="36"/>
      <c r="I35" s="36"/>
      <c r="J35" s="36"/>
      <c r="K35" s="36"/>
      <c r="L35" s="36"/>
      <c r="M35" s="806">
        <v>0.20299999999999999</v>
      </c>
      <c r="N35" s="806"/>
      <c r="O35" s="328"/>
      <c r="P35" s="396">
        <v>0</v>
      </c>
      <c r="Q35" s="396" t="s">
        <v>1544</v>
      </c>
      <c r="R35" s="36"/>
      <c r="T35" s="800">
        <v>0.45120000000000005</v>
      </c>
      <c r="U35" s="801"/>
      <c r="V35" s="397" t="s">
        <v>1548</v>
      </c>
      <c r="W35" s="36"/>
      <c r="X35" s="36"/>
      <c r="Y35" s="36"/>
      <c r="Z35" s="36"/>
      <c r="AC35" s="36"/>
      <c r="AD35" s="36"/>
      <c r="AE35" s="36"/>
      <c r="AF35" s="36"/>
      <c r="AG35" s="36"/>
      <c r="AH35" s="36"/>
      <c r="AI35" s="36"/>
      <c r="AJ35" s="36"/>
      <c r="AK35" s="36"/>
      <c r="AL35" s="36"/>
      <c r="AM35" s="36"/>
    </row>
    <row r="36" spans="1:39" ht="15" customHeight="1" x14ac:dyDescent="0.25">
      <c r="A36" s="36"/>
      <c r="B36" s="36"/>
      <c r="C36" s="36"/>
      <c r="D36" s="36"/>
      <c r="E36" s="36"/>
      <c r="F36" s="36"/>
      <c r="G36" s="36"/>
      <c r="H36" s="36"/>
      <c r="I36" s="400">
        <v>0.1152</v>
      </c>
      <c r="J36" s="326"/>
      <c r="K36" s="36"/>
      <c r="L36" s="36"/>
      <c r="M36" s="36"/>
      <c r="N36" s="36"/>
      <c r="O36" s="328"/>
      <c r="P36" s="36"/>
      <c r="Q36" s="36"/>
      <c r="R36" s="36"/>
      <c r="S36" s="36"/>
      <c r="T36" s="36"/>
      <c r="U36" s="36"/>
      <c r="V36" s="36"/>
      <c r="W36" s="36"/>
      <c r="X36" s="36"/>
      <c r="Y36" s="36"/>
      <c r="Z36" s="36"/>
      <c r="AC36" s="36"/>
      <c r="AD36" s="36"/>
      <c r="AE36" s="36"/>
      <c r="AF36" s="36"/>
      <c r="AG36" s="36"/>
      <c r="AH36" s="36"/>
      <c r="AI36" s="36"/>
      <c r="AJ36" s="36"/>
      <c r="AK36" s="36"/>
      <c r="AL36" s="36"/>
      <c r="AM36" s="36"/>
    </row>
    <row r="37" spans="1:39" ht="15" customHeight="1" x14ac:dyDescent="0.25">
      <c r="A37" s="36"/>
      <c r="B37" s="36"/>
      <c r="C37" s="36"/>
      <c r="D37" s="36"/>
      <c r="E37" s="36"/>
      <c r="F37" s="36"/>
      <c r="G37" s="36"/>
      <c r="I37" s="36"/>
      <c r="J37" s="36"/>
      <c r="K37" s="95"/>
      <c r="L37" s="36"/>
      <c r="M37" s="36"/>
      <c r="N37" s="36"/>
      <c r="O37" s="328"/>
      <c r="P37" s="36"/>
      <c r="Q37" s="36"/>
      <c r="R37" s="36"/>
      <c r="S37" s="36"/>
      <c r="T37" s="36"/>
      <c r="U37" s="36"/>
      <c r="V37" s="36"/>
      <c r="W37" s="36"/>
      <c r="X37" s="36"/>
      <c r="Y37" s="36"/>
      <c r="Z37" s="36"/>
      <c r="AC37" s="36"/>
      <c r="AD37" s="36"/>
      <c r="AE37" s="36"/>
      <c r="AF37" s="36"/>
      <c r="AG37" s="36"/>
      <c r="AH37" s="36"/>
      <c r="AI37" s="36"/>
      <c r="AJ37" s="36"/>
      <c r="AK37" s="36"/>
      <c r="AL37" s="36"/>
      <c r="AM37" s="36"/>
    </row>
    <row r="38" spans="1:39" ht="15" customHeight="1" x14ac:dyDescent="0.25">
      <c r="A38" s="36"/>
      <c r="B38" s="36"/>
      <c r="C38" s="794" t="s">
        <v>1691</v>
      </c>
      <c r="D38" s="795"/>
      <c r="E38" s="795"/>
      <c r="F38" s="36"/>
      <c r="G38" s="36"/>
      <c r="H38" s="36"/>
      <c r="I38" s="36"/>
      <c r="J38" s="381"/>
      <c r="K38" s="36"/>
      <c r="L38" s="36"/>
      <c r="M38" s="36"/>
      <c r="N38" s="36"/>
      <c r="O38" s="328"/>
      <c r="P38" s="36"/>
      <c r="Q38" s="36"/>
      <c r="R38" s="36"/>
      <c r="S38" s="36"/>
      <c r="T38" s="36"/>
      <c r="U38" s="36"/>
      <c r="V38" s="36"/>
      <c r="W38" s="36"/>
      <c r="X38" s="36"/>
      <c r="Y38" s="36"/>
      <c r="Z38" s="36"/>
      <c r="AA38" s="36"/>
      <c r="AB38" s="36"/>
      <c r="AC38" s="36"/>
      <c r="AD38" s="36"/>
      <c r="AE38" s="36"/>
      <c r="AF38" s="36"/>
      <c r="AG38" s="36"/>
      <c r="AH38" s="36"/>
      <c r="AI38" s="36"/>
      <c r="AJ38" s="36"/>
      <c r="AK38" s="36"/>
      <c r="AL38" s="36"/>
      <c r="AM38" s="36"/>
    </row>
    <row r="39" spans="1:39" ht="15" customHeight="1" thickBot="1" x14ac:dyDescent="0.3">
      <c r="A39" s="36"/>
      <c r="B39" s="36"/>
      <c r="C39" s="795"/>
      <c r="D39" s="795"/>
      <c r="E39" s="795"/>
      <c r="F39" s="36"/>
      <c r="G39" s="36"/>
      <c r="H39" s="36"/>
      <c r="I39" s="791">
        <v>0</v>
      </c>
      <c r="J39" s="792"/>
      <c r="K39" s="382"/>
      <c r="L39" s="36"/>
      <c r="M39" s="36"/>
      <c r="N39" s="36"/>
      <c r="O39" s="328"/>
      <c r="P39" s="790">
        <v>8.7799999999999989E-2</v>
      </c>
      <c r="Q39" s="397" t="s">
        <v>1548</v>
      </c>
      <c r="R39" s="36"/>
      <c r="S39" s="36"/>
      <c r="T39" s="36"/>
      <c r="U39" s="36"/>
      <c r="V39" s="36"/>
      <c r="W39" s="36"/>
      <c r="X39" s="36"/>
      <c r="Y39" s="36"/>
      <c r="Z39" s="36"/>
      <c r="AA39" s="36"/>
      <c r="AC39" s="36"/>
      <c r="AD39" s="36"/>
      <c r="AF39" s="36"/>
      <c r="AG39" s="36"/>
      <c r="AH39" s="36"/>
      <c r="AI39" s="36"/>
      <c r="AJ39" s="36"/>
      <c r="AK39" s="36"/>
      <c r="AL39" s="36"/>
      <c r="AM39" s="36"/>
    </row>
    <row r="40" spans="1:39" ht="15" customHeight="1" x14ac:dyDescent="0.25">
      <c r="A40" s="36"/>
      <c r="B40" s="36"/>
      <c r="C40" s="36"/>
      <c r="D40" s="791">
        <v>0</v>
      </c>
      <c r="E40" s="793"/>
      <c r="F40" s="36"/>
      <c r="G40" s="36"/>
      <c r="H40" s="350"/>
      <c r="I40" s="36"/>
      <c r="J40" s="36"/>
      <c r="K40" s="36"/>
      <c r="L40" s="36"/>
      <c r="M40" s="36"/>
      <c r="N40" s="36"/>
      <c r="O40" s="383"/>
      <c r="P40" s="36"/>
      <c r="Q40" s="36"/>
      <c r="R40" s="36"/>
      <c r="S40" s="36"/>
      <c r="T40" s="36"/>
      <c r="U40" s="36"/>
      <c r="V40" s="36"/>
      <c r="W40" s="36"/>
      <c r="X40" s="36"/>
      <c r="Y40" s="36"/>
      <c r="Z40" s="36"/>
      <c r="AA40" s="385" t="s">
        <v>1510</v>
      </c>
      <c r="AB40" s="313"/>
      <c r="AC40" s="386" t="s">
        <v>1512</v>
      </c>
      <c r="AD40" s="386"/>
      <c r="AE40" s="386"/>
      <c r="AF40" s="386"/>
      <c r="AG40" s="386"/>
      <c r="AH40" s="386"/>
      <c r="AI40" s="387"/>
      <c r="AJ40" s="36"/>
      <c r="AK40" s="36"/>
      <c r="AL40" s="36"/>
      <c r="AM40" s="36"/>
    </row>
    <row r="41" spans="1:39" ht="15" customHeight="1" x14ac:dyDescent="0.35">
      <c r="A41" s="36"/>
      <c r="B41" s="36"/>
      <c r="C41" s="36"/>
      <c r="D41" s="36"/>
      <c r="E41" s="36"/>
      <c r="F41" s="36"/>
      <c r="G41" s="36"/>
      <c r="H41" s="36"/>
      <c r="I41" s="36"/>
      <c r="J41" s="97">
        <f>H25*0.25/1.51</f>
        <v>0.28008333333333335</v>
      </c>
      <c r="K41" s="36" t="s">
        <v>1507</v>
      </c>
      <c r="L41" s="36"/>
      <c r="M41" s="36"/>
      <c r="N41" s="36"/>
      <c r="O41" s="328"/>
      <c r="P41" s="36"/>
      <c r="Q41" s="36"/>
      <c r="R41" s="36"/>
      <c r="S41" s="36"/>
      <c r="T41" s="36"/>
      <c r="U41" s="36"/>
      <c r="V41" s="36"/>
      <c r="W41" s="36"/>
      <c r="X41" s="36"/>
      <c r="Y41" s="36"/>
      <c r="Z41" s="36"/>
      <c r="AA41" s="122"/>
      <c r="AB41" s="326" t="s">
        <v>2008</v>
      </c>
      <c r="AC41" s="36"/>
      <c r="AD41" s="36"/>
      <c r="AE41" s="373" t="s">
        <v>1508</v>
      </c>
      <c r="AF41" s="36"/>
      <c r="AG41" s="36"/>
      <c r="AH41" s="36"/>
      <c r="AI41" s="388" t="s">
        <v>1511</v>
      </c>
      <c r="AJ41" s="36"/>
      <c r="AK41" s="36"/>
      <c r="AL41" s="36"/>
      <c r="AM41" s="36"/>
    </row>
    <row r="42" spans="1:39" ht="15" customHeight="1" x14ac:dyDescent="0.3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122"/>
      <c r="AB42" s="321" t="s">
        <v>2009</v>
      </c>
      <c r="AC42" s="36"/>
      <c r="AD42" s="36"/>
      <c r="AE42" s="384" t="s">
        <v>2011</v>
      </c>
      <c r="AF42" s="36"/>
      <c r="AG42" s="36"/>
      <c r="AH42" s="36"/>
      <c r="AI42" s="388"/>
      <c r="AJ42" s="36"/>
      <c r="AK42" s="36"/>
      <c r="AL42" s="36"/>
      <c r="AM42" s="36"/>
    </row>
    <row r="43" spans="1:39" ht="15" customHeight="1" thickBot="1" x14ac:dyDescent="0.4">
      <c r="A43" s="36"/>
      <c r="B43" s="36"/>
      <c r="C43" s="36"/>
      <c r="D43" s="36"/>
      <c r="E43" s="36"/>
      <c r="F43" s="36"/>
      <c r="G43" s="36"/>
      <c r="H43" s="36"/>
      <c r="I43" s="36"/>
      <c r="J43" s="36"/>
      <c r="K43" s="36"/>
      <c r="L43" s="36"/>
      <c r="M43" s="36"/>
      <c r="N43" s="36"/>
      <c r="O43" s="36"/>
      <c r="P43" s="36"/>
      <c r="Q43" s="36"/>
      <c r="R43" s="36"/>
      <c r="S43" s="36"/>
      <c r="T43" s="36"/>
      <c r="U43" s="36"/>
      <c r="V43" s="36"/>
      <c r="W43" s="36"/>
      <c r="X43" s="36"/>
      <c r="Y43" s="36"/>
      <c r="Z43" s="36"/>
      <c r="AA43" s="123"/>
      <c r="AB43" s="389" t="s">
        <v>2010</v>
      </c>
      <c r="AC43" s="390"/>
      <c r="AD43" s="390"/>
      <c r="AE43" s="391" t="s">
        <v>1509</v>
      </c>
      <c r="AF43" s="390"/>
      <c r="AG43" s="390"/>
      <c r="AH43" s="390"/>
      <c r="AI43" s="392"/>
      <c r="AJ43" s="36"/>
      <c r="AK43" s="36"/>
      <c r="AL43" s="36"/>
      <c r="AM43" s="36"/>
    </row>
    <row r="44" spans="1:39" ht="15.75" hidden="1" thickBot="1" x14ac:dyDescent="0.3">
      <c r="A44" s="36"/>
      <c r="B44" s="36"/>
      <c r="C44" s="36"/>
      <c r="D44" s="36"/>
      <c r="E44" s="36"/>
      <c r="F44" s="36"/>
      <c r="G44" s="36"/>
      <c r="H44" s="36"/>
      <c r="J44" s="36"/>
      <c r="K44" s="36"/>
      <c r="L44" s="36"/>
      <c r="M44" s="36"/>
      <c r="N44" s="36"/>
      <c r="O44" s="36"/>
      <c r="P44" s="36"/>
      <c r="Q44" s="36"/>
      <c r="R44" s="36"/>
      <c r="S44" s="36"/>
      <c r="T44" s="36"/>
      <c r="U44" s="36"/>
      <c r="V44" s="36"/>
      <c r="W44" s="36"/>
      <c r="X44" s="36"/>
      <c r="Y44" s="36"/>
      <c r="Z44" s="36"/>
      <c r="AA44" s="36"/>
      <c r="AB44" s="36"/>
      <c r="AC44" s="36"/>
      <c r="AD44" s="36"/>
      <c r="AE44" s="36"/>
      <c r="AF44" s="36"/>
      <c r="AG44" s="390"/>
      <c r="AH44" s="36"/>
      <c r="AI44" s="36"/>
      <c r="AJ44" s="36"/>
      <c r="AK44" s="36"/>
      <c r="AL44" s="36"/>
      <c r="AM44" s="36"/>
    </row>
    <row r="45" spans="1:39" hidden="1" x14ac:dyDescent="0.25">
      <c r="A45" s="36"/>
      <c r="B45" s="36"/>
      <c r="C45" s="36"/>
      <c r="D45" s="36"/>
      <c r="E45" s="36"/>
      <c r="F45" s="36"/>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c r="AI45" s="36"/>
      <c r="AJ45" s="36"/>
      <c r="AK45" s="36"/>
      <c r="AL45" s="36"/>
      <c r="AM45" s="36"/>
    </row>
    <row r="46" spans="1:39" hidden="1"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row>
    <row r="47" spans="1:39" hidden="1" x14ac:dyDescent="0.25">
      <c r="A47" s="36"/>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row>
    <row r="48" spans="1:39" hidden="1" x14ac:dyDescent="0.25">
      <c r="A48" s="36"/>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row>
    <row r="49" spans="1:39" hidden="1" x14ac:dyDescent="0.25">
      <c r="A49" s="36"/>
      <c r="B49" s="36"/>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row>
    <row r="50" spans="1:39" hidden="1" x14ac:dyDescent="0.25">
      <c r="A50" s="36"/>
      <c r="B50" s="36"/>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row>
    <row r="51" spans="1:39" hidden="1" x14ac:dyDescent="0.25">
      <c r="A51" s="36"/>
      <c r="B51" s="36"/>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row>
    <row r="52" spans="1:39" hidden="1" x14ac:dyDescent="0.25">
      <c r="A52" s="36"/>
      <c r="B52" s="36"/>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row>
    <row r="53" spans="1:39" hidden="1" x14ac:dyDescent="0.25">
      <c r="A53" s="36"/>
      <c r="B53" s="36"/>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row>
    <row r="54" spans="1:39" hidden="1" x14ac:dyDescent="0.25">
      <c r="A54" s="36"/>
      <c r="B54" s="36"/>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row>
    <row r="55" spans="1:39" hidden="1" x14ac:dyDescent="0.25">
      <c r="A55" s="36"/>
      <c r="B55" s="36"/>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row>
    <row r="56" spans="1:39" hidden="1" x14ac:dyDescent="0.25">
      <c r="A56" s="36"/>
      <c r="B56" s="36"/>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row>
    <row r="57" spans="1:39" hidden="1" x14ac:dyDescent="0.25">
      <c r="A57" s="36"/>
      <c r="B57" s="36"/>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row>
    <row r="58" spans="1:39" hidden="1" x14ac:dyDescent="0.25">
      <c r="A58" s="36"/>
      <c r="B58" s="36"/>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row>
    <row r="59" spans="1:39" hidden="1" x14ac:dyDescent="0.25">
      <c r="A59" s="36"/>
      <c r="B59" s="36"/>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row>
    <row r="60" spans="1:39" hidden="1"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row>
    <row r="61" spans="1:39" hidden="1" x14ac:dyDescent="0.25">
      <c r="A61" s="36"/>
      <c r="B61" s="36"/>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row>
    <row r="62" spans="1:39" hidden="1" x14ac:dyDescent="0.25">
      <c r="A62" s="36"/>
      <c r="B62" s="36"/>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row>
    <row r="63" spans="1:39" hidden="1" x14ac:dyDescent="0.25">
      <c r="A63" s="36"/>
      <c r="B63" s="36"/>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row>
    <row r="64" spans="1:39" hidden="1" x14ac:dyDescent="0.25">
      <c r="A64" s="36"/>
      <c r="B64" s="36"/>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row>
    <row r="65" spans="1:39" hidden="1" x14ac:dyDescent="0.25">
      <c r="A65" s="36"/>
      <c r="B65" s="36"/>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row>
    <row r="66" spans="1:39" hidden="1" x14ac:dyDescent="0.25">
      <c r="A66" s="36"/>
      <c r="B66" s="36"/>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row>
    <row r="67" spans="1:39" hidden="1"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row>
    <row r="68" spans="1:39" hidden="1" x14ac:dyDescent="0.25">
      <c r="A68" s="36"/>
      <c r="B68" s="36"/>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row>
    <row r="69" spans="1:39" hidden="1" x14ac:dyDescent="0.25">
      <c r="AG69" s="36"/>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352425</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24</xdr:col>
                <xdr:colOff>123825</xdr:colOff>
                <xdr:row>19</xdr:row>
                <xdr:rowOff>47625</xdr:rowOff>
              </from>
              <to>
                <xdr:col>29</xdr:col>
                <xdr:colOff>161925</xdr:colOff>
                <xdr:row>20</xdr:row>
                <xdr:rowOff>152400</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24</xdr:col>
                <xdr:colOff>314325</xdr:colOff>
                <xdr:row>31</xdr:row>
                <xdr:rowOff>47625</xdr:rowOff>
              </from>
              <to>
                <xdr:col>29</xdr:col>
                <xdr:colOff>352425</xdr:colOff>
                <xdr:row>32</xdr:row>
                <xdr:rowOff>152400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31</xdr:col>
                <xdr:colOff>28575</xdr:colOff>
                <xdr:row>15</xdr:row>
                <xdr:rowOff>66675</xdr:rowOff>
              </from>
              <to>
                <xdr:col>36</xdr:col>
                <xdr:colOff>66675</xdr:colOff>
                <xdr:row>16</xdr:row>
                <xdr:rowOff>171450</xdr:rowOff>
              </to>
            </anchor>
          </controlPr>
        </control>
      </mc:Choice>
      <mc:Fallback>
        <control shapeId="201018" r:id="rId46" name="MethaneProcessingList"/>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zoomScale="70" zoomScaleNormal="70" workbookViewId="0">
      <pane xSplit="1" ySplit="2" topLeftCell="F364" activePane="bottomRight" state="frozen"/>
      <selection pane="topRight" activeCell="B1" sqref="B1"/>
      <selection pane="bottomLeft" activeCell="A3" sqref="A3"/>
      <selection pane="bottomRight" activeCell="M368" sqref="M368"/>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5"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1071</v>
      </c>
      <c r="B1" s="1" t="s">
        <v>1466</v>
      </c>
      <c r="C1" s="69" t="s">
        <v>1142</v>
      </c>
      <c r="D1" s="1" t="s">
        <v>962</v>
      </c>
      <c r="E1" s="1" t="s">
        <v>1149</v>
      </c>
      <c r="F1" s="1" t="s">
        <v>0</v>
      </c>
      <c r="G1" s="1" t="s">
        <v>1143</v>
      </c>
      <c r="H1" s="1" t="s">
        <v>909</v>
      </c>
      <c r="I1" s="1" t="s">
        <v>1430</v>
      </c>
      <c r="J1" s="1" t="s">
        <v>1252</v>
      </c>
      <c r="K1" s="1" t="s">
        <v>1432</v>
      </c>
      <c r="L1" s="1" t="s">
        <v>1433</v>
      </c>
      <c r="M1" s="1" t="s">
        <v>1253</v>
      </c>
      <c r="N1" s="1" t="s">
        <v>1436</v>
      </c>
      <c r="O1" s="1" t="s">
        <v>1437</v>
      </c>
      <c r="P1" s="1" t="s">
        <v>1446</v>
      </c>
      <c r="Q1" s="1" t="s">
        <v>1439</v>
      </c>
      <c r="R1" s="1" t="s">
        <v>1440</v>
      </c>
      <c r="S1" s="1" t="s">
        <v>1254</v>
      </c>
      <c r="T1" s="1" t="s">
        <v>1441</v>
      </c>
      <c r="U1" s="54" t="s">
        <v>1453</v>
      </c>
      <c r="V1" s="1" t="s">
        <v>1442</v>
      </c>
      <c r="W1" s="1" t="s">
        <v>1443</v>
      </c>
      <c r="X1" s="1" t="s">
        <v>1397</v>
      </c>
      <c r="Y1" s="1" t="s">
        <v>1144</v>
      </c>
      <c r="Z1" s="1" t="s">
        <v>1</v>
      </c>
      <c r="AA1" s="1" t="s">
        <v>1458</v>
      </c>
      <c r="AB1" s="1" t="s">
        <v>1447</v>
      </c>
      <c r="AC1" s="1" t="s">
        <v>1448</v>
      </c>
      <c r="AD1" s="1" t="s">
        <v>1145</v>
      </c>
      <c r="AE1" s="1" t="s">
        <v>1451</v>
      </c>
      <c r="AF1" s="1" t="s">
        <v>1452</v>
      </c>
      <c r="AG1" s="1" t="s">
        <v>1459</v>
      </c>
      <c r="AH1" s="2" t="s">
        <v>1146</v>
      </c>
      <c r="AI1" s="2" t="s">
        <v>1147</v>
      </c>
      <c r="AJ1" s="2" t="s">
        <v>1148</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1139</v>
      </c>
      <c r="BD1" s="1" t="s">
        <v>1140</v>
      </c>
    </row>
    <row r="2" spans="1:56" s="284" customFormat="1" ht="17.25" x14ac:dyDescent="0.25">
      <c r="A2" s="276"/>
      <c r="B2" s="276"/>
      <c r="C2" s="277"/>
      <c r="D2" s="276"/>
      <c r="E2" s="278"/>
      <c r="F2" s="279"/>
      <c r="G2" s="279"/>
      <c r="H2" s="276"/>
      <c r="I2" s="280" t="s">
        <v>785</v>
      </c>
      <c r="J2" s="280" t="s">
        <v>1431</v>
      </c>
      <c r="K2" s="280" t="s">
        <v>1396</v>
      </c>
      <c r="L2" s="280" t="s">
        <v>1434</v>
      </c>
      <c r="M2" s="280" t="s">
        <v>1435</v>
      </c>
      <c r="N2" s="280" t="s">
        <v>1396</v>
      </c>
      <c r="O2" s="280" t="s">
        <v>787</v>
      </c>
      <c r="P2" s="280" t="s">
        <v>1438</v>
      </c>
      <c r="Q2" s="280" t="s">
        <v>1396</v>
      </c>
      <c r="R2" s="280" t="s">
        <v>787</v>
      </c>
      <c r="S2" s="280" t="s">
        <v>1445</v>
      </c>
      <c r="T2" s="280" t="s">
        <v>1396</v>
      </c>
      <c r="U2" s="281" t="s">
        <v>785</v>
      </c>
      <c r="V2" s="281" t="s">
        <v>1431</v>
      </c>
      <c r="W2" s="280" t="s">
        <v>1250</v>
      </c>
      <c r="X2" s="281" t="s">
        <v>1444</v>
      </c>
      <c r="Y2" s="280" t="s">
        <v>1396</v>
      </c>
      <c r="Z2" s="280" t="s">
        <v>1396</v>
      </c>
      <c r="AA2" s="280" t="s">
        <v>1396</v>
      </c>
      <c r="AB2" s="280" t="s">
        <v>788</v>
      </c>
      <c r="AC2" s="280"/>
      <c r="AD2" s="276" t="s">
        <v>788</v>
      </c>
      <c r="AE2" s="276" t="s">
        <v>1449</v>
      </c>
      <c r="AF2" s="276" t="s">
        <v>1450</v>
      </c>
      <c r="AG2" s="276" t="s">
        <v>1396</v>
      </c>
      <c r="AH2" s="282"/>
      <c r="AI2" s="282"/>
      <c r="AJ2" s="282"/>
      <c r="AK2" s="282"/>
      <c r="AL2" s="283"/>
      <c r="AM2" s="283"/>
      <c r="AN2" s="283"/>
      <c r="AO2" s="283"/>
      <c r="AP2" s="283"/>
      <c r="AQ2" s="278"/>
      <c r="AR2" s="276"/>
      <c r="AS2" s="283"/>
      <c r="AT2" s="283"/>
      <c r="AU2" s="283"/>
      <c r="AV2" s="283"/>
      <c r="AW2" s="283"/>
      <c r="AX2" s="283"/>
      <c r="AY2" s="283"/>
      <c r="AZ2" s="283"/>
      <c r="BA2" s="283"/>
      <c r="BB2" s="283"/>
      <c r="BC2" s="283"/>
      <c r="BD2" s="283"/>
    </row>
    <row r="3" spans="1:56" ht="90" x14ac:dyDescent="0.25">
      <c r="A3" s="4" t="s">
        <v>21</v>
      </c>
      <c r="B3" s="4"/>
      <c r="C3" s="4" t="s">
        <v>22</v>
      </c>
      <c r="D3" s="4" t="s">
        <v>23</v>
      </c>
      <c r="E3" s="5" t="s">
        <v>24</v>
      </c>
      <c r="F3" s="4" t="s">
        <v>25</v>
      </c>
      <c r="G3" s="4" t="s">
        <v>26</v>
      </c>
      <c r="H3" s="61" t="s">
        <v>1077</v>
      </c>
      <c r="I3" s="7">
        <v>36.65</v>
      </c>
      <c r="J3" s="7">
        <v>36.65</v>
      </c>
      <c r="K3" s="7">
        <v>0.75</v>
      </c>
      <c r="L3" s="7">
        <v>7.5999999999999998E-2</v>
      </c>
      <c r="M3" s="63">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853</v>
      </c>
      <c r="AT3" s="10"/>
      <c r="AU3" s="10"/>
      <c r="AV3" s="10"/>
      <c r="AW3" s="10"/>
      <c r="AX3" s="10"/>
      <c r="AY3" s="10"/>
      <c r="AZ3" s="10"/>
      <c r="BA3" s="10"/>
      <c r="BB3" s="10"/>
      <c r="BC3" s="10">
        <v>293</v>
      </c>
      <c r="BD3" s="10">
        <v>101</v>
      </c>
    </row>
    <row r="4" spans="1:56" ht="90" x14ac:dyDescent="0.25">
      <c r="A4" s="4" t="s">
        <v>987</v>
      </c>
      <c r="B4" s="4" t="s">
        <v>1467</v>
      </c>
      <c r="C4" s="4" t="s">
        <v>22</v>
      </c>
      <c r="D4" s="4" t="s">
        <v>116</v>
      </c>
      <c r="E4" s="5" t="s">
        <v>34</v>
      </c>
      <c r="F4" s="4"/>
      <c r="G4" s="4" t="s">
        <v>35</v>
      </c>
      <c r="H4" s="61" t="s">
        <v>1076</v>
      </c>
      <c r="I4" s="7" t="s">
        <v>36</v>
      </c>
      <c r="J4" s="7">
        <v>60</v>
      </c>
      <c r="K4" s="7">
        <v>0.75</v>
      </c>
      <c r="L4" s="7">
        <v>0.3</v>
      </c>
      <c r="M4" s="63">
        <v>9.9999999999999992E-2</v>
      </c>
      <c r="N4" s="7">
        <v>0.75</v>
      </c>
      <c r="O4" s="7">
        <v>150</v>
      </c>
      <c r="P4" s="7">
        <v>50</v>
      </c>
      <c r="Q4" s="7">
        <v>0.75</v>
      </c>
      <c r="R4" s="7" t="s">
        <v>1078</v>
      </c>
      <c r="S4" s="12">
        <v>133.33333333333331</v>
      </c>
      <c r="T4" s="7">
        <v>0.75</v>
      </c>
      <c r="U4" s="12">
        <v>52.260000000000005</v>
      </c>
      <c r="V4" s="12">
        <v>52.260000000000005</v>
      </c>
      <c r="W4" s="7">
        <v>90</v>
      </c>
      <c r="X4" s="12">
        <v>0</v>
      </c>
      <c r="Y4" s="7" t="s">
        <v>39</v>
      </c>
      <c r="Z4" s="7">
        <v>3</v>
      </c>
      <c r="AA4" s="7">
        <v>1</v>
      </c>
      <c r="AB4" s="7"/>
      <c r="AC4" s="7"/>
      <c r="AD4" s="4" t="s">
        <v>1166</v>
      </c>
      <c r="AE4" s="4">
        <f>1/(20)</f>
        <v>0.05</v>
      </c>
      <c r="AF4" s="4"/>
      <c r="AG4" s="4"/>
      <c r="AH4" s="9" t="s">
        <v>40</v>
      </c>
      <c r="AI4" s="9" t="s">
        <v>41</v>
      </c>
      <c r="AJ4" s="9" t="s">
        <v>42</v>
      </c>
      <c r="AK4" s="9" t="s">
        <v>43</v>
      </c>
      <c r="AL4" s="10" t="s">
        <v>44</v>
      </c>
      <c r="AM4" s="10" t="s">
        <v>993</v>
      </c>
      <c r="AN4" s="10"/>
      <c r="AO4" s="10" t="s">
        <v>994</v>
      </c>
      <c r="AP4" s="10"/>
      <c r="AQ4" s="11" t="s">
        <v>45</v>
      </c>
      <c r="AR4" s="4"/>
      <c r="AS4" s="10" t="s">
        <v>854</v>
      </c>
      <c r="AT4" s="10" t="s">
        <v>855</v>
      </c>
      <c r="AU4" s="10" t="s">
        <v>1080</v>
      </c>
      <c r="AV4" s="10"/>
      <c r="AW4" s="10"/>
      <c r="AX4" s="10"/>
      <c r="AY4" s="10"/>
      <c r="AZ4" s="10"/>
      <c r="BA4" s="10"/>
      <c r="BB4" s="10"/>
      <c r="BC4" s="10" t="s">
        <v>37</v>
      </c>
      <c r="BD4" s="10" t="s">
        <v>38</v>
      </c>
    </row>
    <row r="5" spans="1:56" ht="221.45" customHeight="1" x14ac:dyDescent="0.25">
      <c r="A5" s="4" t="s">
        <v>986</v>
      </c>
      <c r="B5" s="4" t="s">
        <v>657</v>
      </c>
      <c r="C5" s="4" t="s">
        <v>46</v>
      </c>
      <c r="D5" s="4" t="s">
        <v>1158</v>
      </c>
      <c r="E5" s="5" t="s">
        <v>24</v>
      </c>
      <c r="F5" s="4" t="s">
        <v>48</v>
      </c>
      <c r="G5" s="4" t="s">
        <v>35</v>
      </c>
      <c r="H5" s="61" t="s">
        <v>1082</v>
      </c>
      <c r="I5" s="7" t="s">
        <v>1083</v>
      </c>
      <c r="J5" s="12">
        <v>23.787717801047119</v>
      </c>
      <c r="K5" s="7">
        <v>0.5</v>
      </c>
      <c r="L5" s="7" t="s">
        <v>1084</v>
      </c>
      <c r="M5" s="63">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1" t="s">
        <v>54</v>
      </c>
      <c r="AE5" s="13">
        <f>207/9*Crew_Size/500*Mission_Duration</f>
        <v>110.4</v>
      </c>
      <c r="AF5" s="13"/>
      <c r="AG5" s="4">
        <v>0.5</v>
      </c>
      <c r="AH5" s="9" t="s">
        <v>55</v>
      </c>
      <c r="AI5" s="9" t="s">
        <v>56</v>
      </c>
      <c r="AJ5" s="9" t="s">
        <v>57</v>
      </c>
      <c r="AK5" s="9" t="s">
        <v>58</v>
      </c>
      <c r="AL5" s="10"/>
      <c r="AM5" s="10"/>
      <c r="AN5" s="10"/>
      <c r="AO5" s="10"/>
      <c r="AP5" s="10"/>
      <c r="AQ5" s="11" t="s">
        <v>59</v>
      </c>
      <c r="AR5" s="4" t="s">
        <v>60</v>
      </c>
      <c r="AS5" s="10" t="s">
        <v>859</v>
      </c>
      <c r="AT5" s="10"/>
      <c r="AU5" s="10"/>
      <c r="AV5" s="10" t="s">
        <v>858</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3"/>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855</v>
      </c>
      <c r="AV6" s="10"/>
      <c r="AW6" s="10"/>
      <c r="AX6" s="10"/>
      <c r="AY6" s="10"/>
      <c r="AZ6" s="10"/>
      <c r="BA6" s="10"/>
      <c r="BB6" s="10"/>
      <c r="BC6" s="10"/>
      <c r="BD6" s="10"/>
    </row>
    <row r="7" spans="1:56" ht="30" x14ac:dyDescent="0.25">
      <c r="A7" s="4" t="s">
        <v>65</v>
      </c>
      <c r="B7" s="4"/>
      <c r="C7" s="4" t="s">
        <v>66</v>
      </c>
      <c r="D7" s="4" t="s">
        <v>23</v>
      </c>
      <c r="E7" s="5" t="s">
        <v>34</v>
      </c>
      <c r="F7" s="6"/>
      <c r="G7" s="4" t="s">
        <v>67</v>
      </c>
      <c r="H7" s="4" t="s">
        <v>1116</v>
      </c>
      <c r="I7" s="7">
        <v>119.4</v>
      </c>
      <c r="J7" s="7">
        <v>119.4</v>
      </c>
      <c r="K7" s="7">
        <v>0.75</v>
      </c>
      <c r="L7" s="7">
        <v>0.26</v>
      </c>
      <c r="M7" s="63">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1468</v>
      </c>
      <c r="C8" s="4" t="s">
        <v>70</v>
      </c>
      <c r="D8" s="4" t="s">
        <v>23</v>
      </c>
      <c r="E8" s="5" t="s">
        <v>34</v>
      </c>
      <c r="F8" s="6"/>
      <c r="G8" s="4" t="s">
        <v>35</v>
      </c>
      <c r="H8" s="4" t="s">
        <v>1177</v>
      </c>
      <c r="I8" s="7" t="s">
        <v>717</v>
      </c>
      <c r="J8" s="7">
        <v>12.519</v>
      </c>
      <c r="K8" s="7">
        <v>1</v>
      </c>
      <c r="L8" s="7" t="s">
        <v>718</v>
      </c>
      <c r="M8" s="63">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860</v>
      </c>
      <c r="AT8" s="10" t="s">
        <v>861</v>
      </c>
      <c r="AU8" s="10"/>
      <c r="AV8" s="10"/>
      <c r="AW8" s="10"/>
      <c r="AX8" s="10"/>
      <c r="AY8" s="10"/>
      <c r="AZ8" s="10"/>
      <c r="BA8" s="10"/>
      <c r="BB8" s="10"/>
      <c r="BC8" s="10"/>
      <c r="BD8" s="10"/>
    </row>
    <row r="9" spans="1:56" ht="270" x14ac:dyDescent="0.25">
      <c r="A9" s="4" t="s">
        <v>74</v>
      </c>
      <c r="B9" s="4" t="s">
        <v>1469</v>
      </c>
      <c r="C9" s="4" t="s">
        <v>70</v>
      </c>
      <c r="D9" s="4" t="s">
        <v>23</v>
      </c>
      <c r="E9" s="5" t="s">
        <v>24</v>
      </c>
      <c r="F9" s="6"/>
      <c r="G9" s="4" t="s">
        <v>35</v>
      </c>
      <c r="H9" s="61" t="s">
        <v>75</v>
      </c>
      <c r="I9" s="7">
        <v>26.36</v>
      </c>
      <c r="J9" s="7">
        <v>26.36</v>
      </c>
      <c r="K9" s="7">
        <v>0.75</v>
      </c>
      <c r="L9" s="7">
        <v>1.8780999999999999E-2</v>
      </c>
      <c r="M9" s="63">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1" t="s">
        <v>77</v>
      </c>
      <c r="AE9" s="13">
        <f>1/(2*365)+2*Mission_Duration/7</f>
        <v>114.28708414872798</v>
      </c>
      <c r="AF9" s="13"/>
      <c r="AG9" s="4">
        <v>0.75</v>
      </c>
      <c r="AH9" s="9" t="s">
        <v>28</v>
      </c>
      <c r="AI9" s="9"/>
      <c r="AJ9" s="9" t="s">
        <v>78</v>
      </c>
      <c r="AK9" s="9" t="s">
        <v>30</v>
      </c>
      <c r="AL9" s="10"/>
      <c r="AM9" s="10"/>
      <c r="AN9" s="10"/>
      <c r="AO9" s="10"/>
      <c r="AP9" s="10"/>
      <c r="AQ9" s="11" t="s">
        <v>79</v>
      </c>
      <c r="AR9" s="4" t="s">
        <v>80</v>
      </c>
      <c r="AS9" s="10" t="s">
        <v>944</v>
      </c>
      <c r="AT9" s="10" t="s">
        <v>945</v>
      </c>
      <c r="AU9" s="10" t="s">
        <v>869</v>
      </c>
      <c r="AV9" s="10" t="s">
        <v>954</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1085</v>
      </c>
      <c r="I10" s="7">
        <v>2.9392</v>
      </c>
      <c r="J10" s="7">
        <v>2.9392</v>
      </c>
      <c r="K10" s="7">
        <v>0.75</v>
      </c>
      <c r="L10" s="7">
        <v>5.8989999999999997E-3</v>
      </c>
      <c r="M10" s="63">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1" t="s">
        <v>83</v>
      </c>
      <c r="I11" s="7" t="s">
        <v>719</v>
      </c>
      <c r="J11" s="12">
        <v>56.768591249999993</v>
      </c>
      <c r="K11" s="7">
        <v>0.75</v>
      </c>
      <c r="L11" s="7" t="s">
        <v>720</v>
      </c>
      <c r="M11" s="63">
        <v>8.741249999999999E-2</v>
      </c>
      <c r="N11" s="7">
        <v>0.75</v>
      </c>
      <c r="O11" s="7" t="s">
        <v>1271</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16</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854</v>
      </c>
      <c r="AU11" s="10" t="s">
        <v>1080</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1086</v>
      </c>
      <c r="I12" s="12">
        <v>0.82</v>
      </c>
      <c r="J12" s="12">
        <v>0.82</v>
      </c>
      <c r="K12" s="12">
        <v>0.75</v>
      </c>
      <c r="L12" s="12">
        <v>3.398E-3</v>
      </c>
      <c r="M12" s="63">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864</v>
      </c>
      <c r="AT12" s="10" t="s">
        <v>959</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3"/>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951</v>
      </c>
      <c r="AT13" s="10"/>
      <c r="AU13" s="10"/>
      <c r="AV13" s="10"/>
      <c r="AW13" s="10"/>
      <c r="AX13" s="10"/>
      <c r="AY13" s="10"/>
      <c r="AZ13" s="10"/>
      <c r="BA13" s="10"/>
      <c r="BB13" s="10"/>
      <c r="BC13" s="10"/>
      <c r="BD13" s="10"/>
    </row>
    <row r="14" spans="1:56" ht="240" x14ac:dyDescent="0.25">
      <c r="A14" s="4" t="s">
        <v>991</v>
      </c>
      <c r="B14" s="4" t="s">
        <v>1273</v>
      </c>
      <c r="C14" s="4" t="s">
        <v>22</v>
      </c>
      <c r="D14" s="4" t="s">
        <v>33</v>
      </c>
      <c r="E14" s="5" t="s">
        <v>24</v>
      </c>
      <c r="F14" s="4"/>
      <c r="G14" s="4" t="s">
        <v>35</v>
      </c>
      <c r="H14" s="61" t="s">
        <v>1087</v>
      </c>
      <c r="I14" s="12" t="s">
        <v>721</v>
      </c>
      <c r="J14" s="12">
        <v>77.66</v>
      </c>
      <c r="K14" s="12">
        <v>0.5</v>
      </c>
      <c r="L14" s="12" t="s">
        <v>722</v>
      </c>
      <c r="M14" s="63">
        <v>0.3</v>
      </c>
      <c r="N14" s="12">
        <v>0.5</v>
      </c>
      <c r="O14" s="7"/>
      <c r="P14" s="7">
        <v>12</v>
      </c>
      <c r="Q14" s="7">
        <v>0.25</v>
      </c>
      <c r="R14" s="7" t="s">
        <v>1265</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1128</v>
      </c>
      <c r="AJ14" s="9"/>
      <c r="AK14" s="9" t="s">
        <v>104</v>
      </c>
      <c r="AL14" s="10"/>
      <c r="AM14" s="10"/>
      <c r="AN14" s="10"/>
      <c r="AO14" s="10"/>
      <c r="AP14" s="10"/>
      <c r="AQ14" s="11" t="s">
        <v>105</v>
      </c>
      <c r="AR14" s="4"/>
      <c r="AS14" s="10" t="s">
        <v>903</v>
      </c>
      <c r="AT14" s="10"/>
      <c r="AU14" s="10" t="s">
        <v>946</v>
      </c>
      <c r="AV14" s="10" t="s">
        <v>901</v>
      </c>
      <c r="AW14" s="10" t="s">
        <v>1079</v>
      </c>
      <c r="AX14" s="10"/>
      <c r="AY14" s="10"/>
      <c r="AZ14" s="10"/>
      <c r="BA14" s="10"/>
      <c r="BB14" s="10"/>
      <c r="BC14" s="10">
        <f>26.8+263.15</f>
        <v>289.95</v>
      </c>
      <c r="BD14" s="10"/>
    </row>
    <row r="15" spans="1:56" ht="45" x14ac:dyDescent="0.25">
      <c r="A15" s="4" t="s">
        <v>106</v>
      </c>
      <c r="B15" s="4" t="s">
        <v>1621</v>
      </c>
      <c r="C15" s="4" t="s">
        <v>22</v>
      </c>
      <c r="D15" s="4" t="s">
        <v>23</v>
      </c>
      <c r="E15" s="5" t="s">
        <v>24</v>
      </c>
      <c r="F15" s="4" t="s">
        <v>25</v>
      </c>
      <c r="G15" s="4" t="s">
        <v>35</v>
      </c>
      <c r="H15" s="4" t="s">
        <v>1200</v>
      </c>
      <c r="I15" s="12">
        <v>11.05</v>
      </c>
      <c r="J15" s="12">
        <v>11.05</v>
      </c>
      <c r="K15" s="12">
        <v>0.75</v>
      </c>
      <c r="L15" s="12">
        <v>4.7289999999999997E-3</v>
      </c>
      <c r="M15" s="63">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853</v>
      </c>
      <c r="AT15" s="10"/>
      <c r="AU15" s="10"/>
      <c r="AV15" s="10"/>
      <c r="AW15" s="10"/>
      <c r="AX15" s="10"/>
      <c r="AY15" s="10"/>
      <c r="AZ15" s="10"/>
      <c r="BA15" s="10"/>
      <c r="BB15" s="10"/>
      <c r="BC15" s="10"/>
      <c r="BD15" s="10"/>
    </row>
    <row r="16" spans="1:56" ht="120" x14ac:dyDescent="0.25">
      <c r="A16" s="4" t="s">
        <v>109</v>
      </c>
      <c r="B16" s="4" t="s">
        <v>1470</v>
      </c>
      <c r="C16" s="4" t="s">
        <v>22</v>
      </c>
      <c r="D16" s="4" t="s">
        <v>23</v>
      </c>
      <c r="E16" s="5" t="s">
        <v>24</v>
      </c>
      <c r="F16" s="4" t="s">
        <v>25</v>
      </c>
      <c r="G16" s="4" t="s">
        <v>35</v>
      </c>
      <c r="H16" s="61" t="s">
        <v>995</v>
      </c>
      <c r="I16" s="12">
        <v>11.0449</v>
      </c>
      <c r="J16" s="12">
        <v>11.0449</v>
      </c>
      <c r="K16" s="12">
        <v>0.75</v>
      </c>
      <c r="L16" s="12">
        <v>2.4312E-2</v>
      </c>
      <c r="M16" s="63">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1" t="s">
        <v>112</v>
      </c>
      <c r="AE16" s="13">
        <f>1/(365)</f>
        <v>2.7397260273972603E-3</v>
      </c>
      <c r="AF16" s="13"/>
      <c r="AG16" s="4"/>
      <c r="AH16" s="9" t="s">
        <v>113</v>
      </c>
      <c r="AI16" s="9"/>
      <c r="AJ16" s="9"/>
      <c r="AK16" s="9" t="s">
        <v>30</v>
      </c>
      <c r="AL16" s="10"/>
      <c r="AM16" s="10"/>
      <c r="AN16" s="10"/>
      <c r="AO16" s="10"/>
      <c r="AP16" s="10"/>
      <c r="AQ16" s="11" t="s">
        <v>114</v>
      </c>
      <c r="AR16" s="4" t="s">
        <v>32</v>
      </c>
      <c r="AS16" s="10" t="s">
        <v>853</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1" t="s">
        <v>1045</v>
      </c>
      <c r="I17" s="7">
        <v>356</v>
      </c>
      <c r="J17" s="12">
        <v>14.211815625000003</v>
      </c>
      <c r="K17" s="7">
        <v>0.5</v>
      </c>
      <c r="L17" s="7">
        <v>0.28000000000000003</v>
      </c>
      <c r="M17" s="63">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1080</v>
      </c>
      <c r="AT17" s="10"/>
      <c r="AU17" s="10" t="s">
        <v>855</v>
      </c>
      <c r="AV17" s="10" t="s">
        <v>854</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1" t="s">
        <v>35</v>
      </c>
      <c r="H18" s="4" t="s">
        <v>1699</v>
      </c>
      <c r="I18" s="7" t="s">
        <v>723</v>
      </c>
      <c r="J18" s="12">
        <f>112/6</f>
        <v>18.666666666666668</v>
      </c>
      <c r="K18" s="7">
        <v>0.75</v>
      </c>
      <c r="L18" s="7" t="s">
        <v>724</v>
      </c>
      <c r="M18" s="63">
        <f>0.4/6</f>
        <v>6.6666666666666666E-2</v>
      </c>
      <c r="N18" s="7">
        <v>0.75</v>
      </c>
      <c r="O18" s="7" t="s">
        <v>824</v>
      </c>
      <c r="P18" s="8">
        <f>470/6</f>
        <v>78.333333333333329</v>
      </c>
      <c r="Q18" s="7">
        <v>0.5</v>
      </c>
      <c r="R18" s="7" t="s">
        <v>1176</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1698</v>
      </c>
      <c r="AE18" s="4">
        <v>0</v>
      </c>
      <c r="AF18" s="4">
        <v>1.5</v>
      </c>
      <c r="AG18" s="4">
        <v>0.75</v>
      </c>
      <c r="AH18" s="9"/>
      <c r="AI18" s="9"/>
      <c r="AJ18" s="9"/>
      <c r="AK18" s="9" t="s">
        <v>30</v>
      </c>
      <c r="AL18" s="10"/>
      <c r="AM18" s="10"/>
      <c r="AN18" s="10"/>
      <c r="AO18" s="10"/>
      <c r="AP18" s="10"/>
      <c r="AQ18" s="11" t="s">
        <v>130</v>
      </c>
      <c r="AR18" s="4" t="s">
        <v>32</v>
      </c>
      <c r="AS18" s="10" t="s">
        <v>942</v>
      </c>
      <c r="AT18" s="10" t="s">
        <v>943</v>
      </c>
      <c r="AU18" s="10"/>
      <c r="AV18" s="10" t="s">
        <v>888</v>
      </c>
      <c r="AW18" s="10" t="s">
        <v>901</v>
      </c>
      <c r="AX18" s="10"/>
      <c r="AY18" s="10" t="s">
        <v>903</v>
      </c>
      <c r="AZ18" s="10"/>
      <c r="BA18" s="10"/>
      <c r="BB18" s="10"/>
      <c r="BC18" s="10"/>
      <c r="BD18" s="10"/>
    </row>
    <row r="19" spans="1:56" ht="105" x14ac:dyDescent="0.25">
      <c r="A19" s="4" t="s">
        <v>983</v>
      </c>
      <c r="B19" s="4" t="s">
        <v>1498</v>
      </c>
      <c r="C19" s="4" t="s">
        <v>66</v>
      </c>
      <c r="D19" s="4" t="s">
        <v>131</v>
      </c>
      <c r="E19" s="5" t="s">
        <v>24</v>
      </c>
      <c r="F19" s="6"/>
      <c r="G19" s="4" t="s">
        <v>35</v>
      </c>
      <c r="H19" s="61" t="s">
        <v>1168</v>
      </c>
      <c r="I19" s="12" t="s">
        <v>823</v>
      </c>
      <c r="J19" s="14">
        <v>90.065509139309626</v>
      </c>
      <c r="K19" s="7">
        <v>0.75</v>
      </c>
      <c r="L19" s="7"/>
      <c r="M19" s="63">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865</v>
      </c>
      <c r="AT19" s="10" t="s">
        <v>867</v>
      </c>
      <c r="AU19" s="10" t="s">
        <v>875</v>
      </c>
      <c r="AV19" s="10" t="s">
        <v>955</v>
      </c>
      <c r="AW19" s="10"/>
      <c r="AX19" s="10"/>
      <c r="AY19" s="10"/>
      <c r="AZ19" s="10"/>
      <c r="BA19" s="10"/>
      <c r="BB19" s="10"/>
      <c r="BC19" s="10" t="s">
        <v>132</v>
      </c>
      <c r="BD19" s="10" t="s">
        <v>133</v>
      </c>
    </row>
    <row r="20" spans="1:56" ht="135" x14ac:dyDescent="0.25">
      <c r="A20" s="4" t="s">
        <v>984</v>
      </c>
      <c r="B20" s="4"/>
      <c r="C20" s="4" t="s">
        <v>139</v>
      </c>
      <c r="D20" s="4" t="s">
        <v>23</v>
      </c>
      <c r="E20" s="5" t="s">
        <v>34</v>
      </c>
      <c r="F20" s="6"/>
      <c r="G20" s="4" t="s">
        <v>26</v>
      </c>
      <c r="H20" s="61" t="s">
        <v>140</v>
      </c>
      <c r="I20" s="7">
        <v>72.599999999999994</v>
      </c>
      <c r="J20" s="7"/>
      <c r="K20" s="7"/>
      <c r="L20" s="7">
        <v>0.56999999999999995</v>
      </c>
      <c r="M20" s="63"/>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877</v>
      </c>
      <c r="AT20" s="10"/>
      <c r="AU20" s="10"/>
      <c r="AV20" s="10"/>
      <c r="AW20" s="10"/>
      <c r="AX20" s="10"/>
      <c r="AY20" s="10"/>
      <c r="AZ20" s="10"/>
      <c r="BA20" s="10"/>
      <c r="BB20" s="10"/>
      <c r="BC20" s="10" t="s">
        <v>141</v>
      </c>
      <c r="BD20" s="10"/>
    </row>
    <row r="21" spans="1:56" ht="120" x14ac:dyDescent="0.25">
      <c r="A21" s="4" t="s">
        <v>985</v>
      </c>
      <c r="B21" s="4"/>
      <c r="C21" s="4" t="s">
        <v>22</v>
      </c>
      <c r="D21" s="4" t="s">
        <v>116</v>
      </c>
      <c r="E21" s="5" t="s">
        <v>34</v>
      </c>
      <c r="F21" s="6"/>
      <c r="G21" s="4" t="s">
        <v>26</v>
      </c>
      <c r="H21" s="61" t="s">
        <v>1169</v>
      </c>
      <c r="I21" s="7"/>
      <c r="J21" s="7"/>
      <c r="K21" s="7"/>
      <c r="L21" s="7"/>
      <c r="M21" s="63"/>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853</v>
      </c>
      <c r="AT21" s="10" t="s">
        <v>1080</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1" t="s">
        <v>1208</v>
      </c>
      <c r="I22" s="7" t="s">
        <v>826</v>
      </c>
      <c r="J22" s="12">
        <v>33.449849999999998</v>
      </c>
      <c r="K22" s="7">
        <v>0.75</v>
      </c>
      <c r="L22" s="12" t="s">
        <v>825</v>
      </c>
      <c r="M22" s="63">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1" t="s">
        <v>1159</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901</v>
      </c>
      <c r="AU22" s="10" t="s">
        <v>1079</v>
      </c>
      <c r="AV22" s="10"/>
      <c r="AW22" s="10"/>
      <c r="AX22" s="10"/>
      <c r="AY22" s="10"/>
      <c r="AZ22" s="10"/>
      <c r="BA22" s="10"/>
      <c r="BB22" s="10"/>
      <c r="BC22" s="10" t="s">
        <v>150</v>
      </c>
      <c r="BD22" s="10" t="s">
        <v>151</v>
      </c>
    </row>
    <row r="23" spans="1:56" ht="75" x14ac:dyDescent="0.25">
      <c r="A23" s="4" t="s">
        <v>988</v>
      </c>
      <c r="B23" s="4"/>
      <c r="C23" s="4" t="s">
        <v>139</v>
      </c>
      <c r="D23" s="4" t="s">
        <v>23</v>
      </c>
      <c r="E23" s="5" t="s">
        <v>34</v>
      </c>
      <c r="F23" s="6"/>
      <c r="G23" s="4" t="s">
        <v>26</v>
      </c>
      <c r="H23" s="61" t="s">
        <v>162</v>
      </c>
      <c r="I23" s="7"/>
      <c r="J23" s="7"/>
      <c r="K23" s="7"/>
      <c r="L23" s="7"/>
      <c r="M23" s="63"/>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877</v>
      </c>
      <c r="AT23" s="10"/>
      <c r="AU23" s="10"/>
      <c r="AV23" s="10"/>
      <c r="AW23" s="10"/>
      <c r="AX23" s="10"/>
      <c r="AY23" s="10"/>
      <c r="AZ23" s="10"/>
      <c r="BA23" s="10"/>
      <c r="BB23" s="10"/>
      <c r="BC23" s="10">
        <v>422</v>
      </c>
      <c r="BD23" s="10"/>
    </row>
    <row r="24" spans="1:56" ht="165" x14ac:dyDescent="0.25">
      <c r="A24" s="4" t="s">
        <v>164</v>
      </c>
      <c r="B24" s="4" t="s">
        <v>1471</v>
      </c>
      <c r="C24" s="4" t="s">
        <v>46</v>
      </c>
      <c r="D24" s="4" t="s">
        <v>165</v>
      </c>
      <c r="E24" s="5" t="s">
        <v>34</v>
      </c>
      <c r="F24" s="4"/>
      <c r="G24" s="4" t="s">
        <v>35</v>
      </c>
      <c r="H24" s="61" t="s">
        <v>166</v>
      </c>
      <c r="I24" s="7" t="s">
        <v>167</v>
      </c>
      <c r="J24" s="7"/>
      <c r="K24" s="7"/>
      <c r="L24" s="7" t="s">
        <v>725</v>
      </c>
      <c r="M24" s="63"/>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856</v>
      </c>
      <c r="AW24" s="10" t="s">
        <v>857</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1209</v>
      </c>
      <c r="I25" s="12">
        <v>3.4201000000000001</v>
      </c>
      <c r="J25" s="12">
        <v>3.4201000000000001</v>
      </c>
      <c r="K25" s="12">
        <v>0.75</v>
      </c>
      <c r="L25" s="12">
        <v>3.7490000000000002E-3</v>
      </c>
      <c r="M25" s="63">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981</v>
      </c>
      <c r="B26" s="4"/>
      <c r="C26" s="4" t="s">
        <v>139</v>
      </c>
      <c r="D26" s="4" t="s">
        <v>131</v>
      </c>
      <c r="E26" s="5"/>
      <c r="F26" s="6"/>
      <c r="G26" s="61" t="s">
        <v>26</v>
      </c>
      <c r="H26" s="4"/>
      <c r="I26" s="12"/>
      <c r="J26" s="12"/>
      <c r="K26" s="12"/>
      <c r="L26" s="12"/>
      <c r="M26" s="63"/>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935</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996</v>
      </c>
      <c r="I27" s="12">
        <v>1.0886</v>
      </c>
      <c r="J27" s="12">
        <f>technologies[[#This Row],[Mass
Literature]]</f>
        <v>1.0886</v>
      </c>
      <c r="K27" s="12">
        <v>0.75</v>
      </c>
      <c r="L27" s="12">
        <v>1.9599999999999999E-4</v>
      </c>
      <c r="M27" s="63">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1" t="s">
        <v>1130</v>
      </c>
      <c r="I28" s="12"/>
      <c r="J28" s="12"/>
      <c r="K28" s="12"/>
      <c r="L28" s="12"/>
      <c r="M28" s="63"/>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956</v>
      </c>
      <c r="AT28" s="10"/>
      <c r="AU28" s="10"/>
      <c r="AV28" s="10"/>
      <c r="AW28" s="10"/>
      <c r="AX28" s="10"/>
      <c r="AY28" s="10"/>
      <c r="AZ28" s="10"/>
      <c r="BA28" s="10"/>
      <c r="BB28" s="10"/>
      <c r="BC28" s="10"/>
      <c r="BD28" s="10"/>
    </row>
    <row r="29" spans="1:56" ht="45" x14ac:dyDescent="0.25">
      <c r="A29" s="4" t="s">
        <v>982</v>
      </c>
      <c r="B29" s="4"/>
      <c r="C29" s="4" t="s">
        <v>22</v>
      </c>
      <c r="D29" s="4" t="s">
        <v>101</v>
      </c>
      <c r="E29" s="5" t="s">
        <v>34</v>
      </c>
      <c r="F29" s="6"/>
      <c r="G29" s="4" t="s">
        <v>26</v>
      </c>
      <c r="H29" s="4" t="s">
        <v>187</v>
      </c>
      <c r="I29" s="12"/>
      <c r="J29" s="12"/>
      <c r="K29" s="12"/>
      <c r="L29" s="12"/>
      <c r="M29" s="63"/>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861</v>
      </c>
      <c r="AT29" s="10"/>
      <c r="AU29" s="10"/>
      <c r="AV29" s="10"/>
      <c r="AW29" s="10"/>
      <c r="AX29" s="10"/>
      <c r="AY29" s="10"/>
      <c r="AZ29" s="10"/>
      <c r="BA29" s="10"/>
      <c r="BB29" s="10"/>
      <c r="BC29" s="10"/>
      <c r="BD29" s="10"/>
    </row>
    <row r="30" spans="1:56" ht="165" x14ac:dyDescent="0.25">
      <c r="A30" s="4" t="s">
        <v>189</v>
      </c>
      <c r="B30" s="4" t="s">
        <v>1619</v>
      </c>
      <c r="C30" s="4" t="s">
        <v>22</v>
      </c>
      <c r="D30" s="4" t="s">
        <v>101</v>
      </c>
      <c r="E30" s="5" t="s">
        <v>34</v>
      </c>
      <c r="F30" s="4"/>
      <c r="G30" s="4" t="s">
        <v>35</v>
      </c>
      <c r="H30" s="61" t="s">
        <v>997</v>
      </c>
      <c r="I30" s="12"/>
      <c r="J30" s="12"/>
      <c r="K30" s="12"/>
      <c r="L30" s="12"/>
      <c r="M30" s="63"/>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861</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1" t="s">
        <v>192</v>
      </c>
      <c r="I31" s="12"/>
      <c r="J31" s="12"/>
      <c r="K31" s="12"/>
      <c r="L31" s="12"/>
      <c r="M31" s="63"/>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956</v>
      </c>
      <c r="AT31" s="10"/>
      <c r="AU31" s="10"/>
      <c r="AV31" s="10"/>
      <c r="AW31" s="10"/>
      <c r="AX31" s="10"/>
      <c r="AY31" s="10"/>
      <c r="AZ31" s="10"/>
      <c r="BA31" s="10"/>
      <c r="BB31" s="10"/>
      <c r="BC31" s="10"/>
      <c r="BD31" s="10"/>
    </row>
    <row r="32" spans="1:56" ht="105" x14ac:dyDescent="0.25">
      <c r="A32" s="4" t="s">
        <v>980</v>
      </c>
      <c r="B32" s="4" t="s">
        <v>1275</v>
      </c>
      <c r="C32" s="4" t="s">
        <v>66</v>
      </c>
      <c r="D32" s="4" t="s">
        <v>131</v>
      </c>
      <c r="E32" s="5" t="s">
        <v>24</v>
      </c>
      <c r="F32" s="6"/>
      <c r="G32" s="4" t="s">
        <v>35</v>
      </c>
      <c r="H32" s="61" t="s">
        <v>1167</v>
      </c>
      <c r="I32" s="12" t="s">
        <v>827</v>
      </c>
      <c r="J32" s="12">
        <v>93.93668964610292</v>
      </c>
      <c r="K32" s="12">
        <v>0.75</v>
      </c>
      <c r="L32" s="12" t="s">
        <v>765</v>
      </c>
      <c r="M32" s="63">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865</v>
      </c>
      <c r="AT32" s="10" t="s">
        <v>867</v>
      </c>
      <c r="AU32" s="10" t="s">
        <v>875</v>
      </c>
      <c r="AV32" s="10" t="s">
        <v>955</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1151</v>
      </c>
      <c r="AC33" s="7"/>
      <c r="AD33" s="4"/>
      <c r="AE33" s="4"/>
      <c r="AF33" s="4"/>
      <c r="AG33" s="4"/>
      <c r="AH33" s="9"/>
      <c r="AI33" s="9" t="s">
        <v>1150</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1152</v>
      </c>
      <c r="AC34" s="7"/>
      <c r="AD34" s="4"/>
      <c r="AE34" s="4"/>
      <c r="AF34" s="4"/>
      <c r="AG34" s="4"/>
      <c r="AH34" s="9"/>
      <c r="AI34" s="9" t="s">
        <v>1141</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1153</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979</v>
      </c>
      <c r="B36" s="4" t="s">
        <v>1620</v>
      </c>
      <c r="C36" s="4" t="s">
        <v>22</v>
      </c>
      <c r="D36" s="4" t="s">
        <v>101</v>
      </c>
      <c r="E36" s="5" t="s">
        <v>34</v>
      </c>
      <c r="F36" s="4"/>
      <c r="G36" s="4" t="s">
        <v>35</v>
      </c>
      <c r="H36" s="4" t="s">
        <v>204</v>
      </c>
      <c r="I36" s="12"/>
      <c r="J36" s="12"/>
      <c r="K36" s="12"/>
      <c r="L36" s="12"/>
      <c r="M36" s="63"/>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861</v>
      </c>
      <c r="AT36" s="10"/>
      <c r="AU36" s="10"/>
      <c r="AV36" s="10"/>
      <c r="AW36" s="10"/>
      <c r="AX36" s="10"/>
      <c r="AY36" s="10"/>
      <c r="AZ36" s="10"/>
      <c r="BA36" s="10"/>
      <c r="BB36" s="10"/>
      <c r="BC36" s="10"/>
      <c r="BD36" s="10"/>
    </row>
    <row r="37" spans="1:56" ht="135" x14ac:dyDescent="0.25">
      <c r="A37" s="4" t="s">
        <v>978</v>
      </c>
      <c r="B37" s="4"/>
      <c r="C37" s="4" t="s">
        <v>186</v>
      </c>
      <c r="D37" s="4" t="s">
        <v>131</v>
      </c>
      <c r="E37" s="5" t="s">
        <v>34</v>
      </c>
      <c r="F37" s="6"/>
      <c r="G37" s="4" t="s">
        <v>26</v>
      </c>
      <c r="H37" s="61" t="s">
        <v>1118</v>
      </c>
      <c r="I37" s="12" t="s">
        <v>206</v>
      </c>
      <c r="J37" s="12">
        <f>100/6*Crew_Size</f>
        <v>100</v>
      </c>
      <c r="K37" s="12"/>
      <c r="L37" s="12" t="s">
        <v>1075</v>
      </c>
      <c r="M37" s="63">
        <f>0.5/6*Crew_Size</f>
        <v>0.5</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956</v>
      </c>
      <c r="AT37" s="10"/>
      <c r="AU37" s="10"/>
      <c r="AV37" s="10"/>
      <c r="AW37" s="10"/>
      <c r="AX37" s="10"/>
      <c r="AY37" s="10"/>
      <c r="AZ37" s="10"/>
      <c r="BA37" s="10"/>
      <c r="BB37" s="10"/>
      <c r="BC37" s="10"/>
      <c r="BD37" s="10"/>
    </row>
    <row r="38" spans="1:56" ht="195" x14ac:dyDescent="0.25">
      <c r="A38" s="4" t="s">
        <v>209</v>
      </c>
      <c r="B38" s="4" t="s">
        <v>1274</v>
      </c>
      <c r="C38" s="4" t="s">
        <v>22</v>
      </c>
      <c r="D38" s="4" t="s">
        <v>33</v>
      </c>
      <c r="E38" s="5" t="s">
        <v>24</v>
      </c>
      <c r="F38" s="4"/>
      <c r="G38" s="4" t="s">
        <v>35</v>
      </c>
      <c r="H38" s="61" t="s">
        <v>1120</v>
      </c>
      <c r="I38" s="12" t="s">
        <v>726</v>
      </c>
      <c r="J38" s="12">
        <v>14.966999999999999</v>
      </c>
      <c r="K38" s="12">
        <v>0.5</v>
      </c>
      <c r="L38" s="12" t="s">
        <v>727</v>
      </c>
      <c r="M38" s="63">
        <v>3.1099999999999999E-2</v>
      </c>
      <c r="N38" s="12">
        <v>0.5</v>
      </c>
      <c r="O38" s="12">
        <v>0</v>
      </c>
      <c r="P38" s="12">
        <v>0</v>
      </c>
      <c r="Q38" s="12">
        <v>0.75</v>
      </c>
      <c r="R38" s="12" t="s">
        <v>1119</v>
      </c>
      <c r="S38" s="8">
        <v>12</v>
      </c>
      <c r="T38" s="7">
        <v>0.25</v>
      </c>
      <c r="U38" s="12">
        <v>12.363252417177913</v>
      </c>
      <c r="V38" s="12">
        <v>12.363252417177913</v>
      </c>
      <c r="W38" s="7">
        <v>62.1</v>
      </c>
      <c r="X38" s="12">
        <v>1.268517382413088</v>
      </c>
      <c r="Y38" s="7" t="s">
        <v>210</v>
      </c>
      <c r="Z38" s="7">
        <v>9</v>
      </c>
      <c r="AA38" s="7">
        <v>1</v>
      </c>
      <c r="AB38" s="7">
        <f>1*10^7</f>
        <v>10000000</v>
      </c>
      <c r="AC38" s="7">
        <v>0.25</v>
      </c>
      <c r="AD38" s="4" t="s">
        <v>1160</v>
      </c>
      <c r="AE38" s="13">
        <f>SUM_CO2_Production/(0.84*2.27)*Crew_Size*Mission_Duration*8/60</f>
        <v>1173.5682819383255</v>
      </c>
      <c r="AF38" s="13"/>
      <c r="AG38" s="4">
        <v>0.25</v>
      </c>
      <c r="AH38" s="9" t="s">
        <v>211</v>
      </c>
      <c r="AI38" s="9" t="s">
        <v>212</v>
      </c>
      <c r="AJ38" s="9"/>
      <c r="AK38" s="9" t="s">
        <v>30</v>
      </c>
      <c r="AL38" s="10" t="s">
        <v>213</v>
      </c>
      <c r="AM38" s="10" t="s">
        <v>214</v>
      </c>
      <c r="AN38" s="10" t="s">
        <v>215</v>
      </c>
      <c r="AO38" s="10" t="s">
        <v>1117</v>
      </c>
      <c r="AP38" s="10" t="s">
        <v>216</v>
      </c>
      <c r="AQ38" s="11" t="s">
        <v>217</v>
      </c>
      <c r="AR38" s="4" t="s">
        <v>218</v>
      </c>
      <c r="AS38" s="10" t="s">
        <v>854</v>
      </c>
      <c r="AT38" s="10" t="s">
        <v>1079</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1" t="s">
        <v>1121</v>
      </c>
      <c r="I39" s="12">
        <v>4.1048999999999998</v>
      </c>
      <c r="J39" s="12">
        <f>technologies[[#This Row],[Mass
Literature]]</f>
        <v>4.1048999999999998</v>
      </c>
      <c r="K39" s="12">
        <v>0.75</v>
      </c>
      <c r="L39" s="12">
        <v>7.8230000000000001E-3</v>
      </c>
      <c r="M39" s="63">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854</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947</v>
      </c>
      <c r="AT40" s="10" t="s">
        <v>864</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3"/>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948</v>
      </c>
      <c r="AT41" s="10" t="s">
        <v>949</v>
      </c>
      <c r="AU41" s="10" t="s">
        <v>866</v>
      </c>
      <c r="AV41" s="10"/>
      <c r="AW41" s="10"/>
      <c r="AX41" s="10"/>
      <c r="AY41" s="10"/>
      <c r="AZ41" s="10"/>
      <c r="BA41" s="10"/>
      <c r="BB41" s="10"/>
      <c r="BC41" s="10"/>
      <c r="BD41" s="10"/>
    </row>
    <row r="42" spans="1:56" ht="90" x14ac:dyDescent="0.25">
      <c r="A42" s="4" t="s">
        <v>224</v>
      </c>
      <c r="B42" s="4" t="s">
        <v>1461</v>
      </c>
      <c r="C42" s="4" t="s">
        <v>22</v>
      </c>
      <c r="D42" s="4" t="s">
        <v>101</v>
      </c>
      <c r="E42" s="5" t="s">
        <v>34</v>
      </c>
      <c r="F42" s="4"/>
      <c r="G42" s="4" t="s">
        <v>35</v>
      </c>
      <c r="H42" s="61" t="s">
        <v>225</v>
      </c>
      <c r="I42" s="12" t="s">
        <v>728</v>
      </c>
      <c r="J42" s="12">
        <f>54.7483</f>
        <v>54.7483</v>
      </c>
      <c r="K42" s="12">
        <v>1</v>
      </c>
      <c r="L42" s="12" t="s">
        <v>729</v>
      </c>
      <c r="M42" s="63">
        <f>0.43896</f>
        <v>0.43896000000000002</v>
      </c>
      <c r="N42" s="12">
        <v>1</v>
      </c>
      <c r="O42" s="12" t="s">
        <v>1136</v>
      </c>
      <c r="P42" s="12">
        <f>103.5</f>
        <v>103.5</v>
      </c>
      <c r="Q42" s="12">
        <v>0.75</v>
      </c>
      <c r="R42" s="12" t="s">
        <v>1137</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861</v>
      </c>
      <c r="AT42" s="10"/>
      <c r="AU42" s="10"/>
      <c r="AV42" s="10"/>
      <c r="AW42" s="10"/>
      <c r="AX42" s="10"/>
      <c r="AY42" s="10"/>
      <c r="AZ42" s="10"/>
      <c r="BA42" s="10"/>
      <c r="BB42" s="10"/>
      <c r="BC42" s="10" t="s">
        <v>226</v>
      </c>
      <c r="BD42" s="10" t="s">
        <v>1138</v>
      </c>
    </row>
    <row r="43" spans="1:56" ht="60" x14ac:dyDescent="0.25">
      <c r="A43" s="4" t="s">
        <v>229</v>
      </c>
      <c r="B43" s="4"/>
      <c r="C43" s="4" t="s">
        <v>66</v>
      </c>
      <c r="D43" s="4" t="s">
        <v>23</v>
      </c>
      <c r="E43" s="5" t="s">
        <v>34</v>
      </c>
      <c r="F43" s="6"/>
      <c r="G43" s="4" t="s">
        <v>26</v>
      </c>
      <c r="H43" s="61" t="s">
        <v>230</v>
      </c>
      <c r="I43" s="12">
        <v>1.2</v>
      </c>
      <c r="J43" s="12">
        <v>1.2</v>
      </c>
      <c r="K43" s="12">
        <v>0.75</v>
      </c>
      <c r="L43" s="12">
        <v>1.4E-3</v>
      </c>
      <c r="M43" s="63">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3"/>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948</v>
      </c>
      <c r="AT44" s="10" t="s">
        <v>949</v>
      </c>
      <c r="AU44" s="10" t="s">
        <v>866</v>
      </c>
      <c r="AV44" s="10"/>
      <c r="AW44" s="10"/>
      <c r="AX44" s="10"/>
      <c r="AY44" s="10"/>
      <c r="AZ44" s="10"/>
      <c r="BA44" s="10"/>
      <c r="BB44" s="10"/>
      <c r="BC44" s="10"/>
      <c r="BD44" s="10"/>
    </row>
    <row r="45" spans="1:56" ht="240" x14ac:dyDescent="0.25">
      <c r="A45" s="4" t="s">
        <v>233</v>
      </c>
      <c r="B45" s="4" t="s">
        <v>1472</v>
      </c>
      <c r="C45" s="4" t="s">
        <v>22</v>
      </c>
      <c r="D45" s="4" t="s">
        <v>33</v>
      </c>
      <c r="E45" s="5" t="s">
        <v>34</v>
      </c>
      <c r="F45" s="4"/>
      <c r="G45" s="4" t="s">
        <v>35</v>
      </c>
      <c r="H45" s="61" t="s">
        <v>1088</v>
      </c>
      <c r="I45" s="12">
        <f>(56*14.5+47.627*14)</f>
        <v>1478.778</v>
      </c>
      <c r="J45" s="12">
        <f>(56*14.5+47.627*14)/100</f>
        <v>14.78778</v>
      </c>
      <c r="K45" s="12">
        <v>0.75</v>
      </c>
      <c r="L45" s="12">
        <f>56*8/1000+0.166*14</f>
        <v>2.7720000000000002</v>
      </c>
      <c r="M45" s="63">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1" t="s">
        <v>1161</v>
      </c>
      <c r="AE45" s="4">
        <f>2*4*14/14/60*365*24</f>
        <v>1168</v>
      </c>
      <c r="AF45" s="4"/>
      <c r="AG45" s="4">
        <v>0.5</v>
      </c>
      <c r="AH45" s="9" t="s">
        <v>235</v>
      </c>
      <c r="AI45" s="9" t="s">
        <v>236</v>
      </c>
      <c r="AJ45" s="9"/>
      <c r="AK45" s="9" t="s">
        <v>30</v>
      </c>
      <c r="AL45" s="10"/>
      <c r="AM45" s="10"/>
      <c r="AN45" s="10"/>
      <c r="AO45" s="10"/>
      <c r="AP45" s="10"/>
      <c r="AQ45" s="11" t="s">
        <v>237</v>
      </c>
      <c r="AR45" s="4"/>
      <c r="AS45" s="10"/>
      <c r="AT45" s="10" t="s">
        <v>1079</v>
      </c>
      <c r="AU45" s="10"/>
      <c r="AV45" s="10"/>
      <c r="AW45" s="10"/>
      <c r="AX45" s="10"/>
      <c r="AY45" s="10"/>
      <c r="AZ45" s="10"/>
      <c r="BA45" s="10"/>
      <c r="BB45" s="10"/>
      <c r="BC45" s="10" t="s">
        <v>234</v>
      </c>
      <c r="BD45" s="10"/>
    </row>
    <row r="46" spans="1:56" ht="105" x14ac:dyDescent="0.25">
      <c r="A46" s="4" t="s">
        <v>961</v>
      </c>
      <c r="B46" s="4"/>
      <c r="C46" s="4" t="s">
        <v>22</v>
      </c>
      <c r="D46" s="4" t="s">
        <v>101</v>
      </c>
      <c r="E46" s="5" t="s">
        <v>24</v>
      </c>
      <c r="F46" s="4"/>
      <c r="G46" s="4" t="s">
        <v>35</v>
      </c>
      <c r="H46" s="61" t="s">
        <v>998</v>
      </c>
      <c r="I46" s="12">
        <v>100</v>
      </c>
      <c r="J46" s="12">
        <f>100*2/Crew_Size</f>
        <v>33.333333333333336</v>
      </c>
      <c r="K46" s="12">
        <v>0.25</v>
      </c>
      <c r="L46" s="12">
        <v>0.27</v>
      </c>
      <c r="M46" s="63">
        <f>technologies[[#This Row],[Volume
Literature]]*2/Crew_Size</f>
        <v>9.0000000000000011E-2</v>
      </c>
      <c r="N46" s="12">
        <v>0.25</v>
      </c>
      <c r="O46" s="12"/>
      <c r="P46" s="12">
        <f>technologies[[#This Row],[Power]]</f>
        <v>16.666666666666668</v>
      </c>
      <c r="Q46" s="12">
        <v>0</v>
      </c>
      <c r="R46" s="12"/>
      <c r="S46" s="12">
        <f>100/Crew_Size</f>
        <v>16.666666666666668</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869</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1" t="s">
        <v>241</v>
      </c>
      <c r="I47" s="12"/>
      <c r="J47" s="12"/>
      <c r="K47" s="12"/>
      <c r="L47" s="12"/>
      <c r="M47" s="63"/>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956</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1" t="s">
        <v>243</v>
      </c>
      <c r="I48" s="12"/>
      <c r="J48" s="12"/>
      <c r="K48" s="12"/>
      <c r="L48" s="12"/>
      <c r="M48" s="63"/>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956</v>
      </c>
      <c r="AT48" s="10"/>
      <c r="AU48" s="10"/>
      <c r="AV48" s="10"/>
      <c r="AW48" s="10"/>
      <c r="AX48" s="10"/>
      <c r="AY48" s="10"/>
      <c r="AZ48" s="10"/>
      <c r="BA48" s="10"/>
      <c r="BB48" s="10"/>
      <c r="BC48" s="10"/>
      <c r="BD48" s="10"/>
    </row>
    <row r="49" spans="1:56" ht="240" x14ac:dyDescent="0.25">
      <c r="A49" s="4" t="s">
        <v>977</v>
      </c>
      <c r="B49" s="4" t="s">
        <v>1473</v>
      </c>
      <c r="C49" s="4" t="s">
        <v>22</v>
      </c>
      <c r="D49" s="4" t="s">
        <v>33</v>
      </c>
      <c r="E49" s="5" t="s">
        <v>34</v>
      </c>
      <c r="F49" s="4"/>
      <c r="G49" s="4" t="s">
        <v>35</v>
      </c>
      <c r="H49" s="61" t="s">
        <v>1129</v>
      </c>
      <c r="I49" s="12" t="s">
        <v>730</v>
      </c>
      <c r="J49" s="12">
        <v>39.5</v>
      </c>
      <c r="K49" s="12">
        <v>0.75</v>
      </c>
      <c r="L49" s="12" t="s">
        <v>731</v>
      </c>
      <c r="M49" s="63">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854</v>
      </c>
      <c r="AT49" s="10" t="s">
        <v>901</v>
      </c>
      <c r="AU49" s="10" t="s">
        <v>1079</v>
      </c>
      <c r="AV49" s="10" t="s">
        <v>903</v>
      </c>
      <c r="AW49" s="10"/>
      <c r="AX49" s="10"/>
      <c r="AY49" s="10"/>
      <c r="AZ49" s="10"/>
      <c r="BA49" s="10"/>
      <c r="BB49" s="10"/>
      <c r="BC49" s="10" t="s">
        <v>245</v>
      </c>
      <c r="BD49" s="10" t="s">
        <v>1098</v>
      </c>
    </row>
    <row r="50" spans="1:56" ht="345" x14ac:dyDescent="0.25">
      <c r="A50" s="4" t="s">
        <v>1089</v>
      </c>
      <c r="B50" s="4" t="s">
        <v>1474</v>
      </c>
      <c r="C50" s="4" t="s">
        <v>22</v>
      </c>
      <c r="D50" s="4" t="s">
        <v>33</v>
      </c>
      <c r="E50" s="5" t="s">
        <v>34</v>
      </c>
      <c r="F50" s="4"/>
      <c r="G50" s="4" t="s">
        <v>35</v>
      </c>
      <c r="H50" s="61" t="s">
        <v>999</v>
      </c>
      <c r="I50" s="12" t="s">
        <v>1210</v>
      </c>
      <c r="J50" s="12">
        <f>195.4/6</f>
        <v>32.56666666666667</v>
      </c>
      <c r="K50" s="12">
        <v>1</v>
      </c>
      <c r="L50" s="12" t="s">
        <v>732</v>
      </c>
      <c r="M50" s="63">
        <f>0.39/6</f>
        <v>6.5000000000000002E-2</v>
      </c>
      <c r="N50" s="12">
        <v>1</v>
      </c>
      <c r="O50" s="12" t="s">
        <v>1090</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1154</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1079</v>
      </c>
      <c r="AU50" s="10"/>
      <c r="AV50" s="10"/>
      <c r="AW50" s="10"/>
      <c r="AX50" s="10"/>
      <c r="AY50" s="10"/>
      <c r="AZ50" s="10"/>
      <c r="BA50" s="10"/>
      <c r="BB50" s="10"/>
      <c r="BC50" s="10" t="s">
        <v>251</v>
      </c>
      <c r="BD50" s="10" t="s">
        <v>1095</v>
      </c>
    </row>
    <row r="51" spans="1:56" ht="375" x14ac:dyDescent="0.25">
      <c r="A51" s="4" t="s">
        <v>259</v>
      </c>
      <c r="B51" s="4" t="s">
        <v>25</v>
      </c>
      <c r="C51" s="4" t="s">
        <v>22</v>
      </c>
      <c r="D51" s="4" t="s">
        <v>23</v>
      </c>
      <c r="E51" s="5" t="s">
        <v>24</v>
      </c>
      <c r="F51" s="4"/>
      <c r="G51" s="4" t="s">
        <v>35</v>
      </c>
      <c r="H51" s="61" t="s">
        <v>260</v>
      </c>
      <c r="I51" s="12" t="s">
        <v>733</v>
      </c>
      <c r="J51" s="12">
        <v>79.831800000000001</v>
      </c>
      <c r="K51" s="12">
        <v>1</v>
      </c>
      <c r="L51" s="12" t="s">
        <v>734</v>
      </c>
      <c r="M51" s="63">
        <f>0.271866</f>
        <v>0.271866</v>
      </c>
      <c r="N51" s="12">
        <v>1</v>
      </c>
      <c r="O51" s="12" t="s">
        <v>1097</v>
      </c>
      <c r="P51" s="12">
        <f>130</f>
        <v>130</v>
      </c>
      <c r="Q51" s="12">
        <v>1</v>
      </c>
      <c r="R51" s="12" t="s">
        <v>1096</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1135</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853</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1" t="s">
        <v>1105</v>
      </c>
      <c r="I52" s="12" t="s">
        <v>736</v>
      </c>
      <c r="J52" s="12">
        <v>80.14898035363457</v>
      </c>
      <c r="K52" s="12">
        <v>0.5</v>
      </c>
      <c r="L52" s="12" t="s">
        <v>735</v>
      </c>
      <c r="M52" s="63">
        <v>0.37034695481335944</v>
      </c>
      <c r="N52" s="12">
        <v>0.5</v>
      </c>
      <c r="O52" s="12" t="s">
        <v>1133</v>
      </c>
      <c r="P52" s="12">
        <v>167.31161100196462</v>
      </c>
      <c r="Q52" s="12">
        <v>0.5</v>
      </c>
      <c r="R52" s="12" t="s">
        <v>1132</v>
      </c>
      <c r="S52" s="12">
        <v>167.31161100196462</v>
      </c>
      <c r="T52" s="12">
        <v>0.5</v>
      </c>
      <c r="U52" s="12"/>
      <c r="V52" s="12"/>
      <c r="W52" s="7" t="s">
        <v>1131</v>
      </c>
      <c r="X52" s="12">
        <v>0.26874734774066794</v>
      </c>
      <c r="Y52" s="7" t="s">
        <v>273</v>
      </c>
      <c r="Z52" s="7">
        <v>9</v>
      </c>
      <c r="AA52" s="7">
        <v>1</v>
      </c>
      <c r="AB52" s="8">
        <v>40600</v>
      </c>
      <c r="AC52" s="7">
        <v>0.5</v>
      </c>
      <c r="AD52" s="4" t="s">
        <v>274</v>
      </c>
      <c r="AE52" s="13">
        <f>128/9*Crew_Size/500*Mission_Duration</f>
        <v>68.266666666666666</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859</v>
      </c>
      <c r="AT52" s="10" t="s">
        <v>856</v>
      </c>
      <c r="AU52" s="10" t="s">
        <v>857</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1155</v>
      </c>
      <c r="J53" s="12"/>
      <c r="K53" s="12"/>
      <c r="L53" s="12" t="s">
        <v>1156</v>
      </c>
      <c r="M53" s="63"/>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3"/>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952</v>
      </c>
      <c r="AT54" s="10" t="s">
        <v>953</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3"/>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953</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1" t="s">
        <v>1000</v>
      </c>
      <c r="I56" s="12"/>
      <c r="J56" s="12"/>
      <c r="K56" s="12"/>
      <c r="L56" s="12"/>
      <c r="M56" s="63"/>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1" t="s">
        <v>1001</v>
      </c>
      <c r="I57" s="12"/>
      <c r="J57" s="12"/>
      <c r="K57" s="12"/>
      <c r="L57" s="12"/>
      <c r="M57" s="63"/>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865</v>
      </c>
      <c r="AV57" s="10"/>
      <c r="AW57" s="10"/>
      <c r="AX57" s="10"/>
      <c r="AY57" s="10"/>
      <c r="AZ57" s="10"/>
      <c r="BA57" s="10"/>
      <c r="BB57" s="10"/>
      <c r="BC57" s="10">
        <v>1005</v>
      </c>
      <c r="BD57" s="10" t="s">
        <v>1094</v>
      </c>
    </row>
    <row r="58" spans="1:56" ht="30" x14ac:dyDescent="0.25">
      <c r="A58" s="4" t="s">
        <v>301</v>
      </c>
      <c r="B58" s="4"/>
      <c r="C58" s="4" t="s">
        <v>66</v>
      </c>
      <c r="D58" s="4" t="s">
        <v>23</v>
      </c>
      <c r="E58" s="5" t="s">
        <v>34</v>
      </c>
      <c r="F58" s="6"/>
      <c r="G58" s="4" t="s">
        <v>26</v>
      </c>
      <c r="H58" s="4" t="s">
        <v>302</v>
      </c>
      <c r="I58" s="12" t="s">
        <v>819</v>
      </c>
      <c r="J58" s="12">
        <v>1.5</v>
      </c>
      <c r="K58" s="12"/>
      <c r="L58" s="12" t="s">
        <v>822</v>
      </c>
      <c r="M58" s="63">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1475</v>
      </c>
      <c r="C59" s="4" t="s">
        <v>66</v>
      </c>
      <c r="D59" s="4" t="s">
        <v>23</v>
      </c>
      <c r="E59" s="5" t="s">
        <v>34</v>
      </c>
      <c r="F59" s="4"/>
      <c r="G59" s="4" t="s">
        <v>35</v>
      </c>
      <c r="H59" s="61" t="s">
        <v>305</v>
      </c>
      <c r="I59" s="12">
        <v>7.5</v>
      </c>
      <c r="J59" s="12">
        <v>7.5</v>
      </c>
      <c r="K59" s="12">
        <v>0.75</v>
      </c>
      <c r="L59" s="12">
        <v>1.2200000000000001E-2</v>
      </c>
      <c r="M59" s="63">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950</v>
      </c>
      <c r="AT59" s="10" t="s">
        <v>864</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818</v>
      </c>
      <c r="J60" s="12"/>
      <c r="K60" s="12"/>
      <c r="L60" s="12" t="s">
        <v>820</v>
      </c>
      <c r="M60" s="63"/>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3"/>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864</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1074</v>
      </c>
      <c r="I62" s="12"/>
      <c r="J62" s="12"/>
      <c r="K62" s="12"/>
      <c r="L62" s="12"/>
      <c r="M62" s="63"/>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853</v>
      </c>
      <c r="AT62" s="10" t="s">
        <v>1079</v>
      </c>
      <c r="AU62" s="10"/>
      <c r="AV62" s="10"/>
      <c r="AW62" s="10"/>
      <c r="AX62" s="10"/>
      <c r="AY62" s="10"/>
      <c r="AZ62" s="10"/>
      <c r="BA62" s="10"/>
      <c r="BB62" s="10"/>
      <c r="BC62" s="10"/>
      <c r="BD62" s="10"/>
    </row>
    <row r="63" spans="1:56" ht="90" x14ac:dyDescent="0.25">
      <c r="A63" s="4" t="s">
        <v>976</v>
      </c>
      <c r="B63" s="4"/>
      <c r="C63" s="4" t="s">
        <v>66</v>
      </c>
      <c r="D63" s="4" t="s">
        <v>131</v>
      </c>
      <c r="E63" s="5" t="s">
        <v>24</v>
      </c>
      <c r="F63" s="6"/>
      <c r="G63" s="4" t="s">
        <v>26</v>
      </c>
      <c r="H63" s="61" t="s">
        <v>1002</v>
      </c>
      <c r="I63" s="12" t="s">
        <v>817</v>
      </c>
      <c r="J63" s="12">
        <v>2.7</v>
      </c>
      <c r="K63" s="12">
        <v>0.75</v>
      </c>
      <c r="L63" s="12" t="s">
        <v>821</v>
      </c>
      <c r="M63" s="63">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867</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1004</v>
      </c>
      <c r="J64" s="12" t="s">
        <v>1004</v>
      </c>
      <c r="K64" s="12"/>
      <c r="L64" s="12" t="s">
        <v>1005</v>
      </c>
      <c r="M64" s="12" t="s">
        <v>1005</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1003</v>
      </c>
      <c r="I66" s="12">
        <v>48.1723</v>
      </c>
      <c r="J66" s="12">
        <v>48.1723</v>
      </c>
      <c r="K66" s="12"/>
      <c r="L66" s="12">
        <v>3.1151999999999999E-2</v>
      </c>
      <c r="M66" s="63"/>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866</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948</v>
      </c>
      <c r="AT67" s="10" t="s">
        <v>949</v>
      </c>
      <c r="AU67" s="10" t="s">
        <v>866</v>
      </c>
      <c r="AV67" s="10"/>
      <c r="AW67" s="10"/>
      <c r="AX67" s="10"/>
      <c r="AY67" s="10"/>
      <c r="AZ67" s="10"/>
      <c r="BA67" s="10"/>
      <c r="BB67" s="10"/>
      <c r="BC67" s="10"/>
      <c r="BD67" s="10"/>
    </row>
    <row r="68" spans="1:56" ht="90" x14ac:dyDescent="0.25">
      <c r="A68" s="4" t="s">
        <v>328</v>
      </c>
      <c r="B68" s="4"/>
      <c r="C68" s="4" t="s">
        <v>186</v>
      </c>
      <c r="D68" s="4" t="s">
        <v>131</v>
      </c>
      <c r="E68" s="5"/>
      <c r="F68" s="6"/>
      <c r="G68" s="4" t="s">
        <v>26</v>
      </c>
      <c r="H68" s="61" t="s">
        <v>329</v>
      </c>
      <c r="I68" s="12"/>
      <c r="J68" s="12"/>
      <c r="K68" s="12"/>
      <c r="L68" s="12"/>
      <c r="M68" s="63"/>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956</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952</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1007</v>
      </c>
      <c r="I71" s="12">
        <v>42.638399999999997</v>
      </c>
      <c r="J71" s="12"/>
      <c r="K71" s="12"/>
      <c r="L71" s="12">
        <v>6.4852000000000007E-2</v>
      </c>
      <c r="M71" s="63"/>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1" t="s">
        <v>338</v>
      </c>
      <c r="I72" s="12">
        <f>27.1</f>
        <v>27.1</v>
      </c>
      <c r="J72" s="12">
        <v>27.1</v>
      </c>
      <c r="K72" s="12">
        <v>0.75</v>
      </c>
      <c r="L72" s="12">
        <f>0.035116+0.01412+0.0032</f>
        <v>5.2436000000000003E-2</v>
      </c>
      <c r="M72" s="63">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951</v>
      </c>
      <c r="AT72" s="10" t="s">
        <v>952</v>
      </c>
      <c r="AU72" s="10" t="s">
        <v>950</v>
      </c>
      <c r="AV72" s="10" t="s">
        <v>953</v>
      </c>
      <c r="AW72" s="10" t="s">
        <v>948</v>
      </c>
      <c r="AX72" s="10" t="s">
        <v>949</v>
      </c>
      <c r="AY72" s="10" t="s">
        <v>896</v>
      </c>
      <c r="AZ72" s="10"/>
      <c r="BA72" s="10"/>
      <c r="BB72" s="10"/>
      <c r="BC72" s="10"/>
      <c r="BD72" s="10"/>
    </row>
    <row r="73" spans="1:56" ht="60" x14ac:dyDescent="0.25">
      <c r="A73" s="4" t="s">
        <v>339</v>
      </c>
      <c r="B73" s="4"/>
      <c r="C73" s="4" t="s">
        <v>66</v>
      </c>
      <c r="D73" s="4" t="s">
        <v>23</v>
      </c>
      <c r="E73" s="5" t="s">
        <v>34</v>
      </c>
      <c r="F73" s="4" t="s">
        <v>221</v>
      </c>
      <c r="G73" s="4" t="s">
        <v>26</v>
      </c>
      <c r="H73" s="61" t="s">
        <v>1122</v>
      </c>
      <c r="I73" s="12" t="s">
        <v>1157</v>
      </c>
      <c r="J73" s="12"/>
      <c r="K73" s="12"/>
      <c r="L73" s="12">
        <v>3.5000000000000003E-2</v>
      </c>
      <c r="M73" s="63"/>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951</v>
      </c>
      <c r="AT73" s="10" t="s">
        <v>952</v>
      </c>
      <c r="AU73" s="10" t="s">
        <v>950</v>
      </c>
      <c r="AV73" s="10" t="s">
        <v>953</v>
      </c>
      <c r="AW73" s="10" t="s">
        <v>948</v>
      </c>
      <c r="AX73" s="10" t="s">
        <v>949</v>
      </c>
      <c r="AY73" s="10" t="s">
        <v>896</v>
      </c>
      <c r="AZ73" s="10"/>
      <c r="BA73" s="10"/>
      <c r="BB73" s="10"/>
      <c r="BC73" s="10" t="s">
        <v>341</v>
      </c>
      <c r="BD73" s="10" t="s">
        <v>342</v>
      </c>
    </row>
    <row r="74" spans="1:56" ht="30" x14ac:dyDescent="0.25">
      <c r="A74" s="4" t="s">
        <v>344</v>
      </c>
      <c r="B74" s="4"/>
      <c r="C74" s="4" t="s">
        <v>22</v>
      </c>
      <c r="D74" s="4" t="s">
        <v>23</v>
      </c>
      <c r="E74" s="5" t="s">
        <v>34</v>
      </c>
      <c r="F74" s="6" t="s">
        <v>200</v>
      </c>
      <c r="G74" s="4" t="s">
        <v>26</v>
      </c>
      <c r="H74" s="4" t="s">
        <v>1006</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975</v>
      </c>
      <c r="B76" s="4" t="s">
        <v>1476</v>
      </c>
      <c r="C76" s="4" t="s">
        <v>22</v>
      </c>
      <c r="D76" s="4" t="s">
        <v>23</v>
      </c>
      <c r="E76" s="5" t="s">
        <v>34</v>
      </c>
      <c r="F76" s="4"/>
      <c r="G76" s="4" t="s">
        <v>35</v>
      </c>
      <c r="H76" s="61" t="s">
        <v>1008</v>
      </c>
      <c r="I76" s="12"/>
      <c r="J76" s="12"/>
      <c r="K76" s="12"/>
      <c r="L76" s="12"/>
      <c r="M76" s="63"/>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853</v>
      </c>
      <c r="AT76" s="10"/>
      <c r="AU76" s="10"/>
      <c r="AV76" s="10"/>
      <c r="AW76" s="10"/>
      <c r="AX76" s="10"/>
      <c r="AY76" s="10"/>
      <c r="AZ76" s="10"/>
      <c r="BA76" s="10"/>
      <c r="BB76" s="10"/>
      <c r="BC76" s="10">
        <v>394</v>
      </c>
      <c r="BD76" s="10"/>
    </row>
    <row r="77" spans="1:56" ht="345" x14ac:dyDescent="0.25">
      <c r="A77" s="4" t="s">
        <v>348</v>
      </c>
      <c r="B77" s="4" t="s">
        <v>1477</v>
      </c>
      <c r="C77" s="4" t="s">
        <v>46</v>
      </c>
      <c r="D77" s="4" t="s">
        <v>165</v>
      </c>
      <c r="E77" s="5" t="s">
        <v>34</v>
      </c>
      <c r="F77" s="4"/>
      <c r="G77" s="4" t="s">
        <v>35</v>
      </c>
      <c r="H77" s="61" t="s">
        <v>1184</v>
      </c>
      <c r="I77" s="12" t="s">
        <v>737</v>
      </c>
      <c r="J77" s="12"/>
      <c r="K77" s="12">
        <v>0.5</v>
      </c>
      <c r="L77" s="12" t="s">
        <v>738</v>
      </c>
      <c r="M77" s="63"/>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1162</v>
      </c>
      <c r="AE77" s="13">
        <f>56/9*Crew_Size/500*Mission_Duration</f>
        <v>29.866666666666671</v>
      </c>
      <c r="AF77" s="13"/>
      <c r="AG77" s="4">
        <v>0.5</v>
      </c>
      <c r="AH77" s="9" t="s">
        <v>354</v>
      </c>
      <c r="AI77" s="9" t="s">
        <v>355</v>
      </c>
      <c r="AJ77" s="9" t="s">
        <v>356</v>
      </c>
      <c r="AK77" s="9" t="s">
        <v>357</v>
      </c>
      <c r="AL77" s="10"/>
      <c r="AM77" s="10"/>
      <c r="AN77" s="10"/>
      <c r="AO77" s="10"/>
      <c r="AP77" s="10"/>
      <c r="AQ77" s="11" t="s">
        <v>358</v>
      </c>
      <c r="AR77" s="4"/>
      <c r="AS77" s="10" t="s">
        <v>859</v>
      </c>
      <c r="AT77" s="10"/>
      <c r="AU77" s="10" t="s">
        <v>856</v>
      </c>
      <c r="AV77" s="10" t="s">
        <v>857</v>
      </c>
      <c r="AW77" s="10"/>
      <c r="AX77" s="10"/>
      <c r="AY77" s="10"/>
      <c r="AZ77" s="10"/>
      <c r="BA77" s="10"/>
      <c r="BB77" s="10"/>
      <c r="BC77" s="10" t="s">
        <v>351</v>
      </c>
      <c r="BD77" s="10" t="s">
        <v>352</v>
      </c>
    </row>
    <row r="78" spans="1:56" ht="255" x14ac:dyDescent="0.25">
      <c r="A78" s="4" t="s">
        <v>359</v>
      </c>
      <c r="B78" s="4" t="s">
        <v>1478</v>
      </c>
      <c r="C78" s="4" t="s">
        <v>22</v>
      </c>
      <c r="D78" s="4" t="s">
        <v>116</v>
      </c>
      <c r="E78" s="5" t="s">
        <v>34</v>
      </c>
      <c r="F78" s="4"/>
      <c r="G78" s="4" t="s">
        <v>35</v>
      </c>
      <c r="H78" s="61" t="s">
        <v>360</v>
      </c>
      <c r="I78" s="12" t="s">
        <v>740</v>
      </c>
      <c r="J78" s="13">
        <f>329/6</f>
        <v>54.833333333333336</v>
      </c>
      <c r="K78" s="12">
        <v>0.75</v>
      </c>
      <c r="L78" s="12" t="s">
        <v>739</v>
      </c>
      <c r="M78" s="63">
        <f>0.68/6</f>
        <v>0.11333333333333334</v>
      </c>
      <c r="N78" s="12">
        <v>0.75</v>
      </c>
      <c r="O78" s="12" t="s">
        <v>1093</v>
      </c>
      <c r="P78" s="12">
        <f>361/6</f>
        <v>60.166666666666664</v>
      </c>
      <c r="Q78" s="12">
        <v>0.5</v>
      </c>
      <c r="R78" s="12" t="s">
        <v>1092</v>
      </c>
      <c r="S78" s="12">
        <f>90/6</f>
        <v>15</v>
      </c>
      <c r="T78" s="12">
        <v>0.75</v>
      </c>
      <c r="U78" s="12">
        <v>21.833841336300004</v>
      </c>
      <c r="V78" s="12">
        <v>21.833841336300004</v>
      </c>
      <c r="W78" s="7">
        <v>99</v>
      </c>
      <c r="X78" s="12">
        <f>0.103/6</f>
        <v>1.7166666666666667E-2</v>
      </c>
      <c r="Y78" s="7" t="s">
        <v>361</v>
      </c>
      <c r="Z78" s="7">
        <v>9</v>
      </c>
      <c r="AA78" s="7">
        <v>1</v>
      </c>
      <c r="AB78" s="7"/>
      <c r="AC78" s="7"/>
      <c r="AD78" s="4" t="s">
        <v>1127</v>
      </c>
      <c r="AE78" s="4">
        <v>2.7</v>
      </c>
      <c r="AF78" s="4"/>
      <c r="AG78" s="4">
        <v>0.25</v>
      </c>
      <c r="AH78" s="9" t="s">
        <v>362</v>
      </c>
      <c r="AI78" s="9" t="s">
        <v>363</v>
      </c>
      <c r="AJ78" s="9" t="s">
        <v>364</v>
      </c>
      <c r="AK78" s="9" t="s">
        <v>30</v>
      </c>
      <c r="AL78" s="10" t="s">
        <v>365</v>
      </c>
      <c r="AM78" s="10" t="s">
        <v>1125</v>
      </c>
      <c r="AN78" s="10" t="s">
        <v>1126</v>
      </c>
      <c r="AO78" s="10" t="s">
        <v>1124</v>
      </c>
      <c r="AP78" s="10" t="s">
        <v>1123</v>
      </c>
      <c r="AQ78" s="11" t="s">
        <v>366</v>
      </c>
      <c r="AR78" s="4"/>
      <c r="AS78" s="10" t="s">
        <v>854</v>
      </c>
      <c r="AT78" s="10" t="s">
        <v>1080</v>
      </c>
      <c r="AU78" s="10"/>
      <c r="AV78" s="10"/>
      <c r="AW78" s="10"/>
      <c r="AX78" s="10"/>
      <c r="AY78" s="10"/>
      <c r="AZ78" s="10"/>
      <c r="BA78" s="10"/>
      <c r="BB78" s="10"/>
      <c r="BC78" s="10" t="s">
        <v>1091</v>
      </c>
      <c r="BD78" s="10"/>
    </row>
    <row r="79" spans="1:56" ht="45" x14ac:dyDescent="0.25">
      <c r="A79" s="4" t="s">
        <v>974</v>
      </c>
      <c r="B79" s="4"/>
      <c r="C79" s="4" t="s">
        <v>186</v>
      </c>
      <c r="D79" s="4" t="s">
        <v>23</v>
      </c>
      <c r="E79" s="5" t="s">
        <v>34</v>
      </c>
      <c r="F79" s="6"/>
      <c r="G79" s="4" t="s">
        <v>26</v>
      </c>
      <c r="H79" s="4" t="s">
        <v>367</v>
      </c>
      <c r="I79" s="12">
        <v>36.299999999999997</v>
      </c>
      <c r="J79" s="12">
        <v>36.299999999999997</v>
      </c>
      <c r="K79" s="12"/>
      <c r="L79" s="12">
        <v>9.4E-2</v>
      </c>
      <c r="M79" s="63">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957</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1" t="s">
        <v>1009</v>
      </c>
      <c r="I80" s="12">
        <v>165.56</v>
      </c>
      <c r="J80" s="12">
        <f>1*3*1.5*Mission_Duration+10.43*10*0.75</f>
        <v>1878.2249999999999</v>
      </c>
      <c r="K80" s="12">
        <v>0.25</v>
      </c>
      <c r="L80" s="12">
        <v>0.2082</v>
      </c>
      <c r="M80" s="63">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1080</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1" t="s">
        <v>1010</v>
      </c>
      <c r="I81" s="12" t="s">
        <v>741</v>
      </c>
      <c r="J81" s="12">
        <v>47.280449999999995</v>
      </c>
      <c r="K81" s="12">
        <v>0.75</v>
      </c>
      <c r="L81" s="12" t="s">
        <v>742</v>
      </c>
      <c r="M81" s="63">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1099</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1079</v>
      </c>
      <c r="AU81" s="10"/>
      <c r="AV81" s="10"/>
      <c r="AW81" s="10"/>
      <c r="AX81" s="10"/>
      <c r="AY81" s="10"/>
      <c r="AZ81" s="10"/>
      <c r="BA81" s="10"/>
      <c r="BB81" s="10"/>
      <c r="BC81" s="10" t="s">
        <v>374</v>
      </c>
      <c r="BD81" s="10" t="s">
        <v>375</v>
      </c>
    </row>
    <row r="82" spans="1:56" ht="135" x14ac:dyDescent="0.25">
      <c r="A82" s="4" t="s">
        <v>1480</v>
      </c>
      <c r="B82" s="4" t="s">
        <v>1481</v>
      </c>
      <c r="C82" s="4" t="s">
        <v>22</v>
      </c>
      <c r="D82" s="4" t="s">
        <v>62</v>
      </c>
      <c r="E82" s="5" t="s">
        <v>34</v>
      </c>
      <c r="F82" s="4"/>
      <c r="G82" s="4" t="s">
        <v>35</v>
      </c>
      <c r="H82" s="4" t="s">
        <v>1100</v>
      </c>
      <c r="I82" s="12" t="s">
        <v>743</v>
      </c>
      <c r="J82" s="12">
        <f>676/6</f>
        <v>112.66666666666667</v>
      </c>
      <c r="K82" s="12">
        <v>0.75</v>
      </c>
      <c r="L82" s="12" t="s">
        <v>744</v>
      </c>
      <c r="M82" s="63">
        <f>0.79/6</f>
        <v>0.13166666666666668</v>
      </c>
      <c r="N82" s="12">
        <v>0.75</v>
      </c>
      <c r="O82" s="12" t="s">
        <v>1101</v>
      </c>
      <c r="P82" s="12">
        <f>330/6</f>
        <v>55</v>
      </c>
      <c r="Q82" s="12">
        <v>0.75</v>
      </c>
      <c r="R82" s="12" t="s">
        <v>1102</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1695</v>
      </c>
      <c r="AE82" s="13"/>
      <c r="AF82" s="13">
        <f>66.48/6</f>
        <v>11.08</v>
      </c>
      <c r="AG82" s="4">
        <v>0.75</v>
      </c>
      <c r="AH82" s="9"/>
      <c r="AI82" s="9"/>
      <c r="AJ82" s="9"/>
      <c r="AK82" s="9" t="s">
        <v>30</v>
      </c>
      <c r="AL82" s="10" t="s">
        <v>388</v>
      </c>
      <c r="AM82" s="10"/>
      <c r="AN82" s="10"/>
      <c r="AO82" s="10"/>
      <c r="AP82" s="10"/>
      <c r="AQ82" s="11" t="s">
        <v>389</v>
      </c>
      <c r="AR82" s="4" t="s">
        <v>32</v>
      </c>
      <c r="AS82" s="10" t="s">
        <v>1464</v>
      </c>
      <c r="AT82" s="10"/>
      <c r="AU82" s="10"/>
      <c r="AV82" s="10" t="s">
        <v>855</v>
      </c>
      <c r="AW82" s="10"/>
      <c r="AX82" s="10"/>
      <c r="AY82" s="10"/>
      <c r="AZ82" s="10"/>
      <c r="BA82" s="10"/>
      <c r="BB82" s="10"/>
      <c r="BC82" s="10" t="s">
        <v>385</v>
      </c>
      <c r="BD82" s="10" t="s">
        <v>386</v>
      </c>
    </row>
    <row r="83" spans="1:56" ht="105" x14ac:dyDescent="0.25">
      <c r="A83" s="4" t="s">
        <v>390</v>
      </c>
      <c r="B83" s="4" t="s">
        <v>1479</v>
      </c>
      <c r="C83" s="4" t="s">
        <v>139</v>
      </c>
      <c r="D83" s="4" t="s">
        <v>23</v>
      </c>
      <c r="E83" s="5" t="s">
        <v>34</v>
      </c>
      <c r="F83" s="4"/>
      <c r="G83" s="4" t="s">
        <v>35</v>
      </c>
      <c r="H83" s="61" t="s">
        <v>391</v>
      </c>
      <c r="I83" s="12"/>
      <c r="J83" s="12"/>
      <c r="K83" s="12"/>
      <c r="L83" s="12"/>
      <c r="M83" s="63"/>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1" t="s">
        <v>1103</v>
      </c>
      <c r="I84" s="12" t="s">
        <v>395</v>
      </c>
      <c r="J84" s="12">
        <v>28.25</v>
      </c>
      <c r="K84" s="12">
        <v>0.75</v>
      </c>
      <c r="L84" s="12" t="s">
        <v>745</v>
      </c>
      <c r="M84" s="63">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11.111111111111111</v>
      </c>
      <c r="AF84" s="13"/>
      <c r="AG84" s="4">
        <v>0.25</v>
      </c>
      <c r="AH84" s="9"/>
      <c r="AI84" s="9" t="s">
        <v>401</v>
      </c>
      <c r="AJ84" s="9" t="s">
        <v>402</v>
      </c>
      <c r="AK84" s="9" t="s">
        <v>30</v>
      </c>
      <c r="AL84" s="10" t="s">
        <v>403</v>
      </c>
      <c r="AM84" s="10"/>
      <c r="AN84" s="10"/>
      <c r="AO84" s="10"/>
      <c r="AP84" s="10"/>
      <c r="AQ84" s="11" t="s">
        <v>404</v>
      </c>
      <c r="AR84" s="4"/>
      <c r="AS84" s="10" t="s">
        <v>1464</v>
      </c>
      <c r="AT84" s="10"/>
      <c r="AU84" s="10"/>
      <c r="AV84" s="10" t="s">
        <v>855</v>
      </c>
      <c r="AW84" s="10"/>
      <c r="AX84" s="10"/>
      <c r="AY84" s="10"/>
      <c r="AZ84" s="10"/>
      <c r="BA84" s="10"/>
      <c r="BB84" s="10"/>
      <c r="BC84" s="10"/>
      <c r="BD84" s="10" t="s">
        <v>398</v>
      </c>
    </row>
    <row r="85" spans="1:56" ht="195" x14ac:dyDescent="0.25">
      <c r="A85" s="4" t="s">
        <v>405</v>
      </c>
      <c r="B85" s="4" t="s">
        <v>1482</v>
      </c>
      <c r="C85" s="4" t="s">
        <v>139</v>
      </c>
      <c r="D85" s="4" t="s">
        <v>23</v>
      </c>
      <c r="E85" s="5" t="s">
        <v>34</v>
      </c>
      <c r="F85" s="4"/>
      <c r="G85" s="4" t="s">
        <v>35</v>
      </c>
      <c r="H85" s="61" t="s">
        <v>406</v>
      </c>
      <c r="I85" s="12" t="s">
        <v>407</v>
      </c>
      <c r="J85" s="12"/>
      <c r="K85" s="12"/>
      <c r="L85" s="12" t="s">
        <v>746</v>
      </c>
      <c r="M85" s="63"/>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854</v>
      </c>
      <c r="AZ85" s="10" t="s">
        <v>858</v>
      </c>
      <c r="BA85" s="10" t="s">
        <v>877</v>
      </c>
      <c r="BB85" s="10"/>
      <c r="BC85" s="10" t="s">
        <v>410</v>
      </c>
      <c r="BD85" s="10" t="s">
        <v>1183</v>
      </c>
    </row>
    <row r="86" spans="1:56" ht="289.5" x14ac:dyDescent="0.25">
      <c r="A86" s="4" t="s">
        <v>421</v>
      </c>
      <c r="B86" s="4"/>
      <c r="C86" s="4" t="s">
        <v>22</v>
      </c>
      <c r="D86" s="4" t="s">
        <v>116</v>
      </c>
      <c r="E86" s="5" t="s">
        <v>24</v>
      </c>
      <c r="F86" s="4"/>
      <c r="G86" s="4" t="s">
        <v>35</v>
      </c>
      <c r="H86" s="61" t="s">
        <v>1011</v>
      </c>
      <c r="I86" s="12">
        <f>ROUNDUP(SUM_O2_Consumption*Mission_Duration/1.7,0)*15.2</f>
        <v>19760</v>
      </c>
      <c r="J86" s="12">
        <f>technologies[[#This Row],[Mass
Literature]]/Crew_Size</f>
        <v>3293.3333333333335</v>
      </c>
      <c r="K86" s="12">
        <v>0.75</v>
      </c>
      <c r="L86" s="12">
        <f>ROUNDUP(SUM_O2_Consumption*Mission_Duration/1.7,0)*0.02</f>
        <v>26</v>
      </c>
      <c r="M86" s="63">
        <f>technologies[[#This Row],[Volume
Literature]]/Crew_Size</f>
        <v>4.333333333333333</v>
      </c>
      <c r="N86" s="12">
        <v>0.75</v>
      </c>
      <c r="O86" s="12"/>
      <c r="P86" s="12">
        <v>0</v>
      </c>
      <c r="Q86" s="12">
        <v>0.5</v>
      </c>
      <c r="R86" s="12">
        <f>45/6*Crew_Size</f>
        <v>45</v>
      </c>
      <c r="S86" s="12">
        <f>technologies[[#This Row],[Power required
Literature]]/100</f>
        <v>0.45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855</v>
      </c>
      <c r="AW86" s="10" t="s">
        <v>854</v>
      </c>
      <c r="AX86" s="10"/>
      <c r="AY86" s="10" t="s">
        <v>1080</v>
      </c>
      <c r="AZ86" s="10"/>
      <c r="BA86" s="10"/>
      <c r="BB86" s="10"/>
      <c r="BC86" s="10" t="s">
        <v>422</v>
      </c>
      <c r="BD86" s="10"/>
    </row>
    <row r="87" spans="1:56" ht="120" x14ac:dyDescent="0.25">
      <c r="A87" s="4" t="s">
        <v>972</v>
      </c>
      <c r="B87" s="4"/>
      <c r="C87" s="4" t="s">
        <v>70</v>
      </c>
      <c r="D87" s="4" t="s">
        <v>23</v>
      </c>
      <c r="E87" s="5" t="s">
        <v>34</v>
      </c>
      <c r="F87" s="6"/>
      <c r="G87" s="4" t="s">
        <v>67</v>
      </c>
      <c r="H87" s="61" t="s">
        <v>432</v>
      </c>
      <c r="I87" s="12"/>
      <c r="J87" s="12"/>
      <c r="K87" s="12"/>
      <c r="L87" s="12"/>
      <c r="M87" s="63"/>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942</v>
      </c>
      <c r="AT87" s="10" t="s">
        <v>943</v>
      </c>
      <c r="AU87" s="10" t="s">
        <v>888</v>
      </c>
      <c r="AV87" s="10"/>
      <c r="AW87" s="10"/>
      <c r="AX87" s="10"/>
      <c r="AY87" s="10"/>
      <c r="AZ87" s="10"/>
      <c r="BA87" s="10"/>
      <c r="BB87" s="10"/>
      <c r="BC87" s="10"/>
      <c r="BD87" s="10"/>
    </row>
    <row r="88" spans="1:56" ht="315" x14ac:dyDescent="0.25">
      <c r="A88" s="4" t="s">
        <v>973</v>
      </c>
      <c r="B88" s="4" t="s">
        <v>640</v>
      </c>
      <c r="C88" s="4" t="s">
        <v>46</v>
      </c>
      <c r="D88" s="4" t="s">
        <v>1158</v>
      </c>
      <c r="E88" s="5" t="s">
        <v>34</v>
      </c>
      <c r="F88" s="4"/>
      <c r="G88" s="4" t="s">
        <v>35</v>
      </c>
      <c r="H88" s="61" t="s">
        <v>1104</v>
      </c>
      <c r="I88" s="12" t="s">
        <v>763</v>
      </c>
      <c r="J88" s="12">
        <v>5.4345654345654344</v>
      </c>
      <c r="K88" s="12">
        <v>0.5</v>
      </c>
      <c r="L88" s="12" t="s">
        <v>764</v>
      </c>
      <c r="M88" s="63">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19.2</v>
      </c>
      <c r="AF88" s="13"/>
      <c r="AG88" s="4">
        <v>0.5</v>
      </c>
      <c r="AH88" s="9" t="s">
        <v>438</v>
      </c>
      <c r="AI88" s="9" t="s">
        <v>439</v>
      </c>
      <c r="AJ88" s="9" t="s">
        <v>440</v>
      </c>
      <c r="AK88" s="9" t="s">
        <v>30</v>
      </c>
      <c r="AL88" s="10" t="s">
        <v>441</v>
      </c>
      <c r="AM88" s="10" t="s">
        <v>442</v>
      </c>
      <c r="AN88" s="10"/>
      <c r="AO88" s="10" t="s">
        <v>443</v>
      </c>
      <c r="AP88" s="10"/>
      <c r="AQ88" s="11" t="s">
        <v>444</v>
      </c>
      <c r="AR88" s="4" t="s">
        <v>445</v>
      </c>
      <c r="AS88" s="10" t="s">
        <v>859</v>
      </c>
      <c r="AT88" s="10"/>
      <c r="AU88" s="10"/>
      <c r="AV88" s="10"/>
      <c r="AW88" s="10"/>
      <c r="AX88" s="10" t="s">
        <v>858</v>
      </c>
      <c r="AY88" s="10"/>
      <c r="AZ88" s="10"/>
      <c r="BA88" s="10"/>
      <c r="BB88" s="10"/>
      <c r="BC88" s="10" t="s">
        <v>435</v>
      </c>
      <c r="BD88" s="10">
        <v>17</v>
      </c>
    </row>
    <row r="89" spans="1:56" ht="75" x14ac:dyDescent="0.25">
      <c r="A89" s="4" t="s">
        <v>446</v>
      </c>
      <c r="B89" s="4" t="s">
        <v>1483</v>
      </c>
      <c r="C89" s="4" t="s">
        <v>46</v>
      </c>
      <c r="D89" s="4" t="s">
        <v>165</v>
      </c>
      <c r="E89" s="5" t="s">
        <v>34</v>
      </c>
      <c r="F89" s="4"/>
      <c r="G89" s="4" t="s">
        <v>35</v>
      </c>
      <c r="H89" s="61" t="s">
        <v>447</v>
      </c>
      <c r="I89" s="12"/>
      <c r="J89" s="12"/>
      <c r="K89" s="12"/>
      <c r="L89" s="12"/>
      <c r="M89" s="63"/>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1504</v>
      </c>
      <c r="B90" s="4" t="s">
        <v>1499</v>
      </c>
      <c r="C90" s="4" t="s">
        <v>46</v>
      </c>
      <c r="D90" s="4" t="s">
        <v>1158</v>
      </c>
      <c r="E90" s="5" t="s">
        <v>34</v>
      </c>
      <c r="F90" s="4"/>
      <c r="G90" s="4" t="s">
        <v>35</v>
      </c>
      <c r="H90" s="4" t="s">
        <v>1505</v>
      </c>
      <c r="I90" s="12">
        <v>53</v>
      </c>
      <c r="J90" s="12">
        <f xml:space="preserve"> 53*26*1.6*0.85/22.6</f>
        <v>82.923893805309731</v>
      </c>
      <c r="K90" s="12">
        <v>0.75</v>
      </c>
      <c r="L90" s="12">
        <v>0.15</v>
      </c>
      <c r="M90" s="63">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1462</v>
      </c>
      <c r="AT90" s="10"/>
      <c r="AU90" s="10"/>
      <c r="AV90" s="10"/>
      <c r="AW90" s="10"/>
      <c r="AX90" s="10"/>
      <c r="AY90" s="10"/>
      <c r="AZ90" s="10"/>
      <c r="BA90" s="10"/>
      <c r="BB90" s="10"/>
      <c r="BC90" s="10"/>
      <c r="BD90" s="10"/>
    </row>
    <row r="91" spans="1:56" ht="165" x14ac:dyDescent="0.25">
      <c r="A91" s="4" t="s">
        <v>1389</v>
      </c>
      <c r="B91" s="4" t="s">
        <v>1484</v>
      </c>
      <c r="C91" s="4" t="s">
        <v>46</v>
      </c>
      <c r="D91" s="4" t="s">
        <v>1158</v>
      </c>
      <c r="E91" s="5" t="s">
        <v>34</v>
      </c>
      <c r="F91" s="4" t="s">
        <v>48</v>
      </c>
      <c r="G91" s="4" t="s">
        <v>35</v>
      </c>
      <c r="H91" s="61" t="s">
        <v>1685</v>
      </c>
      <c r="I91" s="12" t="s">
        <v>754</v>
      </c>
      <c r="J91" s="12">
        <f>455/6</f>
        <v>75.833333333333329</v>
      </c>
      <c r="K91" s="12">
        <v>0.75</v>
      </c>
      <c r="L91" s="12">
        <f>1.571/2</f>
        <v>0.78549999999999998</v>
      </c>
      <c r="M91" s="63">
        <f>technologies[[#This Row],[Volume
Literature]]/6</f>
        <v>0.13091666666666665</v>
      </c>
      <c r="N91" s="12">
        <v>0.75</v>
      </c>
      <c r="O91" s="12">
        <v>79</v>
      </c>
      <c r="P91" s="12">
        <f>technologies[[#This Row],[Power]]</f>
        <v>35.233333333333334</v>
      </c>
      <c r="Q91" s="12">
        <v>0.5</v>
      </c>
      <c r="R91" s="12" t="s">
        <v>1384</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1696</v>
      </c>
      <c r="AE91" s="4"/>
      <c r="AF91" s="4">
        <f>(9.75/1000)*4.2*365</f>
        <v>14.94675</v>
      </c>
      <c r="AG91" s="4">
        <v>1</v>
      </c>
      <c r="AH91" s="9"/>
      <c r="AI91" s="9"/>
      <c r="AJ91" s="9"/>
      <c r="AK91" s="9" t="s">
        <v>30</v>
      </c>
      <c r="AL91" s="10"/>
      <c r="AM91" s="10"/>
      <c r="AN91" s="10"/>
      <c r="AO91" s="10"/>
      <c r="AP91" s="10"/>
      <c r="AQ91" s="11" t="s">
        <v>533</v>
      </c>
      <c r="AR91" s="4"/>
      <c r="AS91" s="10" t="s">
        <v>858</v>
      </c>
      <c r="AT91" s="10"/>
      <c r="AU91" s="10"/>
      <c r="AV91" s="10"/>
      <c r="AW91" s="10"/>
      <c r="AX91" s="10"/>
      <c r="AY91" s="10"/>
      <c r="AZ91" s="10"/>
      <c r="BA91" s="10"/>
      <c r="BB91" s="10"/>
      <c r="BC91" s="10"/>
      <c r="BD91" s="10"/>
    </row>
    <row r="92" spans="1:56" ht="105" x14ac:dyDescent="0.25">
      <c r="A92" s="4" t="s">
        <v>534</v>
      </c>
      <c r="B92" s="4" t="s">
        <v>1485</v>
      </c>
      <c r="C92" s="4" t="s">
        <v>46</v>
      </c>
      <c r="D92" s="4" t="s">
        <v>165</v>
      </c>
      <c r="E92" s="5" t="s">
        <v>34</v>
      </c>
      <c r="F92" s="4" t="s">
        <v>48</v>
      </c>
      <c r="G92" s="4" t="s">
        <v>35</v>
      </c>
      <c r="H92" s="4" t="s">
        <v>1684</v>
      </c>
      <c r="I92" s="12" t="s">
        <v>1380</v>
      </c>
      <c r="J92" s="12">
        <f>930/6</f>
        <v>155</v>
      </c>
      <c r="K92" s="12">
        <v>1</v>
      </c>
      <c r="L92" s="12">
        <f>1.5*1.571</f>
        <v>2.3565</v>
      </c>
      <c r="M92" s="63">
        <f>technologies[[#This Row],[Volume
Literature]]/6</f>
        <v>0.39274999999999999</v>
      </c>
      <c r="N92" s="12">
        <v>0.75</v>
      </c>
      <c r="O92" s="12"/>
      <c r="P92" s="12">
        <f>technologies[[#This Row],[Power]]</f>
        <v>45.85</v>
      </c>
      <c r="Q92" s="12">
        <v>1</v>
      </c>
      <c r="R92" s="12" t="s">
        <v>1385</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1697</v>
      </c>
      <c r="AE92" s="4"/>
      <c r="AF92" s="4">
        <f>(4.55/1000)*1.6*365</f>
        <v>2.6572000000000005</v>
      </c>
      <c r="AG92" s="4">
        <v>1</v>
      </c>
      <c r="AH92" s="9"/>
      <c r="AI92" s="9"/>
      <c r="AJ92" s="9"/>
      <c r="AK92" s="9" t="s">
        <v>30</v>
      </c>
      <c r="AL92" s="10"/>
      <c r="AM92" s="10"/>
      <c r="AN92" s="10"/>
      <c r="AO92" s="10"/>
      <c r="AP92" s="10"/>
      <c r="AQ92" s="11" t="s">
        <v>535</v>
      </c>
      <c r="AR92" s="4"/>
      <c r="AS92" s="10" t="s">
        <v>856</v>
      </c>
      <c r="AT92" s="10"/>
      <c r="AU92" s="10"/>
      <c r="AV92" s="10"/>
      <c r="AW92" s="10"/>
      <c r="AX92" s="10"/>
      <c r="AY92" s="10"/>
      <c r="AZ92" s="10"/>
      <c r="BA92" s="10"/>
      <c r="BB92" s="10"/>
      <c r="BC92" s="10"/>
      <c r="BD92" s="10"/>
    </row>
    <row r="93" spans="1:56" ht="270" x14ac:dyDescent="0.25">
      <c r="A93" s="4" t="s">
        <v>1248</v>
      </c>
      <c r="B93" s="4" t="s">
        <v>648</v>
      </c>
      <c r="C93" s="4" t="s">
        <v>46</v>
      </c>
      <c r="D93" s="4" t="s">
        <v>1158</v>
      </c>
      <c r="E93" s="5" t="s">
        <v>34</v>
      </c>
      <c r="F93" s="4"/>
      <c r="G93" s="4" t="s">
        <v>35</v>
      </c>
      <c r="H93" s="61" t="s">
        <v>1013</v>
      </c>
      <c r="I93" s="12" t="s">
        <v>749</v>
      </c>
      <c r="J93" s="12">
        <v>67.992141453831039</v>
      </c>
      <c r="K93" s="12">
        <v>0.75</v>
      </c>
      <c r="L93" s="12" t="s">
        <v>750</v>
      </c>
      <c r="M93" s="63">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858</v>
      </c>
      <c r="AZ93" s="10"/>
      <c r="BA93" s="10"/>
      <c r="BB93" s="10"/>
      <c r="BC93" s="10" t="s">
        <v>464</v>
      </c>
      <c r="BD93" s="10" t="s">
        <v>465</v>
      </c>
    </row>
    <row r="94" spans="1:56" ht="75" x14ac:dyDescent="0.25">
      <c r="A94" s="4" t="s">
        <v>475</v>
      </c>
      <c r="B94" s="4" t="s">
        <v>1486</v>
      </c>
      <c r="C94" s="4" t="s">
        <v>66</v>
      </c>
      <c r="D94" s="4" t="s">
        <v>23</v>
      </c>
      <c r="E94" s="5" t="s">
        <v>34</v>
      </c>
      <c r="F94" s="4" t="s">
        <v>221</v>
      </c>
      <c r="G94" s="4" t="s">
        <v>35</v>
      </c>
      <c r="H94" s="61" t="s">
        <v>1014</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952</v>
      </c>
      <c r="AT94" s="10"/>
      <c r="AU94" s="10"/>
      <c r="AV94" s="10"/>
      <c r="AW94" s="10"/>
      <c r="AX94" s="10"/>
      <c r="AY94" s="10"/>
      <c r="AZ94" s="10"/>
      <c r="BA94" s="10"/>
      <c r="BB94" s="10"/>
      <c r="BC94" s="10"/>
      <c r="BD94" s="10" t="s">
        <v>1107</v>
      </c>
    </row>
    <row r="95" spans="1:56" ht="75" x14ac:dyDescent="0.25">
      <c r="A95" s="4" t="s">
        <v>970</v>
      </c>
      <c r="B95" s="4"/>
      <c r="C95" s="4" t="s">
        <v>139</v>
      </c>
      <c r="D95" s="4" t="s">
        <v>23</v>
      </c>
      <c r="E95" s="5" t="s">
        <v>34</v>
      </c>
      <c r="F95" s="6"/>
      <c r="G95" s="4" t="s">
        <v>67</v>
      </c>
      <c r="H95" s="4" t="s">
        <v>477</v>
      </c>
      <c r="I95" s="12"/>
      <c r="J95" s="12"/>
      <c r="K95" s="12"/>
      <c r="L95" s="12"/>
      <c r="M95" s="63"/>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856</v>
      </c>
      <c r="AT95" s="10"/>
      <c r="AU95" s="10"/>
      <c r="AV95" s="10"/>
      <c r="AW95" s="10"/>
      <c r="AX95" s="10"/>
      <c r="AY95" s="10"/>
      <c r="AZ95" s="10"/>
      <c r="BA95" s="10"/>
      <c r="BB95" s="10"/>
      <c r="BC95" s="10">
        <v>920</v>
      </c>
      <c r="BD95" s="10"/>
    </row>
    <row r="96" spans="1:56" ht="105" x14ac:dyDescent="0.25">
      <c r="A96" s="4" t="s">
        <v>965</v>
      </c>
      <c r="B96" s="4"/>
      <c r="C96" s="4" t="s">
        <v>46</v>
      </c>
      <c r="D96" s="4" t="s">
        <v>101</v>
      </c>
      <c r="E96" s="5" t="s">
        <v>24</v>
      </c>
      <c r="F96" s="4"/>
      <c r="G96" s="4" t="s">
        <v>35</v>
      </c>
      <c r="H96" s="61" t="s">
        <v>480</v>
      </c>
      <c r="I96" s="12" t="s">
        <v>751</v>
      </c>
      <c r="J96" s="12">
        <f>38</f>
        <v>38</v>
      </c>
      <c r="K96" s="12">
        <v>0.75</v>
      </c>
      <c r="L96" s="12" t="s">
        <v>752</v>
      </c>
      <c r="M96" s="63">
        <v>5.0999999999999997E-2</v>
      </c>
      <c r="N96" s="12">
        <v>0.75</v>
      </c>
      <c r="O96" s="12">
        <v>4.72</v>
      </c>
      <c r="P96" s="12">
        <f>technologies[[#This Row],[Power]]</f>
        <v>30</v>
      </c>
      <c r="Q96" s="12">
        <v>0.25</v>
      </c>
      <c r="R96" s="12" t="s">
        <v>1266</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870</v>
      </c>
      <c r="AT96" s="10"/>
      <c r="AU96" s="10"/>
      <c r="AV96" s="10"/>
      <c r="AW96" s="10"/>
      <c r="AX96" s="10"/>
      <c r="AY96" s="10"/>
      <c r="AZ96" s="10"/>
      <c r="BA96" s="10"/>
      <c r="BB96" s="10"/>
      <c r="BC96" s="10"/>
      <c r="BD96" s="10"/>
    </row>
    <row r="97" spans="1:56" ht="30" x14ac:dyDescent="0.25">
      <c r="A97" s="4" t="s">
        <v>966</v>
      </c>
      <c r="B97" s="4"/>
      <c r="C97" s="4" t="s">
        <v>22</v>
      </c>
      <c r="D97" s="4" t="s">
        <v>131</v>
      </c>
      <c r="E97" s="5" t="s">
        <v>34</v>
      </c>
      <c r="F97" s="6" t="s">
        <v>200</v>
      </c>
      <c r="G97" s="6" t="s">
        <v>26</v>
      </c>
      <c r="H97" s="4"/>
      <c r="I97" s="12">
        <v>61.054499999999997</v>
      </c>
      <c r="J97" s="12"/>
      <c r="K97" s="12"/>
      <c r="L97" s="12">
        <v>7.5614000000000001E-2</v>
      </c>
      <c r="M97" s="63"/>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872</v>
      </c>
      <c r="AT97" s="10"/>
      <c r="AU97" s="10"/>
      <c r="AV97" s="10"/>
      <c r="AW97" s="10"/>
      <c r="AX97" s="10"/>
      <c r="AY97" s="10"/>
      <c r="AZ97" s="10"/>
      <c r="BA97" s="10"/>
      <c r="BB97" s="10"/>
      <c r="BC97" s="10"/>
      <c r="BD97" s="10"/>
    </row>
    <row r="98" spans="1:56" ht="90" x14ac:dyDescent="0.25">
      <c r="A98" s="4" t="s">
        <v>968</v>
      </c>
      <c r="B98" s="4" t="s">
        <v>1487</v>
      </c>
      <c r="C98" s="4" t="s">
        <v>22</v>
      </c>
      <c r="D98" s="4" t="s">
        <v>62</v>
      </c>
      <c r="E98" s="5" t="s">
        <v>34</v>
      </c>
      <c r="F98" s="4"/>
      <c r="G98" s="4" t="s">
        <v>35</v>
      </c>
      <c r="H98" s="61" t="s">
        <v>1015</v>
      </c>
      <c r="I98" s="12" t="s">
        <v>753</v>
      </c>
      <c r="J98" s="12"/>
      <c r="K98" s="12"/>
      <c r="L98" s="12">
        <v>5.8700000000000002E-2</v>
      </c>
      <c r="M98" s="63"/>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855</v>
      </c>
      <c r="AW98" s="10" t="s">
        <v>901</v>
      </c>
      <c r="AX98" s="10" t="s">
        <v>903</v>
      </c>
      <c r="AY98" s="10"/>
      <c r="AZ98" s="10"/>
      <c r="BA98" s="10"/>
      <c r="BB98" s="10"/>
      <c r="BC98" s="10">
        <v>293</v>
      </c>
      <c r="BD98" s="10">
        <v>101</v>
      </c>
    </row>
    <row r="99" spans="1:56" ht="90" x14ac:dyDescent="0.25">
      <c r="A99" s="4" t="s">
        <v>969</v>
      </c>
      <c r="B99" s="4"/>
      <c r="C99" s="4" t="s">
        <v>139</v>
      </c>
      <c r="D99" s="4" t="s">
        <v>23</v>
      </c>
      <c r="E99" s="5" t="s">
        <v>34</v>
      </c>
      <c r="F99" s="4"/>
      <c r="G99" s="4" t="s">
        <v>35</v>
      </c>
      <c r="H99" s="61" t="s">
        <v>489</v>
      </c>
      <c r="I99" s="12"/>
      <c r="J99" s="12"/>
      <c r="K99" s="12"/>
      <c r="L99" s="12"/>
      <c r="M99" s="63"/>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877</v>
      </c>
      <c r="AT99" s="10"/>
      <c r="AU99" s="10"/>
      <c r="AV99" s="10"/>
      <c r="AW99" s="10"/>
      <c r="AX99" s="10"/>
      <c r="AY99" s="10"/>
      <c r="AZ99" s="10"/>
      <c r="BA99" s="10"/>
      <c r="BB99" s="10"/>
      <c r="BC99" s="10" t="s">
        <v>490</v>
      </c>
      <c r="BD99" s="10" t="s">
        <v>491</v>
      </c>
    </row>
    <row r="100" spans="1:56" ht="45" x14ac:dyDescent="0.25">
      <c r="A100" s="4" t="s">
        <v>967</v>
      </c>
      <c r="B100" s="4"/>
      <c r="C100" s="4" t="s">
        <v>70</v>
      </c>
      <c r="D100" s="4" t="s">
        <v>23</v>
      </c>
      <c r="E100" s="5" t="s">
        <v>34</v>
      </c>
      <c r="F100" s="4"/>
      <c r="G100" s="4" t="s">
        <v>35</v>
      </c>
      <c r="H100" s="4" t="s">
        <v>1016</v>
      </c>
      <c r="I100" s="12">
        <v>9.8000000000000007</v>
      </c>
      <c r="J100" s="12">
        <f>technologies[[#This Row],[Mass
Literature]]/6</f>
        <v>1.6333333333333335</v>
      </c>
      <c r="K100" s="12">
        <v>0.75</v>
      </c>
      <c r="L100" s="12">
        <v>0.02</v>
      </c>
      <c r="M100" s="63">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889</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1016</v>
      </c>
      <c r="I101" s="12">
        <v>4.55</v>
      </c>
      <c r="J101" s="12"/>
      <c r="K101" s="12"/>
      <c r="L101" s="12">
        <v>0.02</v>
      </c>
      <c r="M101" s="63"/>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873</v>
      </c>
      <c r="AT101" s="10" t="s">
        <v>876</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1017</v>
      </c>
      <c r="I102" s="12" t="s">
        <v>1018</v>
      </c>
      <c r="J102" s="12"/>
      <c r="K102" s="12"/>
      <c r="L102" s="12" t="s">
        <v>1106</v>
      </c>
      <c r="M102" s="63"/>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870</v>
      </c>
      <c r="AT102" s="10" t="s">
        <v>859</v>
      </c>
      <c r="AU102" s="10"/>
      <c r="AV102" s="10"/>
      <c r="AW102" s="10"/>
      <c r="AX102" s="10"/>
      <c r="AY102" s="10"/>
      <c r="AZ102" s="10" t="s">
        <v>856</v>
      </c>
      <c r="BA102" s="10"/>
      <c r="BB102" s="10"/>
      <c r="BC102" s="10"/>
      <c r="BD102" s="10"/>
    </row>
    <row r="103" spans="1:56" ht="45" x14ac:dyDescent="0.25">
      <c r="A103" s="4" t="s">
        <v>1249</v>
      </c>
      <c r="B103" s="4" t="s">
        <v>1506</v>
      </c>
      <c r="C103" s="4" t="s">
        <v>46</v>
      </c>
      <c r="D103" s="4" t="s">
        <v>23</v>
      </c>
      <c r="E103" s="5" t="s">
        <v>34</v>
      </c>
      <c r="F103" s="4"/>
      <c r="G103" s="4" t="s">
        <v>35</v>
      </c>
      <c r="H103" s="4" t="s">
        <v>1016</v>
      </c>
      <c r="I103" s="12">
        <v>582.41999999999996</v>
      </c>
      <c r="J103" s="12"/>
      <c r="K103" s="12"/>
      <c r="L103" s="12">
        <v>2.02</v>
      </c>
      <c r="M103" s="63"/>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859</v>
      </c>
      <c r="AT103" s="10"/>
      <c r="AU103" s="10"/>
      <c r="AV103" s="10"/>
      <c r="AW103" s="10"/>
      <c r="AX103" s="10"/>
      <c r="AY103" s="10" t="s">
        <v>858</v>
      </c>
      <c r="AZ103" s="10"/>
      <c r="BA103" s="10"/>
      <c r="BB103" s="10"/>
      <c r="BC103" s="10"/>
      <c r="BD103" s="10"/>
    </row>
    <row r="104" spans="1:56" ht="30" x14ac:dyDescent="0.25">
      <c r="A104" s="4" t="s">
        <v>503</v>
      </c>
      <c r="B104" s="4"/>
      <c r="C104" s="4" t="s">
        <v>46</v>
      </c>
      <c r="D104" s="4" t="s">
        <v>101</v>
      </c>
      <c r="E104" s="5" t="s">
        <v>34</v>
      </c>
      <c r="F104" s="6"/>
      <c r="G104" s="6" t="s">
        <v>26</v>
      </c>
      <c r="H104" s="4" t="s">
        <v>1016</v>
      </c>
      <c r="I104" s="12">
        <v>8.67</v>
      </c>
      <c r="J104" s="12">
        <f>technologies[[#This Row],[Mass
Literature]]/6</f>
        <v>1.4450000000000001</v>
      </c>
      <c r="K104" s="12">
        <v>0.75</v>
      </c>
      <c r="L104" s="12">
        <v>0.02</v>
      </c>
      <c r="M104" s="63">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869</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1" t="s">
        <v>506</v>
      </c>
      <c r="I105" s="12"/>
      <c r="J105" s="12"/>
      <c r="K105" s="12"/>
      <c r="L105" s="12"/>
      <c r="M105" s="63"/>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956</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1020</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957</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1020</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957</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1020</v>
      </c>
      <c r="I108" s="12">
        <v>40</v>
      </c>
      <c r="J108" s="12">
        <v>40</v>
      </c>
      <c r="K108" s="12"/>
      <c r="L108" s="12">
        <v>0.56000000000000005</v>
      </c>
      <c r="M108" s="63"/>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1021</v>
      </c>
      <c r="I109" s="12" t="s">
        <v>513</v>
      </c>
      <c r="J109" s="12">
        <v>90</v>
      </c>
      <c r="K109" s="12"/>
      <c r="L109" s="12" t="s">
        <v>1201</v>
      </c>
      <c r="M109" s="63">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873</v>
      </c>
      <c r="AT109" s="10" t="s">
        <v>876</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1" t="s">
        <v>1022</v>
      </c>
      <c r="I110" s="12" t="s">
        <v>831</v>
      </c>
      <c r="J110" s="12">
        <v>75</v>
      </c>
      <c r="K110" s="12"/>
      <c r="L110" s="12" t="s">
        <v>828</v>
      </c>
      <c r="M110" s="63">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873</v>
      </c>
      <c r="AT110" s="10"/>
      <c r="AU110" s="10"/>
      <c r="AV110" s="10"/>
      <c r="AW110" s="10"/>
      <c r="AX110" s="10"/>
      <c r="AY110" s="10"/>
      <c r="AZ110" s="10"/>
      <c r="BA110" s="10"/>
      <c r="BB110" s="10"/>
      <c r="BC110" s="10"/>
      <c r="BD110" s="10"/>
    </row>
    <row r="111" spans="1:56" ht="30" x14ac:dyDescent="0.25">
      <c r="A111" s="4" t="s">
        <v>1019</v>
      </c>
      <c r="B111" s="4"/>
      <c r="C111" s="4" t="s">
        <v>46</v>
      </c>
      <c r="D111" s="4" t="s">
        <v>23</v>
      </c>
      <c r="E111" s="5" t="s">
        <v>34</v>
      </c>
      <c r="F111" s="6"/>
      <c r="G111" s="4" t="s">
        <v>26</v>
      </c>
      <c r="H111" s="4" t="s">
        <v>1020</v>
      </c>
      <c r="I111" s="12">
        <v>8</v>
      </c>
      <c r="J111" s="12"/>
      <c r="K111" s="12"/>
      <c r="L111" s="12">
        <v>0.01</v>
      </c>
      <c r="M111" s="63"/>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873</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1020</v>
      </c>
      <c r="I112" s="12">
        <v>100</v>
      </c>
      <c r="J112" s="12">
        <v>100</v>
      </c>
      <c r="K112" s="12"/>
      <c r="L112" s="12">
        <v>0.75</v>
      </c>
      <c r="M112" s="63">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1020</v>
      </c>
      <c r="I113" s="12">
        <v>60</v>
      </c>
      <c r="J113" s="12">
        <v>60</v>
      </c>
      <c r="K113" s="12"/>
      <c r="L113" s="12">
        <v>0.75</v>
      </c>
      <c r="M113" s="63">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1" t="s">
        <v>1024</v>
      </c>
      <c r="I114" s="12" t="s">
        <v>830</v>
      </c>
      <c r="J114" s="12">
        <v>150</v>
      </c>
      <c r="K114" s="12"/>
      <c r="L114" s="12" t="s">
        <v>829</v>
      </c>
      <c r="M114" s="63">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934</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1" t="s">
        <v>524</v>
      </c>
      <c r="I115" s="12" t="s">
        <v>525</v>
      </c>
      <c r="J115" s="12">
        <v>100</v>
      </c>
      <c r="K115" s="12"/>
      <c r="L115" s="12" t="s">
        <v>1202</v>
      </c>
      <c r="M115" s="63">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1020</v>
      </c>
      <c r="I116" s="12">
        <v>300</v>
      </c>
      <c r="J116" s="12">
        <v>300</v>
      </c>
      <c r="K116" s="12"/>
      <c r="L116" s="12">
        <v>1</v>
      </c>
      <c r="M116" s="63">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1020</v>
      </c>
      <c r="I117" s="12">
        <v>9</v>
      </c>
      <c r="J117" s="12">
        <v>9</v>
      </c>
      <c r="K117" s="12"/>
      <c r="L117" s="12">
        <v>0.1</v>
      </c>
      <c r="M117" s="63">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1" t="s">
        <v>1023</v>
      </c>
      <c r="I118" s="12"/>
      <c r="J118" s="12"/>
      <c r="K118" s="12"/>
      <c r="L118" s="12" t="s">
        <v>1203</v>
      </c>
      <c r="M118" s="63"/>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1108</v>
      </c>
      <c r="BD118" s="10" t="s">
        <v>1109</v>
      </c>
    </row>
    <row r="119" spans="1:56" ht="210" x14ac:dyDescent="0.25">
      <c r="A119" s="4" t="s">
        <v>971</v>
      </c>
      <c r="B119" s="4"/>
      <c r="C119" s="4" t="s">
        <v>46</v>
      </c>
      <c r="D119" s="4" t="s">
        <v>23</v>
      </c>
      <c r="E119" s="5" t="s">
        <v>34</v>
      </c>
      <c r="F119" s="4"/>
      <c r="G119" s="4" t="s">
        <v>67</v>
      </c>
      <c r="H119" s="61" t="s">
        <v>1012</v>
      </c>
      <c r="I119" s="12" t="s">
        <v>747</v>
      </c>
      <c r="J119" s="12">
        <v>61.78217821782178</v>
      </c>
      <c r="K119" s="12">
        <v>0.5</v>
      </c>
      <c r="L119" s="12" t="s">
        <v>748</v>
      </c>
      <c r="M119" s="63">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1163</v>
      </c>
      <c r="AE119" s="13">
        <f>13.1/9*Crew_Size/500*Mission_Duration</f>
        <v>6.9866666666666664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859</v>
      </c>
      <c r="AT119" s="10"/>
      <c r="AU119" s="10"/>
      <c r="AV119" s="10"/>
      <c r="AW119" s="10" t="s">
        <v>856</v>
      </c>
      <c r="AX119" s="10" t="s">
        <v>857</v>
      </c>
      <c r="AY119" s="10" t="s">
        <v>858</v>
      </c>
      <c r="AZ119" s="10"/>
      <c r="BA119" s="10"/>
      <c r="BB119" s="10"/>
      <c r="BC119" s="10" t="s">
        <v>450</v>
      </c>
      <c r="BD119" s="10" t="s">
        <v>1134</v>
      </c>
    </row>
    <row r="120" spans="1:56" ht="75" x14ac:dyDescent="0.25">
      <c r="A120" s="4" t="s">
        <v>536</v>
      </c>
      <c r="B120" s="4"/>
      <c r="C120" s="4" t="s">
        <v>70</v>
      </c>
      <c r="D120" s="4" t="s">
        <v>23</v>
      </c>
      <c r="E120" s="5" t="s">
        <v>34</v>
      </c>
      <c r="F120" s="6"/>
      <c r="G120" s="4" t="s">
        <v>67</v>
      </c>
      <c r="H120" s="61" t="s">
        <v>1170</v>
      </c>
      <c r="I120" s="12"/>
      <c r="J120" s="12"/>
      <c r="K120" s="12"/>
      <c r="L120" s="12"/>
      <c r="M120" s="63"/>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914</v>
      </c>
      <c r="AT120" s="10"/>
      <c r="AU120" s="10"/>
      <c r="AV120" s="10"/>
      <c r="AW120" s="10"/>
      <c r="AX120" s="10"/>
      <c r="AY120" s="10"/>
      <c r="AZ120" s="10"/>
      <c r="BA120" s="10"/>
      <c r="BB120" s="10"/>
      <c r="BC120" s="10" t="s">
        <v>1110</v>
      </c>
      <c r="BD120" s="10" t="s">
        <v>537</v>
      </c>
    </row>
    <row r="121" spans="1:56" ht="30" x14ac:dyDescent="0.25">
      <c r="A121" s="4" t="s">
        <v>538</v>
      </c>
      <c r="B121" s="4"/>
      <c r="C121" s="4" t="s">
        <v>66</v>
      </c>
      <c r="D121" s="4" t="s">
        <v>23</v>
      </c>
      <c r="E121" s="5" t="s">
        <v>34</v>
      </c>
      <c r="F121" s="4" t="s">
        <v>221</v>
      </c>
      <c r="G121" s="4" t="s">
        <v>26</v>
      </c>
      <c r="H121" s="4" t="s">
        <v>1025</v>
      </c>
      <c r="I121" s="12" t="s">
        <v>832</v>
      </c>
      <c r="J121" s="12">
        <v>0.7</v>
      </c>
      <c r="K121" s="12"/>
      <c r="L121" s="12" t="s">
        <v>1026</v>
      </c>
      <c r="M121" s="63">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952</v>
      </c>
      <c r="AT121" s="10" t="s">
        <v>946</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1171</v>
      </c>
      <c r="I122" s="12" t="s">
        <v>755</v>
      </c>
      <c r="J122" s="12"/>
      <c r="K122" s="12"/>
      <c r="L122" s="12" t="s">
        <v>756</v>
      </c>
      <c r="M122" s="63"/>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1488</v>
      </c>
      <c r="C123" s="4" t="s">
        <v>22</v>
      </c>
      <c r="D123" s="4" t="s">
        <v>62</v>
      </c>
      <c r="E123" s="5" t="s">
        <v>34</v>
      </c>
      <c r="F123" s="4"/>
      <c r="G123" s="4" t="s">
        <v>35</v>
      </c>
      <c r="H123" s="61" t="s">
        <v>542</v>
      </c>
      <c r="I123" s="12"/>
      <c r="J123" s="12"/>
      <c r="K123" s="12"/>
      <c r="L123" s="12"/>
      <c r="M123" s="63"/>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855</v>
      </c>
      <c r="AW123" s="10"/>
      <c r="AX123" s="10"/>
      <c r="AY123" s="10"/>
      <c r="AZ123" s="10"/>
      <c r="BA123" s="10"/>
      <c r="BB123" s="10"/>
      <c r="BC123" s="10"/>
      <c r="BD123" s="10"/>
    </row>
    <row r="124" spans="1:56" ht="30" x14ac:dyDescent="0.25">
      <c r="A124" s="4" t="s">
        <v>544</v>
      </c>
      <c r="B124" s="4" t="s">
        <v>1489</v>
      </c>
      <c r="C124" s="4" t="s">
        <v>22</v>
      </c>
      <c r="D124" s="4" t="s">
        <v>62</v>
      </c>
      <c r="E124" s="5" t="s">
        <v>34</v>
      </c>
      <c r="F124" s="4"/>
      <c r="G124" s="4" t="s">
        <v>35</v>
      </c>
      <c r="H124" s="4" t="s">
        <v>1031</v>
      </c>
      <c r="I124" s="12"/>
      <c r="J124" s="12"/>
      <c r="K124" s="12"/>
      <c r="L124" s="12"/>
      <c r="M124" s="63"/>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855</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1032</v>
      </c>
      <c r="I125" s="12">
        <f>2.1+10</f>
        <v>12.1</v>
      </c>
      <c r="J125" s="12">
        <v>12.1</v>
      </c>
      <c r="K125" s="12"/>
      <c r="L125" s="12"/>
      <c r="M125" s="63"/>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867</v>
      </c>
      <c r="AT125" s="10"/>
      <c r="AU125" s="10"/>
      <c r="AV125" s="10"/>
      <c r="AW125" s="10"/>
      <c r="AX125" s="10"/>
      <c r="AY125" s="10"/>
      <c r="AZ125" s="10"/>
      <c r="BA125" s="10"/>
      <c r="BB125" s="10"/>
      <c r="BC125" s="10"/>
      <c r="BD125" s="10"/>
    </row>
    <row r="126" spans="1:56" ht="45" x14ac:dyDescent="0.25">
      <c r="A126" s="4" t="s">
        <v>1272</v>
      </c>
      <c r="B126" s="4" t="s">
        <v>1272</v>
      </c>
      <c r="C126" s="4" t="s">
        <v>46</v>
      </c>
      <c r="D126" s="4" t="s">
        <v>131</v>
      </c>
      <c r="E126" s="5" t="s">
        <v>24</v>
      </c>
      <c r="F126" s="4"/>
      <c r="G126" s="4" t="s">
        <v>35</v>
      </c>
      <c r="H126" s="4" t="s">
        <v>1033</v>
      </c>
      <c r="I126" s="12"/>
      <c r="J126" s="12">
        <v>93.876941165923142</v>
      </c>
      <c r="K126" s="12">
        <v>1</v>
      </c>
      <c r="L126" s="12"/>
      <c r="M126" s="63">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872</v>
      </c>
      <c r="AT126" s="10" t="s">
        <v>874</v>
      </c>
      <c r="AU126" s="10"/>
      <c r="AV126" s="10"/>
      <c r="AW126" s="10"/>
      <c r="AX126" s="10"/>
      <c r="AY126" s="10"/>
      <c r="AZ126" s="10"/>
      <c r="BA126" s="10"/>
      <c r="BB126" s="10"/>
      <c r="BC126" s="10"/>
      <c r="BD126" s="10"/>
    </row>
    <row r="127" spans="1:56" ht="30" x14ac:dyDescent="0.25">
      <c r="A127" s="4" t="s">
        <v>964</v>
      </c>
      <c r="B127" s="4"/>
      <c r="C127" s="4" t="s">
        <v>66</v>
      </c>
      <c r="D127" s="4" t="s">
        <v>131</v>
      </c>
      <c r="E127" s="5" t="s">
        <v>34</v>
      </c>
      <c r="F127" s="4"/>
      <c r="G127" s="4" t="s">
        <v>26</v>
      </c>
      <c r="H127" s="17"/>
      <c r="I127" s="12"/>
      <c r="J127" s="12"/>
      <c r="K127" s="12">
        <v>0.5</v>
      </c>
      <c r="L127" s="12"/>
      <c r="M127" s="63">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875</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1" t="s">
        <v>1027</v>
      </c>
      <c r="I128" s="12" t="s">
        <v>833</v>
      </c>
      <c r="J128" s="12">
        <v>49.71</v>
      </c>
      <c r="K128" s="12">
        <v>0.75</v>
      </c>
      <c r="L128" s="12" t="s">
        <v>834</v>
      </c>
      <c r="M128" s="63">
        <v>0.393293</v>
      </c>
      <c r="N128" s="12">
        <v>0.75</v>
      </c>
      <c r="O128" s="8">
        <f>2454*0.277777777</f>
        <v>681.66666475800002</v>
      </c>
      <c r="P128" s="8">
        <f>2454*0.277777777</f>
        <v>681.66666475800002</v>
      </c>
      <c r="Q128" s="12">
        <v>0.75</v>
      </c>
      <c r="R128" s="12"/>
      <c r="S128" s="12">
        <v>0</v>
      </c>
      <c r="T128" s="12">
        <v>0.75</v>
      </c>
      <c r="U128" s="12"/>
      <c r="V128" s="12"/>
      <c r="W128" s="7"/>
      <c r="X128" s="12">
        <f>0.006*Mission_Duration</f>
        <v>2.4</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942</v>
      </c>
      <c r="AT128" s="10" t="s">
        <v>943</v>
      </c>
      <c r="AU128" s="10" t="s">
        <v>888</v>
      </c>
      <c r="AV128" s="10" t="s">
        <v>958</v>
      </c>
      <c r="AW128" s="10" t="s">
        <v>903</v>
      </c>
      <c r="AX128" s="10" t="s">
        <v>868</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3">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942</v>
      </c>
      <c r="AT129" s="10" t="s">
        <v>943</v>
      </c>
      <c r="AU129" s="10" t="s">
        <v>888</v>
      </c>
      <c r="AV129" s="10" t="s">
        <v>901</v>
      </c>
      <c r="AW129" s="10" t="s">
        <v>903</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1" t="s">
        <v>556</v>
      </c>
      <c r="I130" s="12">
        <v>7.45</v>
      </c>
      <c r="J130" s="12">
        <v>7.4526000000000003</v>
      </c>
      <c r="K130" s="12">
        <v>0.75</v>
      </c>
      <c r="L130" s="12">
        <v>7.0800000000000004E-3</v>
      </c>
      <c r="M130" s="63">
        <v>7.0800000000000004E-3</v>
      </c>
      <c r="N130" s="12">
        <v>0.75</v>
      </c>
      <c r="O130" s="12"/>
      <c r="P130" s="12"/>
      <c r="Q130" s="12"/>
      <c r="R130" s="64" t="s">
        <v>1111</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943</v>
      </c>
      <c r="AT130" s="10" t="s">
        <v>888</v>
      </c>
      <c r="AU130" s="10" t="s">
        <v>901</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1" t="s">
        <v>1034</v>
      </c>
      <c r="I131" s="12">
        <v>0.26300000000000001</v>
      </c>
      <c r="J131" s="12">
        <v>0.26300000000000001</v>
      </c>
      <c r="K131" s="12">
        <v>0.75</v>
      </c>
      <c r="L131" s="12" t="s">
        <v>835</v>
      </c>
      <c r="M131" s="63">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942</v>
      </c>
      <c r="AT131" s="10" t="s">
        <v>943</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1" t="s">
        <v>560</v>
      </c>
      <c r="I132" s="12">
        <v>0.63500000000000001</v>
      </c>
      <c r="J132" s="12">
        <v>0.63500000000000001</v>
      </c>
      <c r="K132" s="12">
        <v>0.75</v>
      </c>
      <c r="L132" s="12">
        <v>5.6599999999999999E-4</v>
      </c>
      <c r="M132" s="73">
        <v>5.6599999999999999E-4</v>
      </c>
      <c r="N132" s="44">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1" t="s">
        <v>1035</v>
      </c>
      <c r="I133" s="12">
        <v>11.93</v>
      </c>
      <c r="J133" s="12">
        <v>11.93</v>
      </c>
      <c r="K133" s="12">
        <v>0.75</v>
      </c>
      <c r="L133" s="12">
        <v>5.8285000000000003E-2</v>
      </c>
      <c r="M133" s="63">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903</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1" t="s">
        <v>564</v>
      </c>
      <c r="I134" s="12" t="s">
        <v>1028</v>
      </c>
      <c r="J134" s="12">
        <v>1.66</v>
      </c>
      <c r="K134" s="12">
        <v>0.75</v>
      </c>
      <c r="L134" s="12" t="s">
        <v>1029</v>
      </c>
      <c r="M134" s="63">
        <v>5.6999999999999998E-4</v>
      </c>
      <c r="N134" s="12">
        <v>1</v>
      </c>
      <c r="O134" s="12"/>
      <c r="P134" s="12"/>
      <c r="Q134" s="12"/>
      <c r="R134" s="12" t="s">
        <v>1112</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1" t="s">
        <v>566</v>
      </c>
      <c r="I135" s="12">
        <v>4.0369999999999999</v>
      </c>
      <c r="J135" s="12">
        <v>4.0369999999999999</v>
      </c>
      <c r="K135" s="12">
        <v>0.75</v>
      </c>
      <c r="L135" s="12">
        <v>1.7274999999999999E-2</v>
      </c>
      <c r="M135" s="63">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1" t="s">
        <v>762</v>
      </c>
      <c r="I136" s="12">
        <v>9.1999999999999993</v>
      </c>
      <c r="J136" s="12">
        <v>9.1999999999999993</v>
      </c>
      <c r="K136" s="12">
        <v>0.75</v>
      </c>
      <c r="L136" s="12">
        <v>9.2999999999999992E-3</v>
      </c>
      <c r="M136" s="63">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890</v>
      </c>
      <c r="AV136" s="10" t="s">
        <v>864</v>
      </c>
      <c r="AW136" s="10" t="s">
        <v>866</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1" t="s">
        <v>571</v>
      </c>
      <c r="I137" s="12"/>
      <c r="J137" s="12">
        <f>J136+J138+J351</f>
        <v>14.299999999999999</v>
      </c>
      <c r="K137" s="12">
        <v>0.75</v>
      </c>
      <c r="L137" s="12"/>
      <c r="M137" s="63">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890</v>
      </c>
      <c r="AV137" s="10" t="s">
        <v>864</v>
      </c>
      <c r="AW137" s="10" t="s">
        <v>866</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1" t="s">
        <v>573</v>
      </c>
      <c r="I138" s="12" t="s">
        <v>836</v>
      </c>
      <c r="J138" s="12">
        <f>5.1</f>
        <v>5.0999999999999996</v>
      </c>
      <c r="K138" s="12">
        <v>0.75</v>
      </c>
      <c r="L138" s="12" t="s">
        <v>1030</v>
      </c>
      <c r="M138" s="63">
        <f>0.0099</f>
        <v>9.9000000000000008E-3</v>
      </c>
      <c r="N138" s="12">
        <v>0.75</v>
      </c>
      <c r="O138" s="12"/>
      <c r="P138" s="12"/>
      <c r="Q138" s="12"/>
      <c r="R138" s="12" t="s">
        <v>1113</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1" t="s">
        <v>575</v>
      </c>
      <c r="I139" s="12" t="s">
        <v>761</v>
      </c>
      <c r="J139" s="12">
        <v>25.3</v>
      </c>
      <c r="K139" s="12">
        <v>0.75</v>
      </c>
      <c r="L139" s="12">
        <v>0.13020000000000001</v>
      </c>
      <c r="M139" s="63">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890</v>
      </c>
      <c r="AT139" s="10"/>
      <c r="AU139" s="10"/>
      <c r="AV139" s="10"/>
      <c r="AW139" s="10"/>
      <c r="AX139" s="10"/>
      <c r="AY139" s="10"/>
      <c r="AZ139" s="10"/>
      <c r="BA139" s="10"/>
      <c r="BB139" s="10"/>
      <c r="BC139" s="10"/>
      <c r="BD139" s="10" t="s">
        <v>1114</v>
      </c>
    </row>
    <row r="140" spans="1:56" ht="30" x14ac:dyDescent="0.25">
      <c r="A140" s="4" t="s">
        <v>578</v>
      </c>
      <c r="B140" s="4"/>
      <c r="C140" s="4" t="s">
        <v>70</v>
      </c>
      <c r="D140" s="4" t="s">
        <v>23</v>
      </c>
      <c r="E140" s="5" t="s">
        <v>34</v>
      </c>
      <c r="F140" s="4"/>
      <c r="G140" s="4" t="s">
        <v>26</v>
      </c>
      <c r="H140" s="61" t="s">
        <v>579</v>
      </c>
      <c r="I140" s="12">
        <v>2.7214999999999998</v>
      </c>
      <c r="J140" s="12">
        <v>2.7214999999999998</v>
      </c>
      <c r="K140" s="12">
        <v>0.75</v>
      </c>
      <c r="L140" s="12">
        <v>6.1215000000000002E-3</v>
      </c>
      <c r="M140" s="63">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1036</v>
      </c>
      <c r="I141" s="12">
        <v>2.2999999999999998</v>
      </c>
      <c r="J141" s="12"/>
      <c r="K141" s="12"/>
      <c r="L141" s="12"/>
      <c r="M141" s="63"/>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1037</v>
      </c>
      <c r="I142" s="12" t="s">
        <v>837</v>
      </c>
      <c r="J142" s="12">
        <f>(17.3+21.32)/2/4</f>
        <v>4.8275000000000006</v>
      </c>
      <c r="K142" s="12">
        <v>1</v>
      </c>
      <c r="L142" s="12" t="s">
        <v>838</v>
      </c>
      <c r="M142" s="63">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903</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1041</v>
      </c>
      <c r="I143" s="12">
        <v>3.3</v>
      </c>
      <c r="J143" s="12">
        <v>3.3</v>
      </c>
      <c r="K143" s="12"/>
      <c r="L143" s="12"/>
      <c r="M143" s="63"/>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1040</v>
      </c>
      <c r="I144" s="12">
        <v>0.1</v>
      </c>
      <c r="J144" s="12">
        <v>0.1</v>
      </c>
      <c r="K144" s="12"/>
      <c r="L144" s="12"/>
      <c r="M144" s="63"/>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1040</v>
      </c>
      <c r="I145" s="12">
        <v>2.7</v>
      </c>
      <c r="J145" s="12">
        <v>2.7</v>
      </c>
      <c r="K145" s="12"/>
      <c r="L145" s="12"/>
      <c r="M145" s="63"/>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1038</v>
      </c>
      <c r="I146" s="12">
        <v>0.2</v>
      </c>
      <c r="J146" s="12">
        <v>0.2</v>
      </c>
      <c r="K146" s="12"/>
      <c r="L146" s="12"/>
      <c r="M146" s="63"/>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1040</v>
      </c>
      <c r="I147" s="12">
        <v>9.5</v>
      </c>
      <c r="J147" s="12">
        <v>9.5</v>
      </c>
      <c r="K147" s="12"/>
      <c r="L147" s="12"/>
      <c r="M147" s="63"/>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1038</v>
      </c>
      <c r="I148" s="12">
        <v>0.1</v>
      </c>
      <c r="J148" s="12">
        <v>0.01</v>
      </c>
      <c r="K148" s="12"/>
      <c r="L148" s="12"/>
      <c r="M148" s="63"/>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1038</v>
      </c>
      <c r="I149" s="12">
        <v>23.6</v>
      </c>
      <c r="J149" s="12">
        <v>23.6</v>
      </c>
      <c r="K149" s="12"/>
      <c r="L149" s="12"/>
      <c r="M149" s="63"/>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1041</v>
      </c>
      <c r="I150" s="12">
        <v>0.1</v>
      </c>
      <c r="J150" s="12">
        <v>0.01</v>
      </c>
      <c r="K150" s="12"/>
      <c r="L150" s="12"/>
      <c r="M150" s="63"/>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1038</v>
      </c>
      <c r="I151" s="12">
        <v>0.1</v>
      </c>
      <c r="J151" s="12">
        <v>0.01</v>
      </c>
      <c r="K151" s="12"/>
      <c r="L151" s="12"/>
      <c r="M151" s="63"/>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1043</v>
      </c>
      <c r="I152" s="12">
        <v>2</v>
      </c>
      <c r="J152" s="12">
        <v>2</v>
      </c>
      <c r="K152" s="12"/>
      <c r="L152" s="12"/>
      <c r="M152" s="63"/>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1040</v>
      </c>
      <c r="I153" s="12">
        <v>0.91</v>
      </c>
      <c r="J153" s="12">
        <v>0.91</v>
      </c>
      <c r="K153" s="12"/>
      <c r="L153" s="12"/>
      <c r="M153" s="63"/>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1041</v>
      </c>
      <c r="I154" s="12">
        <v>6.8</v>
      </c>
      <c r="J154" s="12">
        <v>6.8</v>
      </c>
      <c r="K154" s="12"/>
      <c r="L154" s="12"/>
      <c r="M154" s="63"/>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1040</v>
      </c>
      <c r="I155" s="12">
        <v>0.2</v>
      </c>
      <c r="J155" s="12">
        <v>0.2</v>
      </c>
      <c r="K155" s="12"/>
      <c r="L155" s="12"/>
      <c r="M155" s="63"/>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1040</v>
      </c>
      <c r="I156" s="12">
        <v>0.91</v>
      </c>
      <c r="J156" s="12">
        <v>0.91</v>
      </c>
      <c r="K156" s="12"/>
      <c r="L156" s="12"/>
      <c r="M156" s="63"/>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1040</v>
      </c>
      <c r="I157" s="12">
        <v>0.2</v>
      </c>
      <c r="J157" s="12">
        <v>0.2</v>
      </c>
      <c r="K157" s="12"/>
      <c r="L157" s="12"/>
      <c r="M157" s="63"/>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1043</v>
      </c>
      <c r="I158" s="12">
        <v>2.09</v>
      </c>
      <c r="J158" s="12">
        <v>2.09</v>
      </c>
      <c r="K158" s="12"/>
      <c r="L158" s="12"/>
      <c r="M158" s="63"/>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1038</v>
      </c>
      <c r="I159" s="12">
        <v>1</v>
      </c>
      <c r="J159" s="12">
        <v>1</v>
      </c>
      <c r="K159" s="12"/>
      <c r="L159" s="12"/>
      <c r="M159" s="63"/>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1040</v>
      </c>
      <c r="I160" s="12">
        <v>5.9</v>
      </c>
      <c r="J160" s="12">
        <v>5.9</v>
      </c>
      <c r="K160" s="12"/>
      <c r="L160" s="12"/>
      <c r="M160" s="63"/>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1038</v>
      </c>
      <c r="I161" s="12">
        <v>3.3</v>
      </c>
      <c r="J161" s="12">
        <v>3.3</v>
      </c>
      <c r="K161" s="12"/>
      <c r="L161" s="12"/>
      <c r="M161" s="63"/>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1038</v>
      </c>
      <c r="I162" s="12">
        <v>0.2</v>
      </c>
      <c r="J162" s="12">
        <v>0.2</v>
      </c>
      <c r="K162" s="12"/>
      <c r="L162" s="12"/>
      <c r="M162" s="63"/>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1040</v>
      </c>
      <c r="I163" s="12">
        <v>0.6</v>
      </c>
      <c r="J163" s="12">
        <v>0.6</v>
      </c>
      <c r="K163" s="12"/>
      <c r="L163" s="12"/>
      <c r="M163" s="63"/>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1040</v>
      </c>
      <c r="I164" s="12">
        <v>1.36</v>
      </c>
      <c r="J164" s="12">
        <v>1.36</v>
      </c>
      <c r="K164" s="12"/>
      <c r="L164" s="12"/>
      <c r="M164" s="63"/>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1038</v>
      </c>
      <c r="I165" s="12">
        <v>0.2</v>
      </c>
      <c r="J165" s="12">
        <v>0.2</v>
      </c>
      <c r="K165" s="12"/>
      <c r="L165" s="12"/>
      <c r="M165" s="63"/>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1038</v>
      </c>
      <c r="I166" s="12">
        <v>0.1</v>
      </c>
      <c r="J166" s="12">
        <v>0.1</v>
      </c>
      <c r="K166" s="12"/>
      <c r="L166" s="12"/>
      <c r="M166" s="63"/>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1040</v>
      </c>
      <c r="I167" s="12">
        <v>2.09</v>
      </c>
      <c r="J167" s="12">
        <v>2.09</v>
      </c>
      <c r="K167" s="12"/>
      <c r="L167" s="12"/>
      <c r="M167" s="63"/>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1040</v>
      </c>
      <c r="I168" s="12">
        <v>2</v>
      </c>
      <c r="J168" s="12">
        <v>2</v>
      </c>
      <c r="K168" s="12"/>
      <c r="L168" s="12"/>
      <c r="M168" s="63"/>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1042</v>
      </c>
      <c r="I169" s="12">
        <v>0.23</v>
      </c>
      <c r="J169" s="12">
        <v>0.23</v>
      </c>
      <c r="K169" s="12"/>
      <c r="L169" s="12"/>
      <c r="M169" s="63"/>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1040</v>
      </c>
      <c r="I170" s="12">
        <v>0.45</v>
      </c>
      <c r="J170" s="12">
        <v>0.45</v>
      </c>
      <c r="K170" s="12"/>
      <c r="L170" s="12"/>
      <c r="M170" s="63"/>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1038</v>
      </c>
      <c r="I171" s="12">
        <v>1.36</v>
      </c>
      <c r="J171" s="12">
        <v>1.36</v>
      </c>
      <c r="K171" s="12"/>
      <c r="L171" s="12"/>
      <c r="M171" s="63"/>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1040</v>
      </c>
      <c r="I172" s="12">
        <v>0.91</v>
      </c>
      <c r="J172" s="12">
        <v>0.91</v>
      </c>
      <c r="K172" s="12"/>
      <c r="L172" s="12"/>
      <c r="M172" s="63"/>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1040</v>
      </c>
      <c r="I173" s="12">
        <v>1.36</v>
      </c>
      <c r="J173" s="12">
        <v>1.36</v>
      </c>
      <c r="K173" s="12"/>
      <c r="L173" s="12"/>
      <c r="M173" s="63"/>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1042</v>
      </c>
      <c r="I174" s="12">
        <v>0.2</v>
      </c>
      <c r="J174" s="12">
        <v>0.2</v>
      </c>
      <c r="K174" s="12"/>
      <c r="L174" s="12"/>
      <c r="M174" s="63"/>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3"/>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1052</v>
      </c>
      <c r="I176" s="12">
        <v>5.6</v>
      </c>
      <c r="J176" s="12">
        <v>5.6</v>
      </c>
      <c r="K176" s="12"/>
      <c r="L176" s="12"/>
      <c r="M176" s="63"/>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3"/>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3"/>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3"/>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3"/>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1212</v>
      </c>
      <c r="B181" s="4"/>
      <c r="C181" s="4" t="s">
        <v>22</v>
      </c>
      <c r="D181" s="4" t="s">
        <v>33</v>
      </c>
      <c r="E181" s="5" t="s">
        <v>34</v>
      </c>
      <c r="F181" s="4"/>
      <c r="G181" s="4" t="s">
        <v>26</v>
      </c>
      <c r="H181" s="4" t="s">
        <v>615</v>
      </c>
      <c r="I181" s="12">
        <v>2.7</v>
      </c>
      <c r="J181" s="12">
        <v>2.7</v>
      </c>
      <c r="K181" s="12"/>
      <c r="L181" s="12"/>
      <c r="M181" s="63"/>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3"/>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1211</v>
      </c>
      <c r="B183" s="4"/>
      <c r="C183" s="4" t="s">
        <v>22</v>
      </c>
      <c r="D183" s="4" t="s">
        <v>33</v>
      </c>
      <c r="E183" s="5" t="s">
        <v>34</v>
      </c>
      <c r="F183" s="4" t="s">
        <v>612</v>
      </c>
      <c r="G183" s="4" t="s">
        <v>26</v>
      </c>
      <c r="H183" s="4" t="s">
        <v>615</v>
      </c>
      <c r="I183" s="12">
        <v>3</v>
      </c>
      <c r="J183" s="12">
        <v>3</v>
      </c>
      <c r="K183" s="12"/>
      <c r="L183" s="12"/>
      <c r="M183" s="63"/>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3"/>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1052</v>
      </c>
      <c r="I185" s="12"/>
      <c r="J185" s="12"/>
      <c r="K185" s="12"/>
      <c r="L185" s="12"/>
      <c r="M185" s="63"/>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3"/>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3"/>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3"/>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1207</v>
      </c>
      <c r="B189" s="16"/>
      <c r="C189" s="4" t="s">
        <v>22</v>
      </c>
      <c r="D189" s="4" t="s">
        <v>33</v>
      </c>
      <c r="E189" s="5" t="s">
        <v>34</v>
      </c>
      <c r="F189" s="4"/>
      <c r="G189" s="4" t="s">
        <v>26</v>
      </c>
      <c r="H189" s="4" t="s">
        <v>1206</v>
      </c>
      <c r="I189" s="12"/>
      <c r="J189" s="12">
        <v>70.399999999999991</v>
      </c>
      <c r="K189" s="12"/>
      <c r="L189" s="12"/>
      <c r="M189" s="63"/>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1038</v>
      </c>
      <c r="I190" s="12"/>
      <c r="J190" s="12"/>
      <c r="K190" s="12"/>
      <c r="L190" s="12"/>
      <c r="M190" s="63"/>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1039</v>
      </c>
      <c r="I191" s="12"/>
      <c r="J191" s="12"/>
      <c r="K191" s="12"/>
      <c r="L191" s="12"/>
      <c r="M191" s="63"/>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1038</v>
      </c>
      <c r="I192" s="12"/>
      <c r="J192" s="12"/>
      <c r="K192" s="12"/>
      <c r="L192" s="12"/>
      <c r="M192" s="63"/>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1040</v>
      </c>
      <c r="I193" s="12"/>
      <c r="J193" s="12"/>
      <c r="K193" s="12"/>
      <c r="L193" s="12"/>
      <c r="M193" s="63"/>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1040</v>
      </c>
      <c r="I194" s="12"/>
      <c r="J194" s="12"/>
      <c r="K194" s="12"/>
      <c r="L194" s="12"/>
      <c r="M194" s="63"/>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903</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1040</v>
      </c>
      <c r="I195" s="12"/>
      <c r="J195" s="12"/>
      <c r="K195" s="12"/>
      <c r="L195" s="12"/>
      <c r="M195" s="63"/>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1040</v>
      </c>
      <c r="I196" s="12"/>
      <c r="J196" s="12"/>
      <c r="K196" s="12"/>
      <c r="L196" s="12"/>
      <c r="M196" s="63"/>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1040</v>
      </c>
      <c r="I197" s="12"/>
      <c r="J197" s="12"/>
      <c r="K197" s="12"/>
      <c r="L197" s="12"/>
      <c r="M197" s="63"/>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1041</v>
      </c>
      <c r="I198" s="12"/>
      <c r="J198" s="12"/>
      <c r="K198" s="12"/>
      <c r="L198" s="12"/>
      <c r="M198" s="63"/>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1042</v>
      </c>
      <c r="I199" s="12"/>
      <c r="J199" s="12"/>
      <c r="K199" s="12"/>
      <c r="L199" s="12"/>
      <c r="M199" s="63"/>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1040</v>
      </c>
      <c r="I200" s="12"/>
      <c r="J200" s="12"/>
      <c r="K200" s="12"/>
      <c r="L200" s="12"/>
      <c r="M200" s="63"/>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1043</v>
      </c>
      <c r="I201" s="12"/>
      <c r="J201" s="12"/>
      <c r="K201" s="12"/>
      <c r="L201" s="12"/>
      <c r="M201" s="63"/>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1039</v>
      </c>
      <c r="I202" s="12"/>
      <c r="J202" s="12"/>
      <c r="K202" s="12"/>
      <c r="L202" s="12"/>
      <c r="M202" s="63"/>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1038</v>
      </c>
      <c r="I203" s="12"/>
      <c r="J203" s="12"/>
      <c r="K203" s="12"/>
      <c r="L203" s="12"/>
      <c r="M203" s="63"/>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1044</v>
      </c>
      <c r="I204" s="12"/>
      <c r="J204" s="12"/>
      <c r="K204" s="12"/>
      <c r="L204" s="12"/>
      <c r="M204" s="63"/>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1040</v>
      </c>
      <c r="I205" s="12"/>
      <c r="J205" s="12"/>
      <c r="K205" s="12"/>
      <c r="L205" s="12"/>
      <c r="M205" s="63"/>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1044</v>
      </c>
      <c r="I206" s="12"/>
      <c r="J206" s="12"/>
      <c r="K206" s="12"/>
      <c r="L206" s="12"/>
      <c r="M206" s="63"/>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1053</v>
      </c>
      <c r="I207" s="12"/>
      <c r="J207" s="12"/>
      <c r="K207" s="12"/>
      <c r="L207" s="12"/>
      <c r="M207" s="63"/>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1046</v>
      </c>
      <c r="I208" s="12"/>
      <c r="J208" s="12"/>
      <c r="K208" s="12"/>
      <c r="L208" s="12"/>
      <c r="M208" s="63"/>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1053</v>
      </c>
      <c r="I209" s="12">
        <v>0.2</v>
      </c>
      <c r="J209" s="12">
        <v>0.2</v>
      </c>
      <c r="K209" s="12"/>
      <c r="L209" s="12"/>
      <c r="M209" s="63"/>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1053</v>
      </c>
      <c r="I210" s="12">
        <v>27</v>
      </c>
      <c r="J210" s="12">
        <v>27</v>
      </c>
      <c r="K210" s="12"/>
      <c r="L210" s="12"/>
      <c r="M210" s="63"/>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1053</v>
      </c>
      <c r="I211" s="12">
        <v>11.99</v>
      </c>
      <c r="J211" s="12">
        <v>11.99</v>
      </c>
      <c r="K211" s="12"/>
      <c r="L211" s="12"/>
      <c r="M211" s="63"/>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1053</v>
      </c>
      <c r="I212" s="12"/>
      <c r="J212" s="12"/>
      <c r="K212" s="12"/>
      <c r="L212" s="12"/>
      <c r="M212" s="63"/>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1046</v>
      </c>
      <c r="I213" s="12"/>
      <c r="J213" s="12"/>
      <c r="K213" s="12"/>
      <c r="L213" s="12"/>
      <c r="M213" s="63"/>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1047</v>
      </c>
      <c r="I214" s="12">
        <v>0.2</v>
      </c>
      <c r="J214" s="12">
        <v>0.2</v>
      </c>
      <c r="K214" s="12"/>
      <c r="L214" s="12"/>
      <c r="M214" s="63"/>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1048</v>
      </c>
      <c r="I215" s="12">
        <v>49.71</v>
      </c>
      <c r="J215" s="12">
        <v>49.71</v>
      </c>
      <c r="K215" s="12"/>
      <c r="L215" s="12"/>
      <c r="M215" s="63"/>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1053</v>
      </c>
      <c r="I216" s="12"/>
      <c r="J216" s="12"/>
      <c r="K216" s="12"/>
      <c r="L216" s="12"/>
      <c r="M216" s="63"/>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1046</v>
      </c>
      <c r="I217" s="12">
        <v>0.2</v>
      </c>
      <c r="J217" s="12">
        <v>0.2</v>
      </c>
      <c r="K217" s="12"/>
      <c r="L217" s="12"/>
      <c r="M217" s="63"/>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1053</v>
      </c>
      <c r="I218" s="12"/>
      <c r="J218" s="12"/>
      <c r="K218" s="12"/>
      <c r="L218" s="12"/>
      <c r="M218" s="63"/>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1049</v>
      </c>
      <c r="I219" s="12">
        <v>0.2</v>
      </c>
      <c r="J219" s="12">
        <v>0.2</v>
      </c>
      <c r="K219" s="12"/>
      <c r="L219" s="12"/>
      <c r="M219" s="63"/>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1053</v>
      </c>
      <c r="I220" s="12"/>
      <c r="J220" s="12"/>
      <c r="K220" s="12"/>
      <c r="L220" s="12"/>
      <c r="M220" s="63"/>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1050</v>
      </c>
      <c r="I221" s="12">
        <v>0.2</v>
      </c>
      <c r="J221" s="12">
        <v>0.2</v>
      </c>
      <c r="K221" s="12"/>
      <c r="L221" s="12"/>
      <c r="M221" s="63"/>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1046</v>
      </c>
      <c r="I222" s="12">
        <v>1.01</v>
      </c>
      <c r="J222" s="12">
        <v>1.01</v>
      </c>
      <c r="K222" s="12"/>
      <c r="L222" s="12"/>
      <c r="M222" s="63"/>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1047</v>
      </c>
      <c r="I223" s="12">
        <v>1.01</v>
      </c>
      <c r="J223" s="12">
        <v>1.01</v>
      </c>
      <c r="K223" s="12"/>
      <c r="L223" s="12"/>
      <c r="M223" s="63"/>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1048</v>
      </c>
      <c r="I224" s="12">
        <v>1.01</v>
      </c>
      <c r="J224" s="12">
        <v>1.01</v>
      </c>
      <c r="K224" s="12"/>
      <c r="L224" s="12"/>
      <c r="M224" s="63"/>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1204</v>
      </c>
      <c r="B225" s="16"/>
      <c r="C225" s="4" t="s">
        <v>22</v>
      </c>
      <c r="D225" s="4" t="s">
        <v>116</v>
      </c>
      <c r="E225" s="5" t="s">
        <v>34</v>
      </c>
      <c r="F225" s="4"/>
      <c r="G225" s="4" t="s">
        <v>26</v>
      </c>
      <c r="H225" s="4" t="s">
        <v>1205</v>
      </c>
      <c r="I225" s="12"/>
      <c r="J225" s="12">
        <v>92.73</v>
      </c>
      <c r="K225" s="12"/>
      <c r="L225" s="12"/>
      <c r="M225" s="63"/>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1051</v>
      </c>
      <c r="I226" s="12"/>
      <c r="J226" s="12"/>
      <c r="K226" s="12"/>
      <c r="L226" s="12"/>
      <c r="M226" s="63"/>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1051</v>
      </c>
      <c r="I227" s="12"/>
      <c r="J227" s="12"/>
      <c r="K227" s="12"/>
      <c r="L227" s="12"/>
      <c r="M227" s="63"/>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1051</v>
      </c>
      <c r="I228" s="12"/>
      <c r="J228" s="12"/>
      <c r="K228" s="12"/>
      <c r="L228" s="12"/>
      <c r="M228" s="63"/>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1051</v>
      </c>
      <c r="I229" s="12"/>
      <c r="J229" s="12"/>
      <c r="K229" s="12"/>
      <c r="L229" s="12"/>
      <c r="M229" s="63"/>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1051</v>
      </c>
      <c r="I230" s="12"/>
      <c r="J230" s="12"/>
      <c r="K230" s="12"/>
      <c r="L230" s="12"/>
      <c r="M230" s="63"/>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1054</v>
      </c>
      <c r="I231" s="12"/>
      <c r="J231" s="12"/>
      <c r="K231" s="12"/>
      <c r="L231" s="12"/>
      <c r="M231" s="63"/>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3"/>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1051</v>
      </c>
      <c r="I233" s="12"/>
      <c r="J233" s="12"/>
      <c r="K233" s="12"/>
      <c r="L233" s="12"/>
      <c r="M233" s="63"/>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3"/>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1051</v>
      </c>
      <c r="I235" s="12"/>
      <c r="J235" s="12"/>
      <c r="K235" s="12"/>
      <c r="L235" s="12"/>
      <c r="M235" s="63"/>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3"/>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3"/>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3"/>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3"/>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1055</v>
      </c>
      <c r="I240" s="12"/>
      <c r="J240" s="12"/>
      <c r="K240" s="12"/>
      <c r="L240" s="12"/>
      <c r="M240" s="63"/>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1055</v>
      </c>
      <c r="I241" s="12"/>
      <c r="J241" s="12"/>
      <c r="K241" s="12"/>
      <c r="L241" s="12"/>
      <c r="M241" s="63"/>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3"/>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3"/>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3"/>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3"/>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3"/>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1055</v>
      </c>
      <c r="I247" s="12"/>
      <c r="J247" s="12"/>
      <c r="K247" s="12"/>
      <c r="L247" s="12"/>
      <c r="M247" s="63"/>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3"/>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3"/>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3"/>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1055</v>
      </c>
      <c r="I251" s="12"/>
      <c r="J251" s="12"/>
      <c r="K251" s="12"/>
      <c r="L251" s="12"/>
      <c r="M251" s="63"/>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3"/>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3"/>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3"/>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1051</v>
      </c>
      <c r="I255" s="12"/>
      <c r="J255" s="12"/>
      <c r="K255" s="12"/>
      <c r="L255" s="12"/>
      <c r="M255" s="63"/>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3"/>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3"/>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1051</v>
      </c>
      <c r="I258" s="12"/>
      <c r="J258" s="12"/>
      <c r="K258" s="12"/>
      <c r="L258" s="12"/>
      <c r="M258" s="63"/>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1051</v>
      </c>
      <c r="I259" s="12"/>
      <c r="J259" s="12"/>
      <c r="K259" s="12"/>
      <c r="L259" s="12"/>
      <c r="M259" s="63"/>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1051</v>
      </c>
      <c r="I260" s="12"/>
      <c r="J260" s="12"/>
      <c r="K260" s="12"/>
      <c r="L260" s="12"/>
      <c r="M260" s="63"/>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3"/>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3"/>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3"/>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1051</v>
      </c>
      <c r="I264" s="12"/>
      <c r="J264" s="12"/>
      <c r="K264" s="12"/>
      <c r="L264" s="12"/>
      <c r="M264" s="63"/>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3"/>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1051</v>
      </c>
      <c r="I266" s="12"/>
      <c r="J266" s="12"/>
      <c r="K266" s="12"/>
      <c r="L266" s="12"/>
      <c r="M266" s="63"/>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3"/>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1051</v>
      </c>
      <c r="I268" s="12"/>
      <c r="J268" s="12"/>
      <c r="K268" s="12"/>
      <c r="L268" s="12"/>
      <c r="M268" s="63"/>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3"/>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1051</v>
      </c>
      <c r="I270" s="12"/>
      <c r="J270" s="12"/>
      <c r="K270" s="12"/>
      <c r="L270" s="12"/>
      <c r="M270" s="63"/>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1051</v>
      </c>
      <c r="I271" s="12"/>
      <c r="J271" s="12"/>
      <c r="K271" s="12"/>
      <c r="L271" s="12"/>
      <c r="M271" s="63"/>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1051</v>
      </c>
      <c r="I272" s="12"/>
      <c r="J272" s="12"/>
      <c r="K272" s="12"/>
      <c r="L272" s="12"/>
      <c r="M272" s="63"/>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1051</v>
      </c>
      <c r="I273" s="12"/>
      <c r="J273" s="12"/>
      <c r="K273" s="12"/>
      <c r="L273" s="12"/>
      <c r="M273" s="63"/>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1051</v>
      </c>
      <c r="I274" s="12"/>
      <c r="J274" s="12"/>
      <c r="K274" s="12"/>
      <c r="L274" s="12"/>
      <c r="M274" s="63"/>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1051</v>
      </c>
      <c r="I275" s="12"/>
      <c r="J275" s="12"/>
      <c r="K275" s="12"/>
      <c r="L275" s="12"/>
      <c r="M275" s="63"/>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3"/>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3"/>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1051</v>
      </c>
      <c r="I278" s="12"/>
      <c r="J278" s="12"/>
      <c r="K278" s="12"/>
      <c r="L278" s="12"/>
      <c r="M278" s="63"/>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1051</v>
      </c>
      <c r="I279" s="12"/>
      <c r="J279" s="12"/>
      <c r="K279" s="12"/>
      <c r="L279" s="12"/>
      <c r="M279" s="63"/>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1051</v>
      </c>
      <c r="I280" s="12"/>
      <c r="J280" s="12"/>
      <c r="K280" s="12"/>
      <c r="L280" s="12"/>
      <c r="M280" s="63"/>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3"/>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3"/>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3"/>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1051</v>
      </c>
      <c r="I284" s="12"/>
      <c r="J284" s="12"/>
      <c r="K284" s="12"/>
      <c r="L284" s="12"/>
      <c r="M284" s="63"/>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3"/>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1051</v>
      </c>
      <c r="I286" s="12"/>
      <c r="J286" s="12"/>
      <c r="K286" s="12"/>
      <c r="L286" s="12"/>
      <c r="M286" s="63"/>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1051</v>
      </c>
      <c r="I287" s="12"/>
      <c r="J287" s="12"/>
      <c r="K287" s="12"/>
      <c r="L287" s="12"/>
      <c r="M287" s="63"/>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1051</v>
      </c>
      <c r="I288" s="12"/>
      <c r="J288" s="12"/>
      <c r="K288" s="12"/>
      <c r="L288" s="12"/>
      <c r="M288" s="63"/>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1051</v>
      </c>
      <c r="I289" s="12"/>
      <c r="J289" s="12"/>
      <c r="K289" s="12"/>
      <c r="L289" s="12"/>
      <c r="M289" s="63"/>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1051</v>
      </c>
      <c r="I290" s="12"/>
      <c r="J290" s="12"/>
      <c r="K290" s="12"/>
      <c r="L290" s="12"/>
      <c r="M290" s="63"/>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3"/>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3"/>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1051</v>
      </c>
      <c r="I293" s="12"/>
      <c r="J293" s="12"/>
      <c r="K293" s="12"/>
      <c r="L293" s="12"/>
      <c r="M293" s="63"/>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1051</v>
      </c>
      <c r="I294" s="12"/>
      <c r="J294" s="12"/>
      <c r="K294" s="12"/>
      <c r="L294" s="12"/>
      <c r="M294" s="63"/>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1051</v>
      </c>
      <c r="I295" s="12"/>
      <c r="J295" s="12"/>
      <c r="K295" s="12"/>
      <c r="L295" s="12"/>
      <c r="M295" s="63"/>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2" t="s">
        <v>620</v>
      </c>
      <c r="B296" s="312"/>
      <c r="C296" s="4" t="s">
        <v>22</v>
      </c>
      <c r="D296" s="4" t="s">
        <v>33</v>
      </c>
      <c r="E296" s="5" t="s">
        <v>34</v>
      </c>
      <c r="F296" s="4" t="s">
        <v>667</v>
      </c>
      <c r="G296" s="4" t="s">
        <v>26</v>
      </c>
      <c r="H296" s="4" t="s">
        <v>1051</v>
      </c>
      <c r="I296" s="12"/>
      <c r="J296" s="12"/>
      <c r="K296" s="12"/>
      <c r="L296" s="12"/>
      <c r="M296" s="63"/>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3"/>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2" t="s">
        <v>600</v>
      </c>
      <c r="B298" s="312"/>
      <c r="C298" s="4" t="s">
        <v>22</v>
      </c>
      <c r="D298" s="4" t="s">
        <v>33</v>
      </c>
      <c r="E298" s="5" t="s">
        <v>34</v>
      </c>
      <c r="F298" s="4" t="s">
        <v>667</v>
      </c>
      <c r="G298" s="4" t="s">
        <v>26</v>
      </c>
      <c r="H298" s="4" t="s">
        <v>635</v>
      </c>
      <c r="I298" s="12"/>
      <c r="J298" s="12"/>
      <c r="K298" s="12"/>
      <c r="L298" s="12"/>
      <c r="M298" s="63"/>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1051</v>
      </c>
      <c r="I299" s="12"/>
      <c r="J299" s="12"/>
      <c r="K299" s="12"/>
      <c r="L299" s="12"/>
      <c r="M299" s="63"/>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2" t="s">
        <v>629</v>
      </c>
      <c r="B300" s="312"/>
      <c r="C300" s="4" t="s">
        <v>22</v>
      </c>
      <c r="D300" s="4" t="s">
        <v>33</v>
      </c>
      <c r="E300" s="5" t="s">
        <v>34</v>
      </c>
      <c r="F300" s="4" t="s">
        <v>667</v>
      </c>
      <c r="G300" s="4" t="s">
        <v>26</v>
      </c>
      <c r="H300" s="4" t="s">
        <v>637</v>
      </c>
      <c r="I300" s="12"/>
      <c r="J300" s="12"/>
      <c r="K300" s="12"/>
      <c r="L300" s="12"/>
      <c r="M300" s="63"/>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3"/>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2" t="s">
        <v>603</v>
      </c>
      <c r="B302" s="312"/>
      <c r="C302" s="4" t="s">
        <v>22</v>
      </c>
      <c r="D302" s="4" t="s">
        <v>33</v>
      </c>
      <c r="E302" s="5" t="s">
        <v>34</v>
      </c>
      <c r="F302" s="4" t="s">
        <v>667</v>
      </c>
      <c r="G302" s="4" t="s">
        <v>26</v>
      </c>
      <c r="H302" s="4" t="s">
        <v>1051</v>
      </c>
      <c r="I302" s="12"/>
      <c r="J302" s="12"/>
      <c r="K302" s="12"/>
      <c r="L302" s="12"/>
      <c r="M302" s="63"/>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3"/>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2" t="s">
        <v>587</v>
      </c>
      <c r="B304" s="312"/>
      <c r="C304" s="4" t="s">
        <v>22</v>
      </c>
      <c r="D304" s="4" t="s">
        <v>33</v>
      </c>
      <c r="E304" s="5" t="s">
        <v>34</v>
      </c>
      <c r="F304" s="4" t="s">
        <v>667</v>
      </c>
      <c r="G304" s="4" t="s">
        <v>26</v>
      </c>
      <c r="H304" s="4" t="s">
        <v>1051</v>
      </c>
      <c r="I304" s="12"/>
      <c r="J304" s="12"/>
      <c r="K304" s="12"/>
      <c r="L304" s="12"/>
      <c r="M304" s="63"/>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1" t="s">
        <v>1056</v>
      </c>
      <c r="I305" s="12">
        <v>5.5</v>
      </c>
      <c r="J305" s="12">
        <v>5.5</v>
      </c>
      <c r="K305" s="12"/>
      <c r="L305" s="12">
        <v>1.0937499999999999E-2</v>
      </c>
      <c r="M305" s="63">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3"/>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3"/>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3"/>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1051</v>
      </c>
      <c r="I309" s="12"/>
      <c r="J309" s="12"/>
      <c r="K309" s="12"/>
      <c r="L309" s="12"/>
      <c r="M309" s="63"/>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3"/>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3"/>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1051</v>
      </c>
      <c r="I312" s="12"/>
      <c r="J312" s="12"/>
      <c r="K312" s="12"/>
      <c r="L312" s="12"/>
      <c r="M312" s="63"/>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1051</v>
      </c>
      <c r="I313" s="12"/>
      <c r="J313" s="12"/>
      <c r="K313" s="12"/>
      <c r="L313" s="12"/>
      <c r="M313" s="63"/>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3"/>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3"/>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1051</v>
      </c>
      <c r="I316" s="12"/>
      <c r="J316" s="12"/>
      <c r="K316" s="12"/>
      <c r="L316" s="12"/>
      <c r="M316" s="63"/>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3"/>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3"/>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3"/>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3"/>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3"/>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1051</v>
      </c>
      <c r="I322" s="12"/>
      <c r="J322" s="12"/>
      <c r="K322" s="12"/>
      <c r="L322" s="12"/>
      <c r="M322" s="63"/>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3"/>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3"/>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3"/>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1" t="s">
        <v>1057</v>
      </c>
      <c r="I326" s="12">
        <v>154</v>
      </c>
      <c r="J326" s="12">
        <v>154</v>
      </c>
      <c r="K326" s="12"/>
      <c r="L326" s="12">
        <v>0.8</v>
      </c>
      <c r="M326" s="63">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877</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1051</v>
      </c>
      <c r="I327" s="12"/>
      <c r="J327" s="12"/>
      <c r="K327" s="12"/>
      <c r="L327" s="12"/>
      <c r="M327" s="63"/>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1051</v>
      </c>
      <c r="I328" s="12"/>
      <c r="J328" s="12"/>
      <c r="K328" s="12"/>
      <c r="L328" s="12"/>
      <c r="M328" s="63"/>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3"/>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1051</v>
      </c>
      <c r="I330" s="12"/>
      <c r="J330" s="12"/>
      <c r="K330" s="12"/>
      <c r="L330" s="12"/>
      <c r="M330" s="63"/>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3"/>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3"/>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3"/>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3"/>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3"/>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1051</v>
      </c>
      <c r="I336" s="12"/>
      <c r="J336" s="12"/>
      <c r="K336" s="12"/>
      <c r="L336" s="12"/>
      <c r="M336" s="63"/>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3"/>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3"/>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3"/>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1058</v>
      </c>
      <c r="B340" s="4"/>
      <c r="C340" s="4" t="s">
        <v>528</v>
      </c>
      <c r="D340" s="4" t="s">
        <v>23</v>
      </c>
      <c r="E340" s="5" t="s">
        <v>34</v>
      </c>
      <c r="F340" s="4"/>
      <c r="G340" s="4" t="s">
        <v>26</v>
      </c>
      <c r="H340" s="61" t="s">
        <v>1059</v>
      </c>
      <c r="I340" s="12" t="s">
        <v>839</v>
      </c>
      <c r="J340" s="12">
        <v>163.19999999999999</v>
      </c>
      <c r="K340" s="12"/>
      <c r="L340" s="12" t="s">
        <v>840</v>
      </c>
      <c r="M340" s="63">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1" t="s">
        <v>1060</v>
      </c>
      <c r="I341" s="12"/>
      <c r="J341" s="12"/>
      <c r="K341" s="12"/>
      <c r="L341" s="12"/>
      <c r="M341" s="63"/>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1061</v>
      </c>
      <c r="I342" s="12"/>
      <c r="J342" s="12"/>
      <c r="K342" s="12"/>
      <c r="L342" s="12"/>
      <c r="M342" s="63"/>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1490</v>
      </c>
      <c r="C343" s="4" t="s">
        <v>22</v>
      </c>
      <c r="D343" s="4" t="s">
        <v>33</v>
      </c>
      <c r="E343" s="5" t="s">
        <v>34</v>
      </c>
      <c r="F343" s="4"/>
      <c r="G343" s="4" t="s">
        <v>35</v>
      </c>
      <c r="H343" s="61" t="s">
        <v>689</v>
      </c>
      <c r="I343" s="12" t="s">
        <v>1062</v>
      </c>
      <c r="J343" s="12">
        <v>80</v>
      </c>
      <c r="K343" s="12"/>
      <c r="L343" s="12" t="s">
        <v>1063</v>
      </c>
      <c r="M343" s="63">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02"/>
      <c r="AT343" s="10" t="s">
        <v>1079</v>
      </c>
      <c r="AU343" s="10"/>
      <c r="AV343" s="10"/>
      <c r="AW343" s="10"/>
      <c r="AX343" s="10"/>
      <c r="AY343" s="10"/>
      <c r="AZ343" s="10"/>
      <c r="BA343" s="10"/>
      <c r="BB343" s="10"/>
      <c r="BC343" s="10"/>
      <c r="BD343" s="10"/>
    </row>
    <row r="344" spans="1:56" ht="45" x14ac:dyDescent="0.25">
      <c r="A344" s="4" t="s">
        <v>692</v>
      </c>
      <c r="B344" s="4" t="s">
        <v>1491</v>
      </c>
      <c r="C344" s="29" t="s">
        <v>22</v>
      </c>
      <c r="D344" s="30" t="s">
        <v>33</v>
      </c>
      <c r="E344" s="31" t="s">
        <v>34</v>
      </c>
      <c r="F344" s="30"/>
      <c r="G344" s="30" t="s">
        <v>35</v>
      </c>
      <c r="H344" s="61" t="s">
        <v>1064</v>
      </c>
      <c r="I344" s="12" t="s">
        <v>759</v>
      </c>
      <c r="J344" s="12">
        <f>114.3/4*0.75</f>
        <v>21.431249999999999</v>
      </c>
      <c r="K344" s="12">
        <v>0.75</v>
      </c>
      <c r="L344" s="12" t="s">
        <v>760</v>
      </c>
      <c r="M344" s="63">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1079</v>
      </c>
      <c r="AU344" s="10"/>
      <c r="AV344" s="10"/>
      <c r="AW344" s="10"/>
      <c r="AX344" s="10"/>
      <c r="AY344" s="10"/>
      <c r="AZ344" s="10"/>
      <c r="BA344" s="10"/>
      <c r="BB344" s="10"/>
      <c r="BC344" s="10" t="s">
        <v>695</v>
      </c>
      <c r="BD344" s="10" t="s">
        <v>696</v>
      </c>
    </row>
    <row r="345" spans="1:56" ht="45" x14ac:dyDescent="0.25">
      <c r="A345" s="4" t="s">
        <v>699</v>
      </c>
      <c r="B345" s="4" t="s">
        <v>1492</v>
      </c>
      <c r="C345" s="23" t="s">
        <v>139</v>
      </c>
      <c r="D345" s="23" t="s">
        <v>23</v>
      </c>
      <c r="E345" s="24" t="s">
        <v>34</v>
      </c>
      <c r="F345" s="23"/>
      <c r="G345" s="23" t="s">
        <v>35</v>
      </c>
      <c r="H345" s="4" t="s">
        <v>1065</v>
      </c>
      <c r="I345" s="12">
        <v>50</v>
      </c>
      <c r="J345" s="12">
        <v>50</v>
      </c>
      <c r="K345" s="12"/>
      <c r="L345" s="12">
        <v>0.2</v>
      </c>
      <c r="M345" s="63">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6" t="s">
        <v>877</v>
      </c>
      <c r="AT345" s="10"/>
      <c r="AU345" s="10"/>
      <c r="AV345" s="10"/>
      <c r="AW345" s="10"/>
      <c r="AX345" s="10"/>
      <c r="AY345" s="10"/>
      <c r="AZ345" s="10"/>
      <c r="BA345" s="10"/>
      <c r="BB345" s="10"/>
      <c r="BC345" s="10"/>
      <c r="BD345" s="10"/>
    </row>
    <row r="346" spans="1:56" ht="30" x14ac:dyDescent="0.25">
      <c r="A346" s="4" t="s">
        <v>701</v>
      </c>
      <c r="B346" s="4" t="s">
        <v>1493</v>
      </c>
      <c r="C346" s="4" t="s">
        <v>46</v>
      </c>
      <c r="D346" s="4" t="s">
        <v>47</v>
      </c>
      <c r="E346" s="5" t="s">
        <v>34</v>
      </c>
      <c r="F346" s="4"/>
      <c r="G346" s="4" t="s">
        <v>35</v>
      </c>
      <c r="H346" s="4" t="s">
        <v>1066</v>
      </c>
      <c r="I346" s="12"/>
      <c r="J346" s="12"/>
      <c r="K346" s="12"/>
      <c r="L346" s="12"/>
      <c r="M346" s="63"/>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858</v>
      </c>
      <c r="AU346" s="10"/>
      <c r="AV346" s="10"/>
      <c r="AW346" s="10"/>
      <c r="AX346" s="10"/>
      <c r="AY346" s="10"/>
      <c r="AZ346" s="10"/>
      <c r="BA346" s="10"/>
      <c r="BB346" s="10"/>
      <c r="BC346" s="10"/>
      <c r="BD346" s="10"/>
    </row>
    <row r="347" spans="1:56" ht="45" x14ac:dyDescent="0.25">
      <c r="A347" s="4" t="s">
        <v>702</v>
      </c>
      <c r="B347" s="4" t="s">
        <v>1494</v>
      </c>
      <c r="C347" s="4" t="s">
        <v>46</v>
      </c>
      <c r="D347" s="4" t="s">
        <v>165</v>
      </c>
      <c r="E347" s="5" t="s">
        <v>34</v>
      </c>
      <c r="F347" s="4"/>
      <c r="G347" s="4" t="s">
        <v>35</v>
      </c>
      <c r="H347" s="4" t="s">
        <v>1067</v>
      </c>
      <c r="I347" s="12"/>
      <c r="J347" s="12"/>
      <c r="K347" s="12"/>
      <c r="L347" s="12"/>
      <c r="M347" s="63"/>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877</v>
      </c>
      <c r="AU347" s="10"/>
      <c r="AV347" s="10"/>
      <c r="AW347" s="10"/>
      <c r="AX347" s="10"/>
      <c r="AY347" s="10"/>
      <c r="AZ347" s="10"/>
      <c r="BA347" s="10"/>
      <c r="BB347" s="10"/>
      <c r="BC347" s="10"/>
      <c r="BD347" s="10"/>
    </row>
    <row r="348" spans="1:56" ht="120" x14ac:dyDescent="0.25">
      <c r="A348" s="4" t="s">
        <v>703</v>
      </c>
      <c r="B348" s="4" t="s">
        <v>1495</v>
      </c>
      <c r="C348" s="4" t="s">
        <v>46</v>
      </c>
      <c r="D348" s="4" t="s">
        <v>165</v>
      </c>
      <c r="E348" s="5" t="s">
        <v>24</v>
      </c>
      <c r="F348" s="4"/>
      <c r="G348" s="4" t="s">
        <v>35</v>
      </c>
      <c r="H348" s="61" t="s">
        <v>1068</v>
      </c>
      <c r="I348" s="12"/>
      <c r="J348" s="12"/>
      <c r="K348" s="12"/>
      <c r="L348" s="12"/>
      <c r="M348" s="63"/>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877</v>
      </c>
      <c r="AU348" s="10"/>
      <c r="AV348" s="10"/>
      <c r="AW348" s="10"/>
      <c r="AX348" s="10"/>
      <c r="AY348" s="10"/>
      <c r="AZ348" s="10"/>
      <c r="BA348" s="10"/>
      <c r="BB348" s="10"/>
      <c r="BC348" s="10"/>
      <c r="BD348" s="10"/>
    </row>
    <row r="349" spans="1:56" ht="30" x14ac:dyDescent="0.25">
      <c r="A349" s="4" t="s">
        <v>705</v>
      </c>
      <c r="B349" s="4" t="s">
        <v>1496</v>
      </c>
      <c r="C349" s="4" t="s">
        <v>139</v>
      </c>
      <c r="D349" s="4" t="s">
        <v>23</v>
      </c>
      <c r="E349" s="5" t="s">
        <v>34</v>
      </c>
      <c r="F349" s="4"/>
      <c r="G349" s="4" t="s">
        <v>35</v>
      </c>
      <c r="H349" s="4"/>
      <c r="I349" s="12"/>
      <c r="J349" s="12"/>
      <c r="K349" s="12"/>
      <c r="L349" s="12"/>
      <c r="M349" s="63"/>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1497</v>
      </c>
      <c r="C350" s="4" t="s">
        <v>22</v>
      </c>
      <c r="D350" s="4" t="s">
        <v>33</v>
      </c>
      <c r="E350" s="5" t="s">
        <v>34</v>
      </c>
      <c r="F350" s="4" t="s">
        <v>708</v>
      </c>
      <c r="G350" s="4" t="s">
        <v>35</v>
      </c>
      <c r="H350" s="61" t="s">
        <v>1069</v>
      </c>
      <c r="I350" s="12" t="s">
        <v>715</v>
      </c>
      <c r="J350" s="12"/>
      <c r="K350" s="12">
        <v>0.75</v>
      </c>
      <c r="L350" s="12" t="s">
        <v>716</v>
      </c>
      <c r="M350" s="63">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1079</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1070</v>
      </c>
      <c r="I351" s="13"/>
      <c r="J351" s="12">
        <f>technologies[[#This Row],[Mass
Literature]]</f>
        <v>0</v>
      </c>
      <c r="K351" s="12"/>
      <c r="L351" s="12"/>
      <c r="M351" s="63">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861</v>
      </c>
      <c r="AU351" s="10"/>
      <c r="AV351" s="10"/>
      <c r="AW351" s="10"/>
      <c r="AX351" s="10"/>
      <c r="AY351" s="10"/>
      <c r="AZ351" s="10"/>
      <c r="BA351" s="10"/>
      <c r="BB351" s="10"/>
      <c r="BC351" s="10"/>
      <c r="BD351" s="10"/>
    </row>
    <row r="352" spans="1:56" ht="45" x14ac:dyDescent="0.25">
      <c r="A352" s="4" t="s">
        <v>1178</v>
      </c>
      <c r="B352" s="4"/>
      <c r="C352" s="4" t="s">
        <v>70</v>
      </c>
      <c r="D352" s="4" t="s">
        <v>23</v>
      </c>
      <c r="E352" s="5" t="s">
        <v>24</v>
      </c>
      <c r="F352" s="6"/>
      <c r="G352" s="4" t="s">
        <v>35</v>
      </c>
      <c r="H352" s="4" t="s">
        <v>1179</v>
      </c>
      <c r="I352" s="7">
        <v>1.5</v>
      </c>
      <c r="J352" s="7">
        <v>1.5</v>
      </c>
      <c r="K352" s="7">
        <v>1</v>
      </c>
      <c r="L352" s="7">
        <v>2.8E-3</v>
      </c>
      <c r="M352" s="63">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1180</v>
      </c>
      <c r="B353" s="4"/>
      <c r="C353" s="4" t="s">
        <v>70</v>
      </c>
      <c r="D353" s="4" t="s">
        <v>23</v>
      </c>
      <c r="E353" s="5" t="s">
        <v>24</v>
      </c>
      <c r="F353" s="6"/>
      <c r="G353" s="4" t="s">
        <v>26</v>
      </c>
      <c r="H353" s="4" t="s">
        <v>1181</v>
      </c>
      <c r="I353" s="7">
        <v>6.8</v>
      </c>
      <c r="J353" s="7">
        <v>6.8</v>
      </c>
      <c r="K353" s="7">
        <v>1</v>
      </c>
      <c r="L353" s="7">
        <v>4.0500000000000001E-2</v>
      </c>
      <c r="M353" s="63">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1516</v>
      </c>
      <c r="B354" s="4" t="s">
        <v>1515</v>
      </c>
      <c r="C354" s="4" t="s">
        <v>22</v>
      </c>
      <c r="D354" s="4" t="s">
        <v>1515</v>
      </c>
      <c r="E354" s="5" t="s">
        <v>34</v>
      </c>
      <c r="F354" s="6"/>
      <c r="G354" s="4" t="s">
        <v>35</v>
      </c>
      <c r="H354" s="4" t="s">
        <v>1263</v>
      </c>
      <c r="I354" s="7">
        <v>1700</v>
      </c>
      <c r="J354" s="7">
        <v>977.49999999999989</v>
      </c>
      <c r="K354" s="7">
        <v>0.5</v>
      </c>
      <c r="L354" s="7">
        <v>1.66</v>
      </c>
      <c r="M354" s="63">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432</v>
      </c>
      <c r="AE354" s="4">
        <v>21.6</v>
      </c>
      <c r="AF354" s="4"/>
      <c r="AG354" s="4">
        <v>0.25</v>
      </c>
      <c r="AH354" s="9"/>
      <c r="AI354" s="9"/>
      <c r="AJ354" s="9"/>
      <c r="AK354" s="9"/>
      <c r="AL354" s="10"/>
      <c r="AM354" s="10"/>
      <c r="AN354" s="10"/>
      <c r="AO354" s="10"/>
      <c r="AP354" s="10"/>
      <c r="AQ354" s="11"/>
      <c r="AR354" s="4"/>
      <c r="AS354" s="10" t="s">
        <v>1515</v>
      </c>
      <c r="AT354" s="10"/>
      <c r="AU354" s="10"/>
      <c r="AV354" s="10"/>
      <c r="AW354" s="10"/>
      <c r="AX354" s="10"/>
      <c r="AY354" s="10"/>
      <c r="AZ354" s="10"/>
      <c r="BA354" s="10"/>
      <c r="BB354" s="10"/>
      <c r="BC354" s="10"/>
      <c r="BD354" s="10"/>
    </row>
    <row r="355" spans="1:56" ht="60" x14ac:dyDescent="0.25">
      <c r="A355" s="4" t="s">
        <v>1516</v>
      </c>
      <c r="B355" s="4" t="s">
        <v>1716</v>
      </c>
      <c r="C355" s="4" t="s">
        <v>46</v>
      </c>
      <c r="D355" s="4" t="s">
        <v>1158</v>
      </c>
      <c r="E355" s="5" t="s">
        <v>34</v>
      </c>
      <c r="F355" s="6"/>
      <c r="G355" s="4" t="s">
        <v>35</v>
      </c>
      <c r="H355" s="4" t="s">
        <v>1262</v>
      </c>
      <c r="I355" s="7">
        <v>24050</v>
      </c>
      <c r="J355" s="7"/>
      <c r="K355" s="7">
        <v>0.5</v>
      </c>
      <c r="L355" s="7">
        <v>21</v>
      </c>
      <c r="M355" s="63"/>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432</v>
      </c>
      <c r="AE355" s="4">
        <v>21.6</v>
      </c>
      <c r="AF355" s="4"/>
      <c r="AG355" s="4">
        <v>0.25</v>
      </c>
      <c r="AH355" s="9"/>
      <c r="AI355" s="9"/>
      <c r="AJ355" s="9"/>
      <c r="AK355" s="9"/>
      <c r="AL355" s="10"/>
      <c r="AM355" s="10"/>
      <c r="AN355" s="10"/>
      <c r="AO355" s="10"/>
      <c r="AP355" s="10"/>
      <c r="AQ355" s="11"/>
      <c r="AR355" s="4"/>
      <c r="AS355" s="10" t="s">
        <v>859</v>
      </c>
      <c r="AT355" s="10" t="s">
        <v>856</v>
      </c>
      <c r="AU355" s="10" t="s">
        <v>857</v>
      </c>
      <c r="AV355" s="10" t="s">
        <v>858</v>
      </c>
      <c r="AW355" s="10"/>
      <c r="AX355" s="10"/>
      <c r="AY355" s="10"/>
      <c r="AZ355" s="10"/>
      <c r="BA355" s="10"/>
      <c r="BB355" s="10"/>
      <c r="BC355" s="10"/>
      <c r="BD355" s="10"/>
    </row>
    <row r="356" spans="1:56" ht="60" x14ac:dyDescent="0.25">
      <c r="A356" s="4" t="s">
        <v>1517</v>
      </c>
      <c r="B356" s="4" t="s">
        <v>1518</v>
      </c>
      <c r="C356" s="4" t="s">
        <v>22</v>
      </c>
      <c r="D356" s="4" t="s">
        <v>1519</v>
      </c>
      <c r="E356" s="5" t="s">
        <v>34</v>
      </c>
      <c r="F356" s="6"/>
      <c r="G356" s="4" t="s">
        <v>35</v>
      </c>
      <c r="H356" s="4" t="s">
        <v>1539</v>
      </c>
      <c r="I356" s="7" t="s">
        <v>1540</v>
      </c>
      <c r="J356" s="7">
        <f>101.5*technologies[[#This Row],[Efficiency]]</f>
        <v>10.906784</v>
      </c>
      <c r="K356" s="7">
        <v>0.5</v>
      </c>
      <c r="L356" s="7">
        <f>0.292*0.368*0.47</f>
        <v>5.0504319999999998E-2</v>
      </c>
      <c r="M356" s="63">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853</v>
      </c>
      <c r="AM356" s="10" t="s">
        <v>1080</v>
      </c>
      <c r="AN356" s="10" t="s">
        <v>855</v>
      </c>
      <c r="AO356" s="10"/>
      <c r="AP356" s="10"/>
      <c r="AQ356" s="10"/>
      <c r="AR356" s="10"/>
      <c r="AS356" s="10" t="s">
        <v>1520</v>
      </c>
      <c r="AT356" s="10" t="s">
        <v>1079</v>
      </c>
      <c r="AU356" s="10" t="s">
        <v>1080</v>
      </c>
      <c r="AV356" s="10" t="s">
        <v>855</v>
      </c>
      <c r="AW356" s="10"/>
      <c r="AX356" s="10"/>
      <c r="AY356" s="10"/>
      <c r="AZ356" s="10"/>
      <c r="BA356" s="10"/>
      <c r="BB356" s="10"/>
      <c r="BC356" s="10"/>
      <c r="BD356" s="10"/>
    </row>
    <row r="357" spans="1:56" ht="165" x14ac:dyDescent="0.25">
      <c r="A357" s="4" t="s">
        <v>1523</v>
      </c>
      <c r="B357" s="4" t="s">
        <v>1533</v>
      </c>
      <c r="C357" s="4" t="s">
        <v>22</v>
      </c>
      <c r="D357" s="4" t="s">
        <v>1519</v>
      </c>
      <c r="E357" s="5" t="s">
        <v>34</v>
      </c>
      <c r="F357" s="6"/>
      <c r="G357" s="4" t="s">
        <v>35</v>
      </c>
      <c r="H357" s="4" t="s">
        <v>1681</v>
      </c>
      <c r="I357" s="7" t="s">
        <v>1526</v>
      </c>
      <c r="J357" s="7">
        <f>87.7*technologies[[#This Row],[Efficiency]]</f>
        <v>162.06960000000001</v>
      </c>
      <c r="K357" s="7">
        <v>0.5</v>
      </c>
      <c r="L357" s="7"/>
      <c r="M357" s="63">
        <v>1.571</v>
      </c>
      <c r="N357" s="7">
        <v>0.5</v>
      </c>
      <c r="O357" s="7" t="s">
        <v>1529</v>
      </c>
      <c r="P357" s="7">
        <f>943*technologies[[#This Row],[Efficiency]]</f>
        <v>1742.664</v>
      </c>
      <c r="Q357" s="7">
        <v>0.5</v>
      </c>
      <c r="R357" s="7" t="s">
        <v>1528</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1682</v>
      </c>
      <c r="AE357" s="4">
        <f>13.1*technologies[[#This Row],[Efficiency]]</f>
        <v>24.2088</v>
      </c>
      <c r="AF357" s="4"/>
      <c r="AG357" s="4">
        <v>0.25</v>
      </c>
      <c r="AH357" s="9"/>
      <c r="AI357" s="9"/>
      <c r="AJ357" s="9"/>
      <c r="AK357" s="9"/>
      <c r="AL357" s="10" t="s">
        <v>1520</v>
      </c>
      <c r="AM357" s="10" t="s">
        <v>1079</v>
      </c>
      <c r="AN357" s="10" t="s">
        <v>1080</v>
      </c>
      <c r="AO357" s="10" t="s">
        <v>855</v>
      </c>
      <c r="AP357" s="10"/>
      <c r="AQ357" s="10"/>
      <c r="AR357" s="10"/>
      <c r="AS357" s="10" t="s">
        <v>1520</v>
      </c>
      <c r="AT357" s="10" t="s">
        <v>1079</v>
      </c>
      <c r="AU357" s="10" t="s">
        <v>1080</v>
      </c>
      <c r="AV357" s="10" t="s">
        <v>855</v>
      </c>
      <c r="AW357" s="10"/>
      <c r="AX357" s="10"/>
      <c r="AY357" s="10"/>
      <c r="AZ357" s="10"/>
      <c r="BA357" s="10"/>
      <c r="BB357" s="10"/>
      <c r="BC357" s="10"/>
      <c r="BD357" s="10"/>
    </row>
    <row r="358" spans="1:56" ht="150" x14ac:dyDescent="0.25">
      <c r="A358" s="4" t="s">
        <v>1534</v>
      </c>
      <c r="B358" s="4" t="s">
        <v>1536</v>
      </c>
      <c r="C358" s="4" t="s">
        <v>22</v>
      </c>
      <c r="D358" s="4" t="s">
        <v>1519</v>
      </c>
      <c r="E358" s="5" t="s">
        <v>34</v>
      </c>
      <c r="F358" s="6"/>
      <c r="G358" s="4" t="s">
        <v>35</v>
      </c>
      <c r="H358" s="4" t="s">
        <v>1683</v>
      </c>
      <c r="I358" s="7" t="s">
        <v>1526</v>
      </c>
      <c r="J358" s="7">
        <f>87.7*technologies[[#This Row],[Efficiency]]</f>
        <v>1710.15</v>
      </c>
      <c r="K358" s="7">
        <v>0.5</v>
      </c>
      <c r="L358" s="7" t="s">
        <v>1527</v>
      </c>
      <c r="M358" s="63">
        <f>1.03*technologies[[#This Row],[Efficiency]]</f>
        <v>20.085000000000001</v>
      </c>
      <c r="N358" s="7">
        <v>0.5</v>
      </c>
      <c r="O358" s="7" t="s">
        <v>1529</v>
      </c>
      <c r="P358" s="7">
        <f>943*technologies[[#This Row],[Efficiency]]</f>
        <v>18388.5</v>
      </c>
      <c r="Q358" s="7">
        <v>0.5</v>
      </c>
      <c r="R358" s="7" t="s">
        <v>1528</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1530</v>
      </c>
      <c r="AE358" s="4"/>
      <c r="AF358" s="4">
        <f>13.1*technologies[[#This Row],[Efficiency]]</f>
        <v>255.45</v>
      </c>
      <c r="AG358" s="4">
        <v>0.25</v>
      </c>
      <c r="AH358" s="9"/>
      <c r="AI358" s="9"/>
      <c r="AJ358" s="9"/>
      <c r="AK358" s="9"/>
      <c r="AL358" s="10" t="s">
        <v>1520</v>
      </c>
      <c r="AM358" s="10" t="s">
        <v>1079</v>
      </c>
      <c r="AN358" s="10" t="s">
        <v>1080</v>
      </c>
      <c r="AO358" s="10" t="s">
        <v>855</v>
      </c>
      <c r="AP358" s="10"/>
      <c r="AQ358" s="10"/>
      <c r="AR358" s="10"/>
      <c r="AS358" s="10" t="s">
        <v>1520</v>
      </c>
      <c r="AT358" s="10" t="s">
        <v>1079</v>
      </c>
      <c r="AU358" s="10" t="s">
        <v>1080</v>
      </c>
      <c r="AV358" s="10" t="s">
        <v>855</v>
      </c>
      <c r="AW358" s="10"/>
      <c r="AX358" s="10"/>
      <c r="AY358" s="10"/>
      <c r="AZ358" s="10"/>
      <c r="BA358" s="10"/>
      <c r="BB358" s="10"/>
      <c r="BC358" s="10"/>
      <c r="BD358" s="10"/>
    </row>
    <row r="359" spans="1:56" ht="150" x14ac:dyDescent="0.25">
      <c r="A359" s="4" t="s">
        <v>1693</v>
      </c>
      <c r="B359" s="4" t="s">
        <v>1535</v>
      </c>
      <c r="C359" s="4" t="s">
        <v>22</v>
      </c>
      <c r="D359" s="4" t="s">
        <v>1519</v>
      </c>
      <c r="E359" s="5" t="s">
        <v>34</v>
      </c>
      <c r="F359" s="6"/>
      <c r="G359" s="4" t="s">
        <v>35</v>
      </c>
      <c r="H359" s="4" t="s">
        <v>1683</v>
      </c>
      <c r="I359" s="7" t="s">
        <v>1526</v>
      </c>
      <c r="J359" s="7">
        <f>87.7*technologies[[#This Row],[Efficiency]]</f>
        <v>14395.955000000002</v>
      </c>
      <c r="K359" s="7">
        <v>0.5</v>
      </c>
      <c r="L359" s="7" t="s">
        <v>1527</v>
      </c>
      <c r="M359" s="63">
        <f>1.03*technologies[[#This Row],[Efficiency]]</f>
        <v>169.0745</v>
      </c>
      <c r="N359" s="7">
        <v>0.5</v>
      </c>
      <c r="O359" s="7" t="s">
        <v>1529</v>
      </c>
      <c r="P359" s="7">
        <f>943*technologies[[#This Row],[Efficiency]]</f>
        <v>154793.45000000001</v>
      </c>
      <c r="Q359" s="7">
        <v>0.5</v>
      </c>
      <c r="R359" s="7" t="s">
        <v>1528</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1530</v>
      </c>
      <c r="AE359" s="4"/>
      <c r="AF359" s="4">
        <f>13.1*technologies[[#This Row],[Efficiency]]</f>
        <v>2150.3650000000002</v>
      </c>
      <c r="AG359" s="4">
        <v>0.25</v>
      </c>
      <c r="AH359" s="9"/>
      <c r="AI359" s="9"/>
      <c r="AJ359" s="9"/>
      <c r="AK359" s="9"/>
      <c r="AL359" s="10" t="s">
        <v>1520</v>
      </c>
      <c r="AM359" s="10" t="s">
        <v>1079</v>
      </c>
      <c r="AN359" s="10" t="s">
        <v>1080</v>
      </c>
      <c r="AO359" s="10" t="s">
        <v>855</v>
      </c>
      <c r="AP359" s="10"/>
      <c r="AQ359" s="10"/>
      <c r="AR359" s="10"/>
      <c r="AS359" s="10" t="s">
        <v>1520</v>
      </c>
      <c r="AT359" s="10" t="s">
        <v>1079</v>
      </c>
      <c r="AU359" s="10" t="s">
        <v>1080</v>
      </c>
      <c r="AV359" s="10" t="s">
        <v>855</v>
      </c>
      <c r="AW359" s="10"/>
      <c r="AX359" s="10"/>
      <c r="AY359" s="10"/>
      <c r="AZ359" s="10"/>
      <c r="BA359" s="10"/>
      <c r="BB359" s="10"/>
      <c r="BC359" s="10"/>
      <c r="BD359" s="10"/>
    </row>
    <row r="360" spans="1:56" ht="45" x14ac:dyDescent="0.25">
      <c r="A360" s="4" t="s">
        <v>1689</v>
      </c>
      <c r="B360" s="4" t="s">
        <v>1686</v>
      </c>
      <c r="C360" s="4" t="s">
        <v>22</v>
      </c>
      <c r="D360" s="4" t="s">
        <v>1519</v>
      </c>
      <c r="E360" s="5" t="s">
        <v>34</v>
      </c>
      <c r="F360" s="6"/>
      <c r="G360" s="4" t="s">
        <v>35</v>
      </c>
      <c r="H360" s="4" t="s">
        <v>1690</v>
      </c>
      <c r="I360" s="7" t="s">
        <v>1526</v>
      </c>
      <c r="J360" s="7">
        <f>87.7*technologies[[#This Row],[Efficiency]]</f>
        <v>4696.335</v>
      </c>
      <c r="K360" s="7">
        <v>0.5</v>
      </c>
      <c r="L360" s="7" t="s">
        <v>1527</v>
      </c>
      <c r="M360" s="63">
        <f>1.03*technologies[[#This Row],[Efficiency]]</f>
        <v>55.156500000000001</v>
      </c>
      <c r="N360" s="7">
        <v>0.5</v>
      </c>
      <c r="O360" s="7" t="s">
        <v>1529</v>
      </c>
      <c r="P360" s="7">
        <f>943*technologies[[#This Row],[Efficiency]]</f>
        <v>50497.649999999994</v>
      </c>
      <c r="Q360" s="7">
        <v>0.5</v>
      </c>
      <c r="R360" s="7" t="s">
        <v>1528</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1530</v>
      </c>
      <c r="AE360" s="4"/>
      <c r="AF360" s="4">
        <f>13.1*technologies[[#This Row],[Efficiency]]</f>
        <v>701.505</v>
      </c>
      <c r="AG360" s="4">
        <v>0.25</v>
      </c>
      <c r="AH360" s="9"/>
      <c r="AI360" s="9"/>
      <c r="AJ360" s="9"/>
      <c r="AK360" s="9"/>
      <c r="AL360" s="10" t="s">
        <v>1520</v>
      </c>
      <c r="AM360" s="10" t="s">
        <v>1079</v>
      </c>
      <c r="AN360" s="10" t="s">
        <v>1080</v>
      </c>
      <c r="AO360" s="10" t="s">
        <v>855</v>
      </c>
      <c r="AP360" s="10"/>
      <c r="AQ360" s="11"/>
      <c r="AR360" s="4"/>
      <c r="AS360" s="10" t="s">
        <v>1520</v>
      </c>
      <c r="AT360" s="10" t="s">
        <v>1079</v>
      </c>
      <c r="AU360" s="10" t="s">
        <v>1080</v>
      </c>
      <c r="AV360" s="10" t="s">
        <v>855</v>
      </c>
      <c r="AW360" s="10"/>
      <c r="AX360" s="10"/>
      <c r="AY360" s="10"/>
      <c r="AZ360" s="10"/>
      <c r="BA360" s="10"/>
      <c r="BB360" s="10"/>
      <c r="BC360" s="10"/>
      <c r="BD360" s="10"/>
    </row>
    <row r="361" spans="1:56" ht="150" x14ac:dyDescent="0.25">
      <c r="A361" s="4" t="s">
        <v>1692</v>
      </c>
      <c r="B361" s="4" t="s">
        <v>1694</v>
      </c>
      <c r="C361" s="4" t="s">
        <v>22</v>
      </c>
      <c r="D361" s="4" t="s">
        <v>1519</v>
      </c>
      <c r="E361" s="5" t="s">
        <v>34</v>
      </c>
      <c r="F361" s="6"/>
      <c r="G361" s="4" t="s">
        <v>35</v>
      </c>
      <c r="H361" s="4" t="s">
        <v>1683</v>
      </c>
      <c r="I361" s="7" t="s">
        <v>1526</v>
      </c>
      <c r="J361" s="7">
        <f>87.7*technologies[[#This Row],[Efficiency]]</f>
        <v>4506.0260000000007</v>
      </c>
      <c r="K361" s="7">
        <v>0.5</v>
      </c>
      <c r="L361" s="7" t="s">
        <v>1527</v>
      </c>
      <c r="M361" s="63">
        <f>1.03*technologies[[#This Row],[Efficiency]]</f>
        <v>52.921400000000006</v>
      </c>
      <c r="N361" s="7">
        <v>0.5</v>
      </c>
      <c r="O361" s="7" t="s">
        <v>1529</v>
      </c>
      <c r="P361" s="7">
        <f>943*technologies[[#This Row],[Efficiency]]</f>
        <v>48451.340000000004</v>
      </c>
      <c r="Q361" s="7">
        <v>0.5</v>
      </c>
      <c r="R361" s="7" t="s">
        <v>1528</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1530</v>
      </c>
      <c r="AE361" s="4"/>
      <c r="AF361" s="4">
        <f>13.1*technologies[[#This Row],[Efficiency]]</f>
        <v>673.07799999999997</v>
      </c>
      <c r="AG361" s="4">
        <v>0.25</v>
      </c>
      <c r="AH361" s="9"/>
      <c r="AI361" s="9"/>
      <c r="AJ361" s="9"/>
      <c r="AK361" s="9"/>
      <c r="AL361" s="10" t="s">
        <v>1520</v>
      </c>
      <c r="AM361" s="10" t="s">
        <v>1079</v>
      </c>
      <c r="AN361" s="10" t="s">
        <v>1080</v>
      </c>
      <c r="AO361" s="10" t="s">
        <v>855</v>
      </c>
      <c r="AP361" s="10"/>
      <c r="AQ361" s="11"/>
      <c r="AR361" s="4"/>
      <c r="AS361" s="10" t="s">
        <v>1520</v>
      </c>
      <c r="AT361" s="10" t="s">
        <v>1079</v>
      </c>
      <c r="AU361" s="10" t="s">
        <v>1080</v>
      </c>
      <c r="AV361" s="10" t="s">
        <v>855</v>
      </c>
      <c r="AW361" s="10"/>
      <c r="AX361" s="10"/>
      <c r="AY361" s="10"/>
      <c r="AZ361" s="10"/>
      <c r="BA361" s="10"/>
      <c r="BB361" s="10"/>
      <c r="BC361" s="10"/>
      <c r="BD361" s="10"/>
    </row>
    <row r="362" spans="1:56" ht="150" x14ac:dyDescent="0.25">
      <c r="A362" s="4" t="s">
        <v>1703</v>
      </c>
      <c r="B362" s="4" t="s">
        <v>1702</v>
      </c>
      <c r="C362" s="4" t="s">
        <v>22</v>
      </c>
      <c r="D362" s="4" t="s">
        <v>1519</v>
      </c>
      <c r="E362" s="5" t="s">
        <v>34</v>
      </c>
      <c r="F362" s="6"/>
      <c r="G362" s="4" t="s">
        <v>35</v>
      </c>
      <c r="H362" s="4" t="s">
        <v>1690</v>
      </c>
      <c r="I362" s="7" t="s">
        <v>1526</v>
      </c>
      <c r="J362" s="7">
        <f>87.7*technologies[[#This Row],[Efficiency]]</f>
        <v>4998.9000000000005</v>
      </c>
      <c r="K362" s="7">
        <v>0.5</v>
      </c>
      <c r="L362" s="7" t="s">
        <v>1527</v>
      </c>
      <c r="M362" s="63">
        <f>1.03*technologies[[#This Row],[Efficiency]]</f>
        <v>58.71</v>
      </c>
      <c r="N362" s="7">
        <v>0.5</v>
      </c>
      <c r="O362" s="7" t="s">
        <v>1529</v>
      </c>
      <c r="P362" s="7">
        <f>943*technologies[[#This Row],[Efficiency]]</f>
        <v>53751</v>
      </c>
      <c r="Q362" s="7">
        <v>0.5</v>
      </c>
      <c r="R362" s="7" t="s">
        <v>1528</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1530</v>
      </c>
      <c r="AE362" s="4"/>
      <c r="AF362" s="4">
        <f>13.1*technologies[[#This Row],[Efficiency]]</f>
        <v>746.69999999999993</v>
      </c>
      <c r="AG362" s="4">
        <v>0.25</v>
      </c>
      <c r="AH362" s="9"/>
      <c r="AI362" s="9"/>
      <c r="AJ362" s="9"/>
      <c r="AK362" s="9"/>
      <c r="AL362" s="10" t="s">
        <v>1520</v>
      </c>
      <c r="AM362" s="10" t="s">
        <v>1079</v>
      </c>
      <c r="AN362" s="10" t="s">
        <v>1080</v>
      </c>
      <c r="AO362" s="10" t="s">
        <v>855</v>
      </c>
      <c r="AP362" s="10"/>
      <c r="AQ362" s="11"/>
      <c r="AR362" s="4"/>
      <c r="AS362" s="10" t="s">
        <v>1520</v>
      </c>
      <c r="AT362" s="10" t="s">
        <v>1079</v>
      </c>
      <c r="AU362" s="10" t="s">
        <v>1080</v>
      </c>
      <c r="AV362" s="10" t="s">
        <v>855</v>
      </c>
      <c r="AW362" s="10"/>
      <c r="AX362" s="10"/>
      <c r="AY362" s="10"/>
      <c r="AZ362" s="10"/>
      <c r="BA362" s="10"/>
      <c r="BB362" s="10"/>
      <c r="BC362" s="10"/>
      <c r="BD362" s="10"/>
    </row>
    <row r="363" spans="1:56" ht="75" x14ac:dyDescent="0.25">
      <c r="A363" s="4" t="s">
        <v>1701</v>
      </c>
      <c r="B363" s="4" t="s">
        <v>1700</v>
      </c>
      <c r="C363" s="4" t="s">
        <v>22</v>
      </c>
      <c r="D363" s="4" t="s">
        <v>1519</v>
      </c>
      <c r="E363" s="5" t="s">
        <v>34</v>
      </c>
      <c r="F363" s="6"/>
      <c r="G363" s="4" t="s">
        <v>35</v>
      </c>
      <c r="H363" s="4" t="s">
        <v>1690</v>
      </c>
      <c r="I363" s="7" t="s">
        <v>1526</v>
      </c>
      <c r="J363" s="7">
        <f>87.7*technologies[[#This Row],[Efficiency]]</f>
        <v>10090.762000000001</v>
      </c>
      <c r="K363" s="7">
        <v>0.5</v>
      </c>
      <c r="L363" s="7" t="s">
        <v>1527</v>
      </c>
      <c r="M363" s="63">
        <f>1.03*technologies[[#This Row],[Efficiency]]</f>
        <v>118.51180000000001</v>
      </c>
      <c r="N363" s="7">
        <v>0.5</v>
      </c>
      <c r="O363" s="7" t="s">
        <v>1529</v>
      </c>
      <c r="P363" s="7">
        <f>943*technologies[[#This Row],[Efficiency]]</f>
        <v>108501.58</v>
      </c>
      <c r="Q363" s="7">
        <v>0.5</v>
      </c>
      <c r="R363" s="7" t="s">
        <v>1528</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1530</v>
      </c>
      <c r="AE363" s="4"/>
      <c r="AF363" s="4">
        <f>13.1*technologies[[#This Row],[Efficiency]]</f>
        <v>1507.2860000000001</v>
      </c>
      <c r="AG363" s="4">
        <v>0.25</v>
      </c>
      <c r="AH363" s="9"/>
      <c r="AI363" s="9"/>
      <c r="AJ363" s="9"/>
      <c r="AK363" s="9"/>
      <c r="AL363" s="10" t="s">
        <v>1520</v>
      </c>
      <c r="AM363" s="10" t="s">
        <v>1079</v>
      </c>
      <c r="AN363" s="10" t="s">
        <v>1080</v>
      </c>
      <c r="AO363" s="10" t="s">
        <v>855</v>
      </c>
      <c r="AP363" s="10"/>
      <c r="AQ363" s="11"/>
      <c r="AR363" s="4"/>
      <c r="AS363" s="10" t="s">
        <v>1520</v>
      </c>
      <c r="AT363" s="10" t="s">
        <v>1079</v>
      </c>
      <c r="AU363" s="10" t="s">
        <v>1080</v>
      </c>
      <c r="AV363" s="10" t="s">
        <v>855</v>
      </c>
      <c r="AW363" s="10"/>
      <c r="AX363" s="10"/>
      <c r="AY363" s="10"/>
      <c r="AZ363" s="10"/>
      <c r="BA363" s="10"/>
      <c r="BB363" s="10"/>
      <c r="BC363" s="10"/>
      <c r="BD363" s="10"/>
    </row>
    <row r="364" spans="1:56" ht="30" x14ac:dyDescent="0.25">
      <c r="A364" s="4" t="s">
        <v>1717</v>
      </c>
      <c r="B364" s="4" t="s">
        <v>1718</v>
      </c>
      <c r="C364" s="4" t="s">
        <v>22</v>
      </c>
      <c r="D364" s="4" t="s">
        <v>33</v>
      </c>
      <c r="E364" s="5" t="s">
        <v>34</v>
      </c>
      <c r="F364" s="6"/>
      <c r="G364" s="4" t="s">
        <v>35</v>
      </c>
      <c r="H364" s="4" t="s">
        <v>2003</v>
      </c>
      <c r="I364" s="7">
        <v>190</v>
      </c>
      <c r="J364" s="7">
        <f>technologies[[#This Row],[Mass
Literature]]/4</f>
        <v>47.5</v>
      </c>
      <c r="K364" s="7">
        <v>0.5</v>
      </c>
      <c r="L364" s="7">
        <v>0.22</v>
      </c>
      <c r="M364" s="63">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1520</v>
      </c>
      <c r="AM364" s="10" t="s">
        <v>1079</v>
      </c>
      <c r="AN364" s="10" t="s">
        <v>1080</v>
      </c>
      <c r="AO364" s="10" t="s">
        <v>855</v>
      </c>
      <c r="AP364" s="10"/>
      <c r="AQ364" s="11"/>
      <c r="AR364" s="4"/>
      <c r="AS364" s="10" t="s">
        <v>1079</v>
      </c>
      <c r="AT364" s="10"/>
      <c r="AU364" s="10"/>
      <c r="AV364" s="10"/>
      <c r="AW364" s="10"/>
      <c r="AX364" s="10"/>
      <c r="AY364" s="10"/>
      <c r="AZ364" s="10"/>
      <c r="BA364" s="10"/>
      <c r="BB364" s="10"/>
      <c r="BC364" s="10"/>
      <c r="BD364" s="10"/>
    </row>
    <row r="365" spans="1:56" ht="30" x14ac:dyDescent="0.25">
      <c r="A365" s="4" t="s">
        <v>1721</v>
      </c>
      <c r="B365" s="4" t="s">
        <v>1719</v>
      </c>
      <c r="C365" s="4" t="s">
        <v>22</v>
      </c>
      <c r="D365" s="4" t="s">
        <v>1724</v>
      </c>
      <c r="E365" s="5" t="s">
        <v>34</v>
      </c>
      <c r="F365" s="6"/>
      <c r="G365" s="4" t="s">
        <v>35</v>
      </c>
      <c r="H365" s="4" t="s">
        <v>2004</v>
      </c>
      <c r="I365" s="7">
        <v>50</v>
      </c>
      <c r="J365" s="7">
        <f>technologies[[#This Row],[Mass
Literature]]/4</f>
        <v>12.5</v>
      </c>
      <c r="K365" s="7">
        <v>0.1</v>
      </c>
      <c r="L365" s="7">
        <v>0.25</v>
      </c>
      <c r="M365" s="63">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1520</v>
      </c>
      <c r="AM365" s="10" t="s">
        <v>1079</v>
      </c>
      <c r="AN365" s="10" t="s">
        <v>1080</v>
      </c>
      <c r="AO365" s="10" t="s">
        <v>855</v>
      </c>
      <c r="AP365" s="10"/>
      <c r="AQ365" s="11"/>
      <c r="AR365" s="4"/>
      <c r="AS365" s="10" t="s">
        <v>1724</v>
      </c>
      <c r="AT365" s="10"/>
      <c r="AU365" s="10"/>
      <c r="AV365" s="10"/>
      <c r="AW365" s="10"/>
      <c r="AX365" s="10"/>
      <c r="AY365" s="10"/>
      <c r="AZ365" s="10"/>
      <c r="BA365" s="10"/>
      <c r="BB365" s="10"/>
      <c r="BC365" s="10"/>
      <c r="BD365" s="10"/>
    </row>
    <row r="366" spans="1:56" ht="30" x14ac:dyDescent="0.25">
      <c r="A366" s="4" t="s">
        <v>1722</v>
      </c>
      <c r="B366" s="4" t="s">
        <v>1720</v>
      </c>
      <c r="C366" s="4" t="s">
        <v>22</v>
      </c>
      <c r="D366" s="4" t="s">
        <v>1724</v>
      </c>
      <c r="E366" s="5" t="s">
        <v>34</v>
      </c>
      <c r="F366" s="6"/>
      <c r="G366" s="4" t="s">
        <v>35</v>
      </c>
      <c r="H366" s="4"/>
      <c r="I366" s="7">
        <v>50</v>
      </c>
      <c r="J366" s="7">
        <f>technologies[[#This Row],[Mass
Literature]]/4</f>
        <v>12.5</v>
      </c>
      <c r="K366" s="7">
        <v>0.1</v>
      </c>
      <c r="L366" s="7">
        <v>0.25</v>
      </c>
      <c r="M366" s="63">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1520</v>
      </c>
      <c r="AM366" s="10" t="s">
        <v>1079</v>
      </c>
      <c r="AN366" s="10" t="s">
        <v>1080</v>
      </c>
      <c r="AO366" s="10" t="s">
        <v>855</v>
      </c>
      <c r="AP366" s="10"/>
      <c r="AQ366" s="11"/>
      <c r="AR366" s="4"/>
      <c r="AS366" s="10" t="s">
        <v>1724</v>
      </c>
      <c r="AT366" s="10"/>
      <c r="AU366" s="10"/>
      <c r="AV366" s="10"/>
      <c r="AW366" s="10"/>
      <c r="AX366" s="10"/>
      <c r="AY366" s="10"/>
      <c r="AZ366" s="10"/>
      <c r="BA366" s="10"/>
      <c r="BB366" s="10"/>
      <c r="BC366" s="10"/>
      <c r="BD366" s="10"/>
    </row>
    <row r="367" spans="1:56" ht="45" x14ac:dyDescent="0.25">
      <c r="A367" s="4" t="s">
        <v>2002</v>
      </c>
      <c r="B367" s="4" t="s">
        <v>1723</v>
      </c>
      <c r="C367" s="4" t="s">
        <v>22</v>
      </c>
      <c r="D367" s="4" t="s">
        <v>1724</v>
      </c>
      <c r="E367" s="5" t="s">
        <v>34</v>
      </c>
      <c r="F367" s="6"/>
      <c r="G367" s="6" t="s">
        <v>35</v>
      </c>
      <c r="H367" s="4"/>
      <c r="I367" s="7"/>
      <c r="J367" s="7"/>
      <c r="K367" s="7"/>
      <c r="L367" s="7"/>
      <c r="M367" s="63"/>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1724</v>
      </c>
      <c r="AT367" s="10"/>
      <c r="AU367" s="10"/>
      <c r="AV367" s="10"/>
      <c r="AW367" s="10"/>
      <c r="AX367" s="10"/>
      <c r="AY367" s="10"/>
      <c r="AZ367" s="10"/>
      <c r="BA367" s="10"/>
      <c r="BB367" s="10"/>
      <c r="BC367" s="10"/>
      <c r="BD367" s="10"/>
    </row>
    <row r="368" spans="1:56" ht="45" x14ac:dyDescent="0.25">
      <c r="A368" s="4" t="s">
        <v>2188</v>
      </c>
      <c r="B368" s="4" t="s">
        <v>2188</v>
      </c>
      <c r="C368" s="4"/>
      <c r="D368" s="4"/>
      <c r="E368" s="5"/>
      <c r="F368" s="6"/>
      <c r="G368" s="6" t="s">
        <v>35</v>
      </c>
      <c r="H368" s="4"/>
      <c r="I368" s="7"/>
      <c r="J368" s="7">
        <v>1</v>
      </c>
      <c r="K368" s="7"/>
      <c r="L368" s="7"/>
      <c r="M368" s="63"/>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952</v>
      </c>
      <c r="AT368" s="10" t="s">
        <v>874</v>
      </c>
      <c r="AU368" s="10" t="s">
        <v>1520</v>
      </c>
      <c r="AV368" s="10" t="s">
        <v>877</v>
      </c>
      <c r="AW368" s="10"/>
      <c r="AX368" s="10"/>
      <c r="AY368" s="10"/>
      <c r="AZ368" s="10"/>
      <c r="BA368" s="10"/>
      <c r="BB368" s="10"/>
      <c r="BC368" s="10"/>
      <c r="BD368" s="10"/>
    </row>
    <row r="369" spans="24:24" x14ac:dyDescent="0.25">
      <c r="X369" s="55"/>
    </row>
    <row r="370" spans="24:24" x14ac:dyDescent="0.25">
      <c r="X370" s="55"/>
    </row>
    <row r="371" spans="24:24" x14ac:dyDescent="0.25">
      <c r="X371" s="55"/>
    </row>
    <row r="372" spans="24:24" x14ac:dyDescent="0.25">
      <c r="X372" s="55"/>
    </row>
    <row r="373" spans="24:24" x14ac:dyDescent="0.25">
      <c r="X373" s="55"/>
    </row>
    <row r="374" spans="24:24" x14ac:dyDescent="0.25">
      <c r="X374" s="55"/>
    </row>
    <row r="375" spans="24:24" x14ac:dyDescent="0.25">
      <c r="X375" s="55"/>
    </row>
    <row r="376" spans="24:24" x14ac:dyDescent="0.25">
      <c r="X376" s="55"/>
    </row>
    <row r="377" spans="24:24" x14ac:dyDescent="0.25">
      <c r="X377" s="55"/>
    </row>
    <row r="378" spans="24:24" x14ac:dyDescent="0.25">
      <c r="X378" s="55"/>
    </row>
    <row r="379" spans="24:24" x14ac:dyDescent="0.25">
      <c r="X379" s="55"/>
    </row>
    <row r="380" spans="24:24" x14ac:dyDescent="0.25">
      <c r="X380" s="55"/>
    </row>
    <row r="381" spans="24:24" x14ac:dyDescent="0.25">
      <c r="X381" s="55"/>
    </row>
    <row r="382" spans="24:24" x14ac:dyDescent="0.25">
      <c r="X382" s="55"/>
    </row>
    <row r="383" spans="24:24" x14ac:dyDescent="0.25">
      <c r="X383" s="55"/>
    </row>
    <row r="384" spans="24:24" x14ac:dyDescent="0.25">
      <c r="X384" s="55"/>
    </row>
    <row r="385" spans="24:24" x14ac:dyDescent="0.25">
      <c r="X385" s="55"/>
    </row>
    <row r="386" spans="24:24" x14ac:dyDescent="0.25">
      <c r="X386" s="55"/>
    </row>
    <row r="387" spans="24:24" x14ac:dyDescent="0.25">
      <c r="X387" s="55"/>
    </row>
    <row r="388" spans="24:24" x14ac:dyDescent="0.25">
      <c r="X388" s="55"/>
    </row>
    <row r="389" spans="24:24" x14ac:dyDescent="0.25">
      <c r="X389" s="55"/>
    </row>
    <row r="390" spans="24:24" x14ac:dyDescent="0.25">
      <c r="X390" s="55"/>
    </row>
    <row r="391" spans="24:24" x14ac:dyDescent="0.25">
      <c r="X391" s="55"/>
    </row>
    <row r="392" spans="24:24" x14ac:dyDescent="0.25">
      <c r="X392" s="55"/>
    </row>
    <row r="393" spans="24:24" x14ac:dyDescent="0.25">
      <c r="X393" s="55"/>
    </row>
    <row r="394" spans="24:24" x14ac:dyDescent="0.25">
      <c r="X394" s="55"/>
    </row>
    <row r="395" spans="24:24" x14ac:dyDescent="0.25">
      <c r="X395" s="55"/>
    </row>
    <row r="396" spans="24:24" x14ac:dyDescent="0.25">
      <c r="X396" s="55"/>
    </row>
    <row r="397" spans="24:24" x14ac:dyDescent="0.25">
      <c r="X397" s="55"/>
    </row>
    <row r="398" spans="24:24" x14ac:dyDescent="0.25">
      <c r="X398" s="55"/>
    </row>
    <row r="399" spans="24:24" x14ac:dyDescent="0.25">
      <c r="X399" s="55"/>
    </row>
    <row r="400" spans="24:24" x14ac:dyDescent="0.25">
      <c r="X400" s="55"/>
    </row>
    <row r="401" spans="24:24" x14ac:dyDescent="0.25">
      <c r="X401" s="55"/>
    </row>
    <row r="402" spans="24:24" x14ac:dyDescent="0.25">
      <c r="X402" s="55"/>
    </row>
    <row r="403" spans="24:24" x14ac:dyDescent="0.25">
      <c r="X403" s="55"/>
    </row>
    <row r="404" spans="24:24" x14ac:dyDescent="0.25">
      <c r="X404" s="55"/>
    </row>
    <row r="405" spans="24:24" x14ac:dyDescent="0.25">
      <c r="X405" s="55"/>
    </row>
    <row r="406" spans="24:24" x14ac:dyDescent="0.25">
      <c r="X406" s="55"/>
    </row>
    <row r="407" spans="24:24" x14ac:dyDescent="0.25">
      <c r="X407" s="55"/>
    </row>
    <row r="408" spans="24:24" x14ac:dyDescent="0.25">
      <c r="X408" s="55"/>
    </row>
    <row r="409" spans="24:24" x14ac:dyDescent="0.25">
      <c r="X409" s="55"/>
    </row>
    <row r="410" spans="24:24" x14ac:dyDescent="0.25">
      <c r="X410" s="55"/>
    </row>
    <row r="411" spans="24:24" x14ac:dyDescent="0.25">
      <c r="X411" s="55"/>
    </row>
    <row r="412" spans="24:24" x14ac:dyDescent="0.25">
      <c r="X412" s="55"/>
    </row>
    <row r="413" spans="24:24" x14ac:dyDescent="0.25">
      <c r="X413" s="55"/>
    </row>
    <row r="414" spans="24:24" x14ac:dyDescent="0.25">
      <c r="X414" s="55"/>
    </row>
    <row r="415" spans="24:24" x14ac:dyDescent="0.25">
      <c r="X415" s="55"/>
    </row>
    <row r="416" spans="24:24" x14ac:dyDescent="0.25">
      <c r="X416" s="55"/>
    </row>
    <row r="417" spans="24:24" x14ac:dyDescent="0.25">
      <c r="X417" s="55"/>
    </row>
    <row r="418" spans="24:24" x14ac:dyDescent="0.25">
      <c r="X418" s="55"/>
    </row>
    <row r="419" spans="24:24" x14ac:dyDescent="0.25">
      <c r="X419" s="55"/>
    </row>
    <row r="420" spans="24:24" x14ac:dyDescent="0.25">
      <c r="X420" s="55"/>
    </row>
    <row r="421" spans="24:24" x14ac:dyDescent="0.25">
      <c r="X421" s="55"/>
    </row>
    <row r="422" spans="24:24" x14ac:dyDescent="0.25">
      <c r="X422" s="55"/>
    </row>
    <row r="423" spans="24:24" x14ac:dyDescent="0.25">
      <c r="X423" s="55"/>
    </row>
    <row r="424" spans="24:24" x14ac:dyDescent="0.25">
      <c r="X424" s="55"/>
    </row>
    <row r="425" spans="24:24" x14ac:dyDescent="0.25">
      <c r="X425" s="55"/>
    </row>
    <row r="426" spans="24:24" x14ac:dyDescent="0.25">
      <c r="X426" s="55"/>
    </row>
    <row r="427" spans="24:24" x14ac:dyDescent="0.25">
      <c r="X427" s="55"/>
    </row>
    <row r="428" spans="24:24" x14ac:dyDescent="0.25">
      <c r="X428" s="55"/>
    </row>
    <row r="429" spans="24:24" x14ac:dyDescent="0.25">
      <c r="X429" s="55"/>
    </row>
    <row r="430" spans="24:24" x14ac:dyDescent="0.25">
      <c r="X430" s="55"/>
    </row>
    <row r="431" spans="24:24" x14ac:dyDescent="0.25">
      <c r="X431" s="55"/>
    </row>
    <row r="432" spans="24:24" x14ac:dyDescent="0.25">
      <c r="X432" s="55"/>
    </row>
    <row r="433" spans="24:24" x14ac:dyDescent="0.25">
      <c r="X433" s="55"/>
    </row>
    <row r="434" spans="24:24" x14ac:dyDescent="0.25">
      <c r="X434" s="55"/>
    </row>
    <row r="435" spans="24:24" x14ac:dyDescent="0.25">
      <c r="X435" s="55"/>
    </row>
    <row r="436" spans="24:24" x14ac:dyDescent="0.25">
      <c r="X436" s="55"/>
    </row>
    <row r="437" spans="24:24" x14ac:dyDescent="0.25">
      <c r="X437" s="55"/>
    </row>
    <row r="438" spans="24:24" x14ac:dyDescent="0.25">
      <c r="X438" s="55"/>
    </row>
    <row r="439" spans="24:24" x14ac:dyDescent="0.25">
      <c r="X439" s="55"/>
    </row>
    <row r="440" spans="24:24" x14ac:dyDescent="0.25">
      <c r="X440" s="55"/>
    </row>
    <row r="441" spans="24:24" x14ac:dyDescent="0.25">
      <c r="X441" s="55"/>
    </row>
    <row r="442" spans="24:24" x14ac:dyDescent="0.25">
      <c r="X442" s="55"/>
    </row>
    <row r="443" spans="24:24" x14ac:dyDescent="0.25">
      <c r="X443" s="55"/>
    </row>
    <row r="444" spans="24:24" x14ac:dyDescent="0.25">
      <c r="X444" s="55"/>
    </row>
    <row r="445" spans="24:24" x14ac:dyDescent="0.25">
      <c r="X445" s="55"/>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CEA8FBE-C492-4679-B9CB-791957770617}">
          <x14:formula1>
            <xm:f>'ECLSS Functions'!$B$3:$B$59</xm:f>
          </x14:formula1>
          <xm:sqref>AS368:AY368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I57"/>
  <sheetViews>
    <sheetView workbookViewId="0">
      <selection activeCell="K7" sqref="K7"/>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140625" style="6" customWidth="1"/>
  </cols>
  <sheetData>
    <row r="1" spans="1:9" ht="15.75" thickBot="1" x14ac:dyDescent="0.3">
      <c r="A1" s="36"/>
      <c r="B1" s="36"/>
      <c r="C1" s="36"/>
      <c r="D1" s="36"/>
      <c r="E1" s="36"/>
    </row>
    <row r="2" spans="1:9" ht="45.75" thickBot="1" x14ac:dyDescent="0.3">
      <c r="A2" s="36"/>
      <c r="B2" s="213" t="s">
        <v>862</v>
      </c>
      <c r="C2" s="214" t="s">
        <v>909</v>
      </c>
      <c r="D2" s="150" t="s">
        <v>863</v>
      </c>
      <c r="E2" s="36"/>
      <c r="I2" s="855" t="s">
        <v>2192</v>
      </c>
    </row>
    <row r="3" spans="1:9" ht="45" x14ac:dyDescent="0.25">
      <c r="A3" s="36"/>
      <c r="B3" s="162" t="s">
        <v>951</v>
      </c>
      <c r="C3" s="146" t="s">
        <v>880</v>
      </c>
      <c r="D3" s="163" t="s">
        <v>68</v>
      </c>
      <c r="E3" s="36"/>
      <c r="I3" s="855" t="s">
        <v>2193</v>
      </c>
    </row>
    <row r="4" spans="1:9" ht="60" x14ac:dyDescent="0.25">
      <c r="A4" s="36"/>
      <c r="B4" s="151" t="s">
        <v>896</v>
      </c>
      <c r="C4" s="143" t="s">
        <v>895</v>
      </c>
      <c r="D4" s="152" t="s">
        <v>68</v>
      </c>
      <c r="E4" s="36"/>
      <c r="I4" s="855" t="s">
        <v>2194</v>
      </c>
    </row>
    <row r="5" spans="1:9" ht="45" x14ac:dyDescent="0.25">
      <c r="A5" s="36"/>
      <c r="B5" s="153" t="s">
        <v>955</v>
      </c>
      <c r="C5" s="144" t="s">
        <v>911</v>
      </c>
      <c r="D5" s="154" t="s">
        <v>68</v>
      </c>
      <c r="E5" s="36"/>
      <c r="I5" s="855" t="s">
        <v>2195</v>
      </c>
    </row>
    <row r="6" spans="1:9" ht="30" x14ac:dyDescent="0.25">
      <c r="A6" s="36"/>
      <c r="B6" s="155" t="s">
        <v>952</v>
      </c>
      <c r="C6" s="145" t="s">
        <v>879</v>
      </c>
      <c r="D6" s="152" t="s">
        <v>68</v>
      </c>
      <c r="E6" s="36"/>
      <c r="I6" s="855" t="s">
        <v>2196</v>
      </c>
    </row>
    <row r="7" spans="1:9" ht="45" x14ac:dyDescent="0.25">
      <c r="A7" s="36"/>
      <c r="B7" s="156" t="s">
        <v>947</v>
      </c>
      <c r="C7" s="146" t="s">
        <v>882</v>
      </c>
      <c r="D7" s="154" t="s">
        <v>68</v>
      </c>
      <c r="E7" s="36"/>
      <c r="I7" s="6" t="s">
        <v>2197</v>
      </c>
    </row>
    <row r="8" spans="1:9" ht="75" x14ac:dyDescent="0.25">
      <c r="A8" s="36"/>
      <c r="B8" s="151" t="s">
        <v>953</v>
      </c>
      <c r="C8" s="143" t="s">
        <v>938</v>
      </c>
      <c r="D8" s="152" t="s">
        <v>68</v>
      </c>
      <c r="E8" s="36"/>
    </row>
    <row r="9" spans="1:9" ht="30" x14ac:dyDescent="0.25">
      <c r="A9" s="36"/>
      <c r="B9" s="153" t="s">
        <v>948</v>
      </c>
      <c r="C9" s="144" t="s">
        <v>883</v>
      </c>
      <c r="D9" s="154" t="s">
        <v>68</v>
      </c>
      <c r="E9" s="36"/>
    </row>
    <row r="10" spans="1:9" ht="30" x14ac:dyDescent="0.25">
      <c r="A10" s="36"/>
      <c r="B10" s="157" t="s">
        <v>949</v>
      </c>
      <c r="C10" s="143" t="s">
        <v>884</v>
      </c>
      <c r="D10" s="152" t="s">
        <v>68</v>
      </c>
      <c r="E10" s="36"/>
    </row>
    <row r="11" spans="1:9" ht="45" x14ac:dyDescent="0.25">
      <c r="A11" s="36"/>
      <c r="B11" s="158" t="s">
        <v>864</v>
      </c>
      <c r="C11" s="144" t="s">
        <v>881</v>
      </c>
      <c r="D11" s="154" t="s">
        <v>68</v>
      </c>
      <c r="E11" s="36"/>
    </row>
    <row r="12" spans="1:9" ht="45" x14ac:dyDescent="0.25">
      <c r="A12" s="36"/>
      <c r="B12" s="155" t="s">
        <v>865</v>
      </c>
      <c r="C12" s="143" t="s">
        <v>886</v>
      </c>
      <c r="D12" s="152" t="s">
        <v>68</v>
      </c>
      <c r="E12" s="36"/>
    </row>
    <row r="13" spans="1:9" ht="45" x14ac:dyDescent="0.25">
      <c r="A13" s="36"/>
      <c r="B13" s="158" t="s">
        <v>866</v>
      </c>
      <c r="C13" s="144" t="s">
        <v>885</v>
      </c>
      <c r="D13" s="154" t="s">
        <v>68</v>
      </c>
      <c r="E13" s="36"/>
    </row>
    <row r="14" spans="1:9" ht="45.75" thickBot="1" x14ac:dyDescent="0.3">
      <c r="A14" s="36"/>
      <c r="B14" s="159" t="s">
        <v>867</v>
      </c>
      <c r="C14" s="160" t="s">
        <v>887</v>
      </c>
      <c r="D14" s="161" t="s">
        <v>68</v>
      </c>
      <c r="E14" s="36"/>
    </row>
    <row r="15" spans="1:9" ht="75" x14ac:dyDescent="0.25">
      <c r="A15" s="36"/>
      <c r="B15" s="164" t="s">
        <v>942</v>
      </c>
      <c r="C15" s="165" t="s">
        <v>894</v>
      </c>
      <c r="D15" s="166" t="s">
        <v>128</v>
      </c>
      <c r="E15" s="36"/>
    </row>
    <row r="16" spans="1:9" ht="45" x14ac:dyDescent="0.25">
      <c r="A16" s="36"/>
      <c r="B16" s="167" t="s">
        <v>943</v>
      </c>
      <c r="C16" s="51" t="s">
        <v>899</v>
      </c>
      <c r="D16" s="168" t="s">
        <v>128</v>
      </c>
      <c r="E16" s="36"/>
    </row>
    <row r="17" spans="1:5" ht="30" x14ac:dyDescent="0.25">
      <c r="A17" s="36"/>
      <c r="B17" s="169" t="s">
        <v>888</v>
      </c>
      <c r="C17" s="50" t="s">
        <v>898</v>
      </c>
      <c r="D17" s="170" t="s">
        <v>128</v>
      </c>
      <c r="E17" s="36"/>
    </row>
    <row r="18" spans="1:5" ht="90" x14ac:dyDescent="0.25">
      <c r="A18" s="36"/>
      <c r="B18" s="167" t="s">
        <v>901</v>
      </c>
      <c r="C18" s="51" t="s">
        <v>902</v>
      </c>
      <c r="D18" s="168" t="s">
        <v>128</v>
      </c>
      <c r="E18" s="36"/>
    </row>
    <row r="19" spans="1:5" ht="30" x14ac:dyDescent="0.25">
      <c r="A19" s="36"/>
      <c r="B19" s="171" t="s">
        <v>903</v>
      </c>
      <c r="C19" s="50" t="s">
        <v>904</v>
      </c>
      <c r="D19" s="170" t="s">
        <v>128</v>
      </c>
      <c r="E19" s="36"/>
    </row>
    <row r="20" spans="1:5" ht="45" x14ac:dyDescent="0.25">
      <c r="A20" s="36"/>
      <c r="B20" s="172" t="s">
        <v>889</v>
      </c>
      <c r="C20" s="51" t="s">
        <v>900</v>
      </c>
      <c r="D20" s="168" t="s">
        <v>128</v>
      </c>
      <c r="E20" s="36"/>
    </row>
    <row r="21" spans="1:5" ht="75" x14ac:dyDescent="0.25">
      <c r="A21" s="36"/>
      <c r="B21" s="171" t="s">
        <v>890</v>
      </c>
      <c r="C21" s="50" t="s">
        <v>905</v>
      </c>
      <c r="D21" s="170" t="s">
        <v>128</v>
      </c>
      <c r="E21" s="36"/>
    </row>
    <row r="22" spans="1:5" ht="30" x14ac:dyDescent="0.25">
      <c r="A22" s="36"/>
      <c r="B22" s="172" t="s">
        <v>891</v>
      </c>
      <c r="C22" s="51" t="s">
        <v>906</v>
      </c>
      <c r="D22" s="168" t="s">
        <v>128</v>
      </c>
      <c r="E22" s="36"/>
    </row>
    <row r="23" spans="1:5" ht="30" x14ac:dyDescent="0.25">
      <c r="A23" s="36"/>
      <c r="B23" s="171" t="s">
        <v>860</v>
      </c>
      <c r="C23" s="50" t="s">
        <v>907</v>
      </c>
      <c r="D23" s="170" t="s">
        <v>128</v>
      </c>
      <c r="E23" s="36"/>
    </row>
    <row r="24" spans="1:5" ht="45" x14ac:dyDescent="0.25">
      <c r="A24" s="36"/>
      <c r="B24" s="172" t="s">
        <v>892</v>
      </c>
      <c r="C24" s="51" t="s">
        <v>908</v>
      </c>
      <c r="D24" s="168" t="s">
        <v>128</v>
      </c>
      <c r="E24" s="36"/>
    </row>
    <row r="25" spans="1:5" ht="30" x14ac:dyDescent="0.25">
      <c r="A25" s="36"/>
      <c r="B25" s="171" t="s">
        <v>893</v>
      </c>
      <c r="C25" s="50" t="s">
        <v>910</v>
      </c>
      <c r="D25" s="170" t="s">
        <v>128</v>
      </c>
      <c r="E25" s="36"/>
    </row>
    <row r="26" spans="1:5" ht="45" x14ac:dyDescent="0.25">
      <c r="A26" s="36"/>
      <c r="B26" s="173" t="s">
        <v>868</v>
      </c>
      <c r="C26" s="51" t="s">
        <v>912</v>
      </c>
      <c r="D26" s="168" t="s">
        <v>128</v>
      </c>
      <c r="E26" s="36"/>
    </row>
    <row r="27" spans="1:5" ht="45.75" thickBot="1" x14ac:dyDescent="0.3">
      <c r="A27" s="36"/>
      <c r="B27" s="174" t="s">
        <v>914</v>
      </c>
      <c r="C27" s="175" t="s">
        <v>913</v>
      </c>
      <c r="D27" s="176" t="s">
        <v>128</v>
      </c>
      <c r="E27" s="36"/>
    </row>
    <row r="28" spans="1:5" ht="90" x14ac:dyDescent="0.25">
      <c r="A28" s="36"/>
      <c r="B28" s="177" t="s">
        <v>853</v>
      </c>
      <c r="C28" s="178" t="s">
        <v>992</v>
      </c>
      <c r="D28" s="179" t="s">
        <v>939</v>
      </c>
      <c r="E28" s="36"/>
    </row>
    <row r="29" spans="1:5" x14ac:dyDescent="0.25">
      <c r="A29" s="36"/>
      <c r="B29" s="180" t="s">
        <v>1079</v>
      </c>
      <c r="C29" s="147" t="s">
        <v>1115</v>
      </c>
      <c r="D29" s="181" t="s">
        <v>939</v>
      </c>
      <c r="E29" s="36"/>
    </row>
    <row r="30" spans="1:5" ht="30" x14ac:dyDescent="0.25">
      <c r="A30" s="36"/>
      <c r="B30" s="182" t="s">
        <v>1080</v>
      </c>
      <c r="C30" s="147" t="s">
        <v>1081</v>
      </c>
      <c r="D30" s="181" t="s">
        <v>939</v>
      </c>
      <c r="E30" s="36"/>
    </row>
    <row r="31" spans="1:5" ht="92.25" x14ac:dyDescent="0.25">
      <c r="A31" s="36"/>
      <c r="B31" s="183" t="s">
        <v>944</v>
      </c>
      <c r="C31" s="65" t="s">
        <v>916</v>
      </c>
      <c r="D31" s="184" t="s">
        <v>939</v>
      </c>
      <c r="E31" s="36"/>
    </row>
    <row r="32" spans="1:5" ht="30" x14ac:dyDescent="0.25">
      <c r="A32" s="36"/>
      <c r="B32" s="185" t="s">
        <v>945</v>
      </c>
      <c r="C32" s="147" t="s">
        <v>915</v>
      </c>
      <c r="D32" s="181" t="s">
        <v>939</v>
      </c>
      <c r="E32" s="36"/>
    </row>
    <row r="33" spans="1:5" ht="81.75" x14ac:dyDescent="0.25">
      <c r="A33" s="36"/>
      <c r="B33" s="186" t="s">
        <v>869</v>
      </c>
      <c r="C33" s="147" t="s">
        <v>917</v>
      </c>
      <c r="D33" s="181" t="s">
        <v>939</v>
      </c>
      <c r="E33" s="36"/>
    </row>
    <row r="34" spans="1:5" ht="30" x14ac:dyDescent="0.25">
      <c r="A34" s="36"/>
      <c r="B34" s="187" t="s">
        <v>954</v>
      </c>
      <c r="C34" s="65" t="s">
        <v>915</v>
      </c>
      <c r="D34" s="184" t="s">
        <v>939</v>
      </c>
      <c r="E34" s="36"/>
    </row>
    <row r="35" spans="1:5" ht="60" x14ac:dyDescent="0.25">
      <c r="A35" s="36"/>
      <c r="B35" s="186" t="s">
        <v>861</v>
      </c>
      <c r="C35" s="147" t="s">
        <v>878</v>
      </c>
      <c r="D35" s="181" t="s">
        <v>939</v>
      </c>
      <c r="E35" s="36"/>
    </row>
    <row r="36" spans="1:5" ht="45" x14ac:dyDescent="0.25">
      <c r="A36" s="36"/>
      <c r="B36" s="182" t="s">
        <v>897</v>
      </c>
      <c r="C36" s="147" t="s">
        <v>918</v>
      </c>
      <c r="D36" s="181" t="s">
        <v>939</v>
      </c>
      <c r="E36" s="36"/>
    </row>
    <row r="37" spans="1:5" ht="30" x14ac:dyDescent="0.25">
      <c r="A37" s="36"/>
      <c r="B37" s="188" t="s">
        <v>1464</v>
      </c>
      <c r="C37" s="65" t="s">
        <v>1465</v>
      </c>
      <c r="D37" s="184"/>
      <c r="E37" s="36"/>
    </row>
    <row r="38" spans="1:5" ht="30" x14ac:dyDescent="0.25">
      <c r="A38" s="36"/>
      <c r="B38" s="186" t="s">
        <v>855</v>
      </c>
      <c r="C38" s="147" t="s">
        <v>919</v>
      </c>
      <c r="D38" s="181" t="s">
        <v>939</v>
      </c>
      <c r="E38" s="36"/>
    </row>
    <row r="39" spans="1:5" ht="30.75" thickBot="1" x14ac:dyDescent="0.3">
      <c r="A39" s="36"/>
      <c r="B39" s="189" t="s">
        <v>854</v>
      </c>
      <c r="C39" s="190" t="s">
        <v>930</v>
      </c>
      <c r="D39" s="191" t="s">
        <v>939</v>
      </c>
      <c r="E39" s="36"/>
    </row>
    <row r="40" spans="1:5" ht="60" x14ac:dyDescent="0.25">
      <c r="A40" s="36"/>
      <c r="B40" s="192" t="s">
        <v>870</v>
      </c>
      <c r="C40" s="193" t="s">
        <v>920</v>
      </c>
      <c r="D40" s="194" t="s">
        <v>940</v>
      </c>
      <c r="E40" s="36"/>
    </row>
    <row r="41" spans="1:5" ht="30" x14ac:dyDescent="0.25">
      <c r="A41" s="36"/>
      <c r="B41" s="195" t="s">
        <v>859</v>
      </c>
      <c r="C41" s="149" t="s">
        <v>921</v>
      </c>
      <c r="D41" s="196" t="s">
        <v>940</v>
      </c>
      <c r="E41" s="36"/>
    </row>
    <row r="42" spans="1:5" ht="135" x14ac:dyDescent="0.25">
      <c r="A42" s="36"/>
      <c r="B42" s="197" t="s">
        <v>871</v>
      </c>
      <c r="C42" s="148" t="s">
        <v>922</v>
      </c>
      <c r="D42" s="198" t="s">
        <v>940</v>
      </c>
      <c r="E42" s="36"/>
    </row>
    <row r="43" spans="1:5" ht="30" x14ac:dyDescent="0.25">
      <c r="A43" s="36"/>
      <c r="B43" s="197" t="s">
        <v>872</v>
      </c>
      <c r="C43" s="148" t="s">
        <v>923</v>
      </c>
      <c r="D43" s="198" t="s">
        <v>940</v>
      </c>
      <c r="E43" s="36"/>
    </row>
    <row r="44" spans="1:5" ht="30" x14ac:dyDescent="0.25">
      <c r="A44" s="36"/>
      <c r="B44" s="197" t="s">
        <v>873</v>
      </c>
      <c r="C44" s="148" t="s">
        <v>924</v>
      </c>
      <c r="D44" s="198" t="s">
        <v>940</v>
      </c>
      <c r="E44" s="36"/>
    </row>
    <row r="45" spans="1:5" ht="30" x14ac:dyDescent="0.25">
      <c r="A45" s="36"/>
      <c r="B45" s="199" t="s">
        <v>874</v>
      </c>
      <c r="C45" s="149" t="s">
        <v>925</v>
      </c>
      <c r="D45" s="196" t="s">
        <v>940</v>
      </c>
      <c r="E45" s="36"/>
    </row>
    <row r="46" spans="1:5" ht="30" x14ac:dyDescent="0.25">
      <c r="A46" s="36"/>
      <c r="B46" s="197" t="s">
        <v>856</v>
      </c>
      <c r="C46" s="148" t="s">
        <v>926</v>
      </c>
      <c r="D46" s="198" t="s">
        <v>940</v>
      </c>
      <c r="E46" s="36"/>
    </row>
    <row r="47" spans="1:5" ht="30" x14ac:dyDescent="0.25">
      <c r="A47" s="36"/>
      <c r="B47" s="199" t="s">
        <v>857</v>
      </c>
      <c r="C47" s="149" t="s">
        <v>927</v>
      </c>
      <c r="D47" s="196" t="s">
        <v>940</v>
      </c>
      <c r="E47" s="36"/>
    </row>
    <row r="48" spans="1:5" ht="30" x14ac:dyDescent="0.25">
      <c r="A48" s="36"/>
      <c r="B48" s="310" t="s">
        <v>858</v>
      </c>
      <c r="C48" s="148" t="s">
        <v>928</v>
      </c>
      <c r="D48" s="311" t="s">
        <v>940</v>
      </c>
      <c r="E48" s="36"/>
    </row>
    <row r="49" spans="1:5" ht="45.75" thickBot="1" x14ac:dyDescent="0.3">
      <c r="A49" s="36"/>
      <c r="B49" s="307" t="s">
        <v>1462</v>
      </c>
      <c r="C49" s="308" t="s">
        <v>1463</v>
      </c>
      <c r="D49" s="309" t="s">
        <v>940</v>
      </c>
      <c r="E49" s="36"/>
    </row>
    <row r="50" spans="1:5" ht="45" x14ac:dyDescent="0.25">
      <c r="A50" s="36"/>
      <c r="B50" s="203" t="s">
        <v>875</v>
      </c>
      <c r="C50" s="204" t="s">
        <v>929</v>
      </c>
      <c r="D50" s="205" t="s">
        <v>941</v>
      </c>
      <c r="E50" s="36"/>
    </row>
    <row r="51" spans="1:5" ht="45" x14ac:dyDescent="0.25">
      <c r="A51" s="36"/>
      <c r="B51" s="206" t="s">
        <v>914</v>
      </c>
      <c r="C51" s="52" t="s">
        <v>931</v>
      </c>
      <c r="D51" s="207" t="s">
        <v>941</v>
      </c>
      <c r="E51" s="36"/>
    </row>
    <row r="52" spans="1:5" ht="45" x14ac:dyDescent="0.25">
      <c r="A52" s="36"/>
      <c r="B52" s="208" t="s">
        <v>876</v>
      </c>
      <c r="C52" s="53" t="s">
        <v>932</v>
      </c>
      <c r="D52" s="209" t="s">
        <v>941</v>
      </c>
      <c r="E52" s="36"/>
    </row>
    <row r="53" spans="1:5" ht="45" x14ac:dyDescent="0.25">
      <c r="A53" s="36"/>
      <c r="B53" s="206" t="s">
        <v>934</v>
      </c>
      <c r="C53" s="52" t="s">
        <v>933</v>
      </c>
      <c r="D53" s="207" t="s">
        <v>941</v>
      </c>
      <c r="E53" s="36"/>
    </row>
    <row r="54" spans="1:5" ht="45" x14ac:dyDescent="0.25">
      <c r="A54" s="36"/>
      <c r="B54" s="208" t="s">
        <v>935</v>
      </c>
      <c r="C54" s="53" t="s">
        <v>936</v>
      </c>
      <c r="D54" s="209" t="s">
        <v>941</v>
      </c>
      <c r="E54" s="36"/>
    </row>
    <row r="55" spans="1:5" ht="45.75" thickBot="1" x14ac:dyDescent="0.3">
      <c r="A55" s="36"/>
      <c r="B55" s="210" t="s">
        <v>877</v>
      </c>
      <c r="C55" s="211" t="s">
        <v>937</v>
      </c>
      <c r="D55" s="212" t="s">
        <v>941</v>
      </c>
      <c r="E55" s="36"/>
    </row>
    <row r="56" spans="1:5" ht="15.75" thickBot="1" x14ac:dyDescent="0.3">
      <c r="A56" s="36"/>
      <c r="B56" s="314" t="s">
        <v>1520</v>
      </c>
      <c r="C56" s="316" t="s">
        <v>1521</v>
      </c>
      <c r="D56" s="315" t="s">
        <v>1522</v>
      </c>
      <c r="E56" s="36"/>
    </row>
    <row r="57" spans="1:5" x14ac:dyDescent="0.25">
      <c r="A57" s="36"/>
      <c r="B57" s="36"/>
      <c r="C57" s="36"/>
      <c r="D57" s="36"/>
      <c r="E57" s="36"/>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2:AI26"/>
  <sheetViews>
    <sheetView zoomScale="60" zoomScaleNormal="6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ht="45" x14ac:dyDescent="0.25">
      <c r="A2" t="s">
        <v>2012</v>
      </c>
      <c r="B2" t="s">
        <v>2013</v>
      </c>
      <c r="C2" t="s">
        <v>2014</v>
      </c>
      <c r="D2" t="s">
        <v>2015</v>
      </c>
      <c r="E2" t="s">
        <v>2016</v>
      </c>
      <c r="F2" t="s">
        <v>2017</v>
      </c>
      <c r="G2" t="s">
        <v>2018</v>
      </c>
      <c r="H2" t="s">
        <v>2019</v>
      </c>
      <c r="I2" t="s">
        <v>2020</v>
      </c>
      <c r="K2" s="763" t="s">
        <v>2187</v>
      </c>
      <c r="L2" s="769" t="s">
        <v>2021</v>
      </c>
      <c r="M2" s="768" t="s">
        <v>2145</v>
      </c>
      <c r="N2" s="769" t="s">
        <v>2147</v>
      </c>
      <c r="O2" s="768" t="s">
        <v>2041</v>
      </c>
      <c r="P2" s="769" t="s">
        <v>2047</v>
      </c>
      <c r="Q2" s="768" t="s">
        <v>2151</v>
      </c>
      <c r="R2" s="769" t="s">
        <v>2155</v>
      </c>
      <c r="S2" s="768" t="s">
        <v>2062</v>
      </c>
      <c r="T2" s="769" t="s">
        <v>2159</v>
      </c>
      <c r="U2" s="768" t="s">
        <v>2162</v>
      </c>
      <c r="V2" s="769" t="s">
        <v>2163</v>
      </c>
      <c r="W2" s="768" t="s">
        <v>2166</v>
      </c>
      <c r="X2" s="769" t="s">
        <v>2168</v>
      </c>
      <c r="Y2" s="768" t="s">
        <v>2169</v>
      </c>
      <c r="Z2" s="769" t="s">
        <v>2170</v>
      </c>
      <c r="AA2" s="768" t="s">
        <v>2173</v>
      </c>
      <c r="AB2" s="769" t="s">
        <v>2175</v>
      </c>
      <c r="AC2" s="768" t="s">
        <v>2177</v>
      </c>
      <c r="AD2" s="769" t="s">
        <v>2179</v>
      </c>
      <c r="AE2" s="768" t="s">
        <v>2181</v>
      </c>
      <c r="AF2" s="769" t="s">
        <v>2182</v>
      </c>
      <c r="AG2" s="768" t="s">
        <v>2183</v>
      </c>
      <c r="AH2" s="769" t="s">
        <v>2184</v>
      </c>
      <c r="AI2" s="776" t="s">
        <v>2185</v>
      </c>
    </row>
    <row r="3" spans="1:35" x14ac:dyDescent="0.25">
      <c r="A3" t="s">
        <v>2021</v>
      </c>
      <c r="B3" s="762" t="s">
        <v>2022</v>
      </c>
      <c r="C3" s="762" t="s">
        <v>2023</v>
      </c>
      <c r="D3" s="762" t="s">
        <v>2024</v>
      </c>
      <c r="E3" s="762" t="s">
        <v>2025</v>
      </c>
      <c r="F3" s="762" t="s">
        <v>2026</v>
      </c>
      <c r="G3" s="762" t="s">
        <v>2027</v>
      </c>
      <c r="H3" s="762">
        <v>92</v>
      </c>
      <c r="I3" s="762">
        <v>1030</v>
      </c>
      <c r="K3" s="763" t="s">
        <v>2139</v>
      </c>
      <c r="L3" s="770" t="s">
        <v>2143</v>
      </c>
      <c r="M3" s="766">
        <v>14094</v>
      </c>
      <c r="N3" s="770">
        <v>0</v>
      </c>
      <c r="O3" s="764" t="s">
        <v>2148</v>
      </c>
      <c r="P3" s="772">
        <v>30823</v>
      </c>
      <c r="Q3" s="766">
        <v>10959</v>
      </c>
      <c r="R3" s="770" t="s">
        <v>2156</v>
      </c>
      <c r="S3" s="764">
        <v>0</v>
      </c>
      <c r="T3" s="770" t="s">
        <v>2160</v>
      </c>
      <c r="U3" s="764">
        <v>0</v>
      </c>
      <c r="V3" s="770" t="s">
        <v>2164</v>
      </c>
      <c r="W3" s="764">
        <v>0</v>
      </c>
      <c r="X3" s="770">
        <v>0</v>
      </c>
      <c r="Y3" s="764">
        <v>0</v>
      </c>
      <c r="Z3" s="770" t="s">
        <v>2171</v>
      </c>
      <c r="AA3" s="764">
        <v>0</v>
      </c>
      <c r="AB3" s="772">
        <v>14437</v>
      </c>
      <c r="AC3" s="764">
        <v>0</v>
      </c>
      <c r="AD3" s="772">
        <v>9168</v>
      </c>
      <c r="AE3" s="766">
        <v>31851</v>
      </c>
      <c r="AF3" s="772">
        <v>25499</v>
      </c>
      <c r="AG3" s="766">
        <v>4252</v>
      </c>
      <c r="AH3" s="770">
        <v>0</v>
      </c>
      <c r="AI3" s="777">
        <v>0</v>
      </c>
    </row>
    <row r="4" spans="1:35" x14ac:dyDescent="0.25">
      <c r="A4" t="s">
        <v>2028</v>
      </c>
      <c r="B4" s="762" t="s">
        <v>2029</v>
      </c>
      <c r="C4" s="762" t="s">
        <v>2030</v>
      </c>
      <c r="D4" s="762" t="s">
        <v>2031</v>
      </c>
      <c r="E4" s="762" t="s">
        <v>2032</v>
      </c>
      <c r="F4" s="762" t="s">
        <v>2033</v>
      </c>
      <c r="G4" s="762" t="s">
        <v>2034</v>
      </c>
      <c r="H4" s="762">
        <v>88</v>
      </c>
      <c r="I4" s="762">
        <v>1730</v>
      </c>
      <c r="K4" s="763" t="s">
        <v>2140</v>
      </c>
      <c r="L4" s="770" t="s">
        <v>2144</v>
      </c>
      <c r="M4" s="764" t="s">
        <v>2146</v>
      </c>
      <c r="N4" s="770">
        <v>0</v>
      </c>
      <c r="O4" s="764" t="s">
        <v>2149</v>
      </c>
      <c r="P4" s="770" t="s">
        <v>2150</v>
      </c>
      <c r="Q4" s="764" t="s">
        <v>2152</v>
      </c>
      <c r="R4" s="770" t="s">
        <v>2157</v>
      </c>
      <c r="S4" s="764">
        <v>0</v>
      </c>
      <c r="T4" s="770" t="s">
        <v>2161</v>
      </c>
      <c r="U4" s="764">
        <v>0</v>
      </c>
      <c r="V4" s="770" t="s">
        <v>2165</v>
      </c>
      <c r="W4" s="764">
        <v>0</v>
      </c>
      <c r="X4" s="770">
        <v>0</v>
      </c>
      <c r="Y4" s="764">
        <v>0</v>
      </c>
      <c r="Z4" s="770" t="s">
        <v>2172</v>
      </c>
      <c r="AA4" s="764">
        <v>0</v>
      </c>
      <c r="AB4" s="770" t="s">
        <v>2176</v>
      </c>
      <c r="AC4" s="764">
        <v>0</v>
      </c>
      <c r="AD4" s="770" t="s">
        <v>2180</v>
      </c>
      <c r="AE4" s="766">
        <v>1209</v>
      </c>
      <c r="AF4" s="772">
        <v>9679</v>
      </c>
      <c r="AG4" s="766">
        <v>1614</v>
      </c>
      <c r="AH4" s="770">
        <v>0</v>
      </c>
      <c r="AI4" s="777">
        <v>0</v>
      </c>
    </row>
    <row r="5" spans="1:35" x14ac:dyDescent="0.25">
      <c r="A5" t="s">
        <v>2035</v>
      </c>
      <c r="B5" s="762" t="s">
        <v>2036</v>
      </c>
      <c r="C5" s="762" t="s">
        <v>2037</v>
      </c>
      <c r="D5" s="762" t="s">
        <v>2038</v>
      </c>
      <c r="E5" s="762" t="s">
        <v>2032</v>
      </c>
      <c r="F5" s="762" t="s">
        <v>2039</v>
      </c>
      <c r="G5" s="762" t="s">
        <v>2040</v>
      </c>
      <c r="H5" s="762">
        <v>92</v>
      </c>
      <c r="I5" s="762">
        <v>790</v>
      </c>
      <c r="K5" s="763" t="s">
        <v>2141</v>
      </c>
      <c r="L5" s="770">
        <v>0</v>
      </c>
      <c r="M5" s="766">
        <v>19981</v>
      </c>
      <c r="N5" s="770">
        <v>0</v>
      </c>
      <c r="O5" s="764">
        <v>0</v>
      </c>
      <c r="P5" s="770">
        <v>0</v>
      </c>
      <c r="Q5" s="764" t="s">
        <v>2153</v>
      </c>
      <c r="R5" s="772">
        <v>43478</v>
      </c>
      <c r="S5" s="764">
        <v>0</v>
      </c>
      <c r="T5" s="770">
        <v>0</v>
      </c>
      <c r="U5" s="764">
        <v>0</v>
      </c>
      <c r="V5" s="770">
        <v>0</v>
      </c>
      <c r="W5" s="764">
        <v>0</v>
      </c>
      <c r="X5" s="770">
        <v>0</v>
      </c>
      <c r="Y5" s="764">
        <v>0</v>
      </c>
      <c r="Z5" s="772">
        <v>15185</v>
      </c>
      <c r="AA5" s="766">
        <v>44757</v>
      </c>
      <c r="AB5" s="770">
        <v>0</v>
      </c>
      <c r="AC5" s="764" t="s">
        <v>2178</v>
      </c>
      <c r="AD5" s="770">
        <v>0</v>
      </c>
      <c r="AE5" s="764">
        <v>0</v>
      </c>
      <c r="AF5" s="772">
        <v>31969</v>
      </c>
      <c r="AG5" s="764">
        <v>0</v>
      </c>
      <c r="AH5" s="772">
        <v>79922</v>
      </c>
      <c r="AI5" s="777" t="s">
        <v>2186</v>
      </c>
    </row>
    <row r="6" spans="1:35" x14ac:dyDescent="0.25">
      <c r="A6" t="s">
        <v>2041</v>
      </c>
      <c r="B6" s="762" t="s">
        <v>2036</v>
      </c>
      <c r="C6" s="762" t="s">
        <v>2042</v>
      </c>
      <c r="D6" s="762" t="s">
        <v>2043</v>
      </c>
      <c r="E6" s="762" t="s">
        <v>2044</v>
      </c>
      <c r="F6" s="762" t="s">
        <v>2045</v>
      </c>
      <c r="G6" s="762" t="s">
        <v>2046</v>
      </c>
      <c r="H6" s="762">
        <v>90</v>
      </c>
      <c r="I6" s="762">
        <v>570</v>
      </c>
      <c r="K6" s="775" t="s">
        <v>1535</v>
      </c>
      <c r="L6" s="771">
        <v>0</v>
      </c>
      <c r="M6" s="767">
        <v>13476</v>
      </c>
      <c r="N6" s="771">
        <v>0</v>
      </c>
      <c r="O6" s="765">
        <v>0</v>
      </c>
      <c r="P6" s="773">
        <v>48423</v>
      </c>
      <c r="Q6" s="765" t="s">
        <v>2154</v>
      </c>
      <c r="R6" s="771" t="s">
        <v>2158</v>
      </c>
      <c r="S6" s="765">
        <v>0</v>
      </c>
      <c r="T6" s="771">
        <v>0</v>
      </c>
      <c r="U6" s="767">
        <v>12149</v>
      </c>
      <c r="V6" s="771">
        <v>0</v>
      </c>
      <c r="W6" s="765" t="s">
        <v>2167</v>
      </c>
      <c r="X6" s="771">
        <v>0</v>
      </c>
      <c r="Y6" s="767">
        <v>52245</v>
      </c>
      <c r="Z6" s="771">
        <v>0</v>
      </c>
      <c r="AA6" s="765" t="s">
        <v>2174</v>
      </c>
      <c r="AB6" s="773">
        <v>15965</v>
      </c>
      <c r="AC6" s="765">
        <v>0</v>
      </c>
      <c r="AD6" s="773">
        <v>37336</v>
      </c>
      <c r="AE6" s="767">
        <v>41283</v>
      </c>
      <c r="AF6" s="773">
        <v>10653</v>
      </c>
      <c r="AG6" s="767">
        <v>24991</v>
      </c>
      <c r="AH6" s="771">
        <v>0</v>
      </c>
      <c r="AI6" s="778">
        <v>0</v>
      </c>
    </row>
    <row r="7" spans="1:35" x14ac:dyDescent="0.25">
      <c r="A7" t="s">
        <v>2047</v>
      </c>
      <c r="B7" s="762" t="s">
        <v>2036</v>
      </c>
      <c r="C7" s="762" t="s">
        <v>2048</v>
      </c>
      <c r="D7" s="762" t="s">
        <v>2049</v>
      </c>
      <c r="E7" s="762" t="s">
        <v>2050</v>
      </c>
      <c r="F7" s="762" t="s">
        <v>2051</v>
      </c>
      <c r="G7" s="762">
        <v>150</v>
      </c>
      <c r="H7" s="762">
        <v>10</v>
      </c>
      <c r="I7" s="762">
        <v>13930</v>
      </c>
      <c r="K7" s="774" t="s">
        <v>2142</v>
      </c>
      <c r="L7" s="779">
        <v>0</v>
      </c>
      <c r="M7" s="780">
        <v>0</v>
      </c>
      <c r="N7" s="779">
        <v>0</v>
      </c>
      <c r="O7" s="780">
        <v>0</v>
      </c>
      <c r="P7" s="779">
        <v>10</v>
      </c>
      <c r="Q7" s="780">
        <v>0</v>
      </c>
      <c r="R7" s="779">
        <v>2</v>
      </c>
      <c r="S7" s="780">
        <v>0</v>
      </c>
      <c r="T7" s="779">
        <v>0</v>
      </c>
      <c r="U7" s="780">
        <v>10</v>
      </c>
      <c r="V7" s="779">
        <v>0</v>
      </c>
      <c r="W7" s="780">
        <v>0</v>
      </c>
      <c r="X7" s="779">
        <v>0</v>
      </c>
      <c r="Y7" s="780">
        <v>2</v>
      </c>
      <c r="Z7" s="779">
        <v>0</v>
      </c>
      <c r="AA7" s="780">
        <v>0</v>
      </c>
      <c r="AB7" s="779">
        <v>0</v>
      </c>
      <c r="AC7" s="780">
        <v>0</v>
      </c>
      <c r="AD7" s="779">
        <v>2</v>
      </c>
      <c r="AE7" s="780">
        <v>5</v>
      </c>
      <c r="AF7" s="779">
        <v>18</v>
      </c>
      <c r="AG7" s="780">
        <v>8</v>
      </c>
      <c r="AH7" s="779">
        <v>0</v>
      </c>
      <c r="AI7" s="781">
        <v>0</v>
      </c>
    </row>
    <row r="8" spans="1:35" x14ac:dyDescent="0.25">
      <c r="A8" t="s">
        <v>2052</v>
      </c>
      <c r="B8" s="762" t="s">
        <v>2036</v>
      </c>
      <c r="C8" s="762" t="s">
        <v>2053</v>
      </c>
      <c r="D8" s="762" t="s">
        <v>2054</v>
      </c>
      <c r="E8" s="762" t="s">
        <v>2055</v>
      </c>
      <c r="F8" s="762" t="s">
        <v>2056</v>
      </c>
      <c r="G8" s="762">
        <v>10</v>
      </c>
      <c r="H8" s="762">
        <v>89</v>
      </c>
      <c r="I8" s="762">
        <v>1120</v>
      </c>
    </row>
    <row r="9" spans="1:35" x14ac:dyDescent="0.25">
      <c r="A9" t="s">
        <v>2057</v>
      </c>
      <c r="B9" s="762" t="s">
        <v>2036</v>
      </c>
      <c r="C9" s="762" t="s">
        <v>2058</v>
      </c>
      <c r="D9" s="762" t="s">
        <v>2059</v>
      </c>
      <c r="E9" s="762" t="s">
        <v>2032</v>
      </c>
      <c r="F9" s="762" t="s">
        <v>2060</v>
      </c>
      <c r="G9" s="762" t="s">
        <v>2061</v>
      </c>
      <c r="H9" s="762">
        <v>95</v>
      </c>
      <c r="I9" s="762">
        <v>620</v>
      </c>
    </row>
    <row r="10" spans="1:35" x14ac:dyDescent="0.25">
      <c r="A10" t="s">
        <v>2062</v>
      </c>
      <c r="B10" s="762" t="s">
        <v>2036</v>
      </c>
      <c r="C10" s="762">
        <v>12</v>
      </c>
      <c r="D10" s="762" t="s">
        <v>2063</v>
      </c>
      <c r="E10" s="762" t="s">
        <v>2055</v>
      </c>
      <c r="F10" s="762" t="s">
        <v>2056</v>
      </c>
      <c r="G10" s="762" t="s">
        <v>2031</v>
      </c>
      <c r="H10" s="762">
        <v>89</v>
      </c>
      <c r="I10" s="762">
        <v>1660</v>
      </c>
    </row>
    <row r="11" spans="1:35" x14ac:dyDescent="0.25">
      <c r="A11" t="s">
        <v>2064</v>
      </c>
      <c r="B11" s="762" t="s">
        <v>2036</v>
      </c>
      <c r="C11" s="762" t="s">
        <v>2065</v>
      </c>
      <c r="D11" s="762" t="s">
        <v>2066</v>
      </c>
      <c r="E11" s="762" t="s">
        <v>2067</v>
      </c>
      <c r="F11" s="762" t="s">
        <v>2068</v>
      </c>
      <c r="G11" s="762">
        <v>161</v>
      </c>
      <c r="H11" s="762">
        <v>12</v>
      </c>
      <c r="I11" s="762">
        <v>3390</v>
      </c>
    </row>
    <row r="12" spans="1:35" x14ac:dyDescent="0.25">
      <c r="A12" t="s">
        <v>2069</v>
      </c>
      <c r="B12" s="762" t="s">
        <v>2070</v>
      </c>
      <c r="C12" s="762" t="s">
        <v>2071</v>
      </c>
      <c r="D12" s="762" t="s">
        <v>2072</v>
      </c>
      <c r="E12" s="762" t="s">
        <v>2073</v>
      </c>
      <c r="F12" s="762" t="s">
        <v>2074</v>
      </c>
      <c r="G12" s="762" t="s">
        <v>2075</v>
      </c>
      <c r="H12" s="762" t="s">
        <v>2076</v>
      </c>
      <c r="I12" s="762">
        <v>23740</v>
      </c>
    </row>
    <row r="13" spans="1:35" x14ac:dyDescent="0.25">
      <c r="A13" t="s">
        <v>2077</v>
      </c>
      <c r="B13" s="762" t="s">
        <v>2036</v>
      </c>
      <c r="C13" s="762" t="s">
        <v>2078</v>
      </c>
      <c r="D13" s="762" t="s">
        <v>2079</v>
      </c>
      <c r="E13" s="762" t="s">
        <v>2073</v>
      </c>
      <c r="F13" s="762" t="s">
        <v>2080</v>
      </c>
      <c r="G13" s="762" t="s">
        <v>2081</v>
      </c>
      <c r="H13" s="762">
        <v>93</v>
      </c>
      <c r="I13" s="762">
        <v>836</v>
      </c>
    </row>
    <row r="14" spans="1:35" x14ac:dyDescent="0.25">
      <c r="A14" t="s">
        <v>2082</v>
      </c>
      <c r="B14" s="762" t="s">
        <v>2036</v>
      </c>
      <c r="C14" s="762" t="s">
        <v>2083</v>
      </c>
      <c r="D14" s="762" t="s">
        <v>2084</v>
      </c>
      <c r="E14" s="762" t="s">
        <v>2032</v>
      </c>
      <c r="F14" s="762" t="s">
        <v>2085</v>
      </c>
      <c r="G14" s="762">
        <v>55</v>
      </c>
      <c r="H14" s="762">
        <v>94</v>
      </c>
      <c r="I14" s="762">
        <v>670</v>
      </c>
    </row>
    <row r="15" spans="1:35" x14ac:dyDescent="0.25">
      <c r="A15" t="s">
        <v>2086</v>
      </c>
      <c r="B15" s="762" t="s">
        <v>2029</v>
      </c>
      <c r="C15" s="762" t="s">
        <v>2087</v>
      </c>
      <c r="D15" s="762" t="s">
        <v>2088</v>
      </c>
      <c r="E15" s="762" t="s">
        <v>2032</v>
      </c>
      <c r="F15" s="762" t="s">
        <v>2089</v>
      </c>
      <c r="G15" s="762">
        <v>35</v>
      </c>
      <c r="H15" s="762">
        <v>80</v>
      </c>
      <c r="I15" s="762">
        <v>3723</v>
      </c>
    </row>
    <row r="16" spans="1:35" x14ac:dyDescent="0.25">
      <c r="A16" t="s">
        <v>2090</v>
      </c>
      <c r="B16" s="762" t="s">
        <v>2091</v>
      </c>
      <c r="C16" s="762" t="s">
        <v>2092</v>
      </c>
      <c r="D16" s="762" t="s">
        <v>2093</v>
      </c>
      <c r="E16" s="762" t="s">
        <v>2094</v>
      </c>
      <c r="F16" s="762" t="s">
        <v>2095</v>
      </c>
      <c r="G16" s="762" t="s">
        <v>2096</v>
      </c>
      <c r="H16" s="762">
        <v>12</v>
      </c>
      <c r="I16" s="762">
        <v>14940</v>
      </c>
    </row>
    <row r="17" spans="1:9" x14ac:dyDescent="0.25">
      <c r="A17" t="s">
        <v>2097</v>
      </c>
      <c r="B17" s="762" t="s">
        <v>2036</v>
      </c>
      <c r="C17" s="762" t="s">
        <v>2098</v>
      </c>
      <c r="D17" s="762" t="s">
        <v>2099</v>
      </c>
      <c r="E17" s="762" t="s">
        <v>2067</v>
      </c>
      <c r="F17" s="762" t="s">
        <v>2100</v>
      </c>
      <c r="G17" s="762" t="s">
        <v>2101</v>
      </c>
      <c r="H17" s="762">
        <v>92</v>
      </c>
      <c r="I17" s="762">
        <v>1310</v>
      </c>
    </row>
    <row r="18" spans="1:9" x14ac:dyDescent="0.25">
      <c r="A18" t="s">
        <v>2102</v>
      </c>
      <c r="B18" s="762" t="s">
        <v>2103</v>
      </c>
      <c r="C18" s="762" t="s">
        <v>2104</v>
      </c>
      <c r="D18" s="762" t="s">
        <v>2105</v>
      </c>
      <c r="E18" s="762" t="s">
        <v>2106</v>
      </c>
      <c r="F18" s="762" t="s">
        <v>2107</v>
      </c>
      <c r="G18" s="762" t="s">
        <v>2108</v>
      </c>
      <c r="H18" s="762">
        <v>10</v>
      </c>
      <c r="I18" s="762">
        <v>6140</v>
      </c>
    </row>
    <row r="19" spans="1:9" x14ac:dyDescent="0.25">
      <c r="A19" t="s">
        <v>2109</v>
      </c>
      <c r="B19" s="762" t="s">
        <v>2036</v>
      </c>
      <c r="C19" s="762" t="s">
        <v>2058</v>
      </c>
      <c r="D19" s="762" t="s">
        <v>2059</v>
      </c>
      <c r="E19" s="762" t="s">
        <v>2032</v>
      </c>
      <c r="F19" s="762" t="s">
        <v>2110</v>
      </c>
      <c r="G19" s="762" t="s">
        <v>2061</v>
      </c>
      <c r="H19" s="762">
        <v>91</v>
      </c>
      <c r="I19" s="762">
        <v>970</v>
      </c>
    </row>
    <row r="20" spans="1:9" x14ac:dyDescent="0.25">
      <c r="A20" t="s">
        <v>2111</v>
      </c>
      <c r="B20" s="762" t="s">
        <v>2112</v>
      </c>
      <c r="C20" s="762" t="s">
        <v>2113</v>
      </c>
      <c r="D20" s="762" t="s">
        <v>2114</v>
      </c>
      <c r="E20" s="762" t="s">
        <v>2115</v>
      </c>
      <c r="F20" s="762" t="s">
        <v>2116</v>
      </c>
      <c r="G20" s="762" t="s">
        <v>2117</v>
      </c>
      <c r="H20" s="762">
        <v>90</v>
      </c>
      <c r="I20" s="762">
        <v>1360</v>
      </c>
    </row>
    <row r="21" spans="1:9" x14ac:dyDescent="0.25">
      <c r="A21" t="s">
        <v>2118</v>
      </c>
      <c r="B21" s="762" t="s">
        <v>2029</v>
      </c>
      <c r="C21" s="762" t="s">
        <v>2119</v>
      </c>
      <c r="D21" s="762" t="s">
        <v>2120</v>
      </c>
      <c r="E21" s="762" t="s">
        <v>2106</v>
      </c>
      <c r="F21" s="762" t="s">
        <v>2121</v>
      </c>
      <c r="G21" s="762">
        <v>225</v>
      </c>
      <c r="H21" s="762">
        <v>71</v>
      </c>
      <c r="I21" s="762">
        <v>3590</v>
      </c>
    </row>
    <row r="22" spans="1:9" x14ac:dyDescent="0.25">
      <c r="A22" t="s">
        <v>2122</v>
      </c>
      <c r="B22" s="762" t="s">
        <v>2112</v>
      </c>
      <c r="C22" s="762" t="s">
        <v>2123</v>
      </c>
      <c r="D22" s="762" t="s">
        <v>2124</v>
      </c>
      <c r="E22" s="762" t="s">
        <v>2073</v>
      </c>
      <c r="F22" s="762" t="s">
        <v>2125</v>
      </c>
      <c r="G22" s="762" t="s">
        <v>2081</v>
      </c>
      <c r="H22" s="762">
        <v>94</v>
      </c>
      <c r="I22" s="762">
        <v>740</v>
      </c>
    </row>
    <row r="23" spans="1:9" x14ac:dyDescent="0.25">
      <c r="A23" t="s">
        <v>2126</v>
      </c>
      <c r="B23" s="762" t="s">
        <v>2091</v>
      </c>
      <c r="C23" s="762">
        <v>56</v>
      </c>
      <c r="D23" s="762">
        <v>77</v>
      </c>
      <c r="E23" s="762" t="s">
        <v>2127</v>
      </c>
      <c r="F23" s="762" t="s">
        <v>2128</v>
      </c>
      <c r="G23" s="762">
        <v>300</v>
      </c>
      <c r="H23" s="762">
        <v>12</v>
      </c>
      <c r="I23" s="762">
        <v>14230</v>
      </c>
    </row>
    <row r="24" spans="1:9" x14ac:dyDescent="0.25">
      <c r="A24" t="s">
        <v>2129</v>
      </c>
      <c r="B24" s="762" t="s">
        <v>2029</v>
      </c>
      <c r="C24" s="762" t="s">
        <v>2130</v>
      </c>
      <c r="D24" s="762" t="s">
        <v>2131</v>
      </c>
      <c r="E24" s="762">
        <v>4</v>
      </c>
      <c r="F24" s="762" t="s">
        <v>2132</v>
      </c>
      <c r="G24" s="762" t="s">
        <v>2133</v>
      </c>
      <c r="H24" s="762">
        <v>80</v>
      </c>
      <c r="I24" s="762">
        <v>2880</v>
      </c>
    </row>
    <row r="25" spans="1:9" x14ac:dyDescent="0.25">
      <c r="A25" t="s">
        <v>2134</v>
      </c>
      <c r="B25" s="762" t="s">
        <v>2070</v>
      </c>
      <c r="C25" s="762">
        <v>56</v>
      </c>
      <c r="D25" s="762">
        <v>77</v>
      </c>
      <c r="E25" s="762" t="s">
        <v>2127</v>
      </c>
      <c r="F25" s="762" t="s">
        <v>2135</v>
      </c>
      <c r="G25" s="762">
        <v>300</v>
      </c>
      <c r="H25" s="762" t="s">
        <v>2136</v>
      </c>
      <c r="I25" s="762">
        <v>16740</v>
      </c>
    </row>
    <row r="26" spans="1:9" x14ac:dyDescent="0.25">
      <c r="A26" t="s">
        <v>2137</v>
      </c>
      <c r="B26" s="762" t="s">
        <v>2036</v>
      </c>
      <c r="C26" s="762" t="s">
        <v>2098</v>
      </c>
      <c r="D26" s="762" t="s">
        <v>2099</v>
      </c>
      <c r="E26" s="762" t="s">
        <v>2067</v>
      </c>
      <c r="F26" s="762" t="s">
        <v>2138</v>
      </c>
      <c r="G26" s="762" t="s">
        <v>2101</v>
      </c>
      <c r="H26" s="762">
        <v>94</v>
      </c>
      <c r="I26" s="762">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78" t="s">
        <v>1185</v>
      </c>
      <c r="B1" s="36"/>
      <c r="C1" s="36"/>
      <c r="D1" s="36"/>
      <c r="E1" s="36"/>
      <c r="F1" s="36"/>
      <c r="G1" s="36"/>
      <c r="H1" s="36"/>
      <c r="I1" s="36"/>
      <c r="J1" s="36"/>
      <c r="K1" s="36"/>
      <c r="L1" s="36"/>
      <c r="M1" s="36"/>
      <c r="N1" s="36"/>
      <c r="O1" s="36"/>
      <c r="P1" s="36"/>
      <c r="Q1" s="36"/>
      <c r="R1" s="36"/>
      <c r="T1" s="36"/>
      <c r="U1" s="36"/>
      <c r="V1" s="36"/>
      <c r="W1" s="36"/>
      <c r="X1" s="36"/>
      <c r="Y1" s="36"/>
      <c r="Z1" s="36"/>
      <c r="AA1" s="36"/>
      <c r="AB1" s="36"/>
      <c r="AC1" s="36"/>
      <c r="AD1" s="36"/>
      <c r="AE1" s="36"/>
      <c r="AF1" s="36"/>
      <c r="AG1" s="36"/>
    </row>
    <row r="2" spans="1:34" x14ac:dyDescent="0.25">
      <c r="A2" s="36" t="s">
        <v>1238</v>
      </c>
      <c r="B2" s="36"/>
      <c r="C2" s="36"/>
      <c r="D2" s="36"/>
      <c r="E2" s="36"/>
      <c r="F2" s="36"/>
      <c r="G2" s="36"/>
      <c r="H2" s="36"/>
      <c r="I2" s="36"/>
      <c r="J2" s="36"/>
      <c r="K2" s="36"/>
      <c r="L2" s="36"/>
      <c r="M2" s="36"/>
      <c r="N2" s="36"/>
      <c r="O2" s="36"/>
      <c r="P2" s="36"/>
      <c r="Q2" s="36"/>
      <c r="R2" s="36"/>
      <c r="T2" s="36"/>
      <c r="U2" s="36"/>
      <c r="V2" s="36"/>
      <c r="W2" s="36"/>
      <c r="X2" s="36"/>
      <c r="Y2" s="36"/>
      <c r="Z2" s="36"/>
      <c r="AA2" s="36"/>
      <c r="AB2" s="36"/>
      <c r="AC2" s="36"/>
      <c r="AD2" s="36"/>
      <c r="AE2" s="36"/>
      <c r="AF2" s="36"/>
      <c r="AG2" s="36"/>
    </row>
    <row r="3" spans="1:34" ht="15.75" thickBot="1" x14ac:dyDescent="0.3">
      <c r="A3" s="36" t="s">
        <v>1239</v>
      </c>
      <c r="B3" s="36"/>
      <c r="C3" s="36"/>
      <c r="D3" s="36"/>
      <c r="E3" s="36"/>
      <c r="F3" s="36"/>
      <c r="G3" s="36"/>
      <c r="H3" s="36"/>
      <c r="I3" s="36"/>
      <c r="J3" s="36"/>
      <c r="K3" s="36"/>
      <c r="L3" s="36"/>
      <c r="M3" s="36"/>
      <c r="N3" s="36"/>
      <c r="O3" s="36"/>
      <c r="P3" s="36"/>
      <c r="Q3" s="36"/>
      <c r="R3" s="36"/>
      <c r="T3" s="36"/>
      <c r="U3" s="36"/>
      <c r="V3" s="36"/>
      <c r="W3" s="36"/>
      <c r="X3" s="36"/>
      <c r="Y3" s="36"/>
      <c r="Z3" s="36"/>
      <c r="AA3" s="36"/>
      <c r="AB3" s="36"/>
      <c r="AC3" s="36"/>
      <c r="AD3" s="36"/>
      <c r="AE3" s="36"/>
      <c r="AF3" s="36"/>
      <c r="AG3" s="36"/>
    </row>
    <row r="4" spans="1:34" ht="15.75" thickBot="1" x14ac:dyDescent="0.3">
      <c r="A4" s="36"/>
      <c r="B4" s="36"/>
      <c r="C4" s="79"/>
      <c r="D4" s="79" t="s">
        <v>1186</v>
      </c>
      <c r="E4" s="36"/>
      <c r="F4" s="36"/>
      <c r="G4" s="36"/>
      <c r="H4" s="36"/>
      <c r="I4" s="36"/>
      <c r="J4" s="36"/>
      <c r="K4" s="36"/>
      <c r="L4" s="36"/>
      <c r="M4" s="404"/>
      <c r="N4" s="404"/>
      <c r="T4" s="36"/>
      <c r="U4" s="838" t="s">
        <v>793</v>
      </c>
      <c r="V4" s="841" t="s">
        <v>797</v>
      </c>
      <c r="W4" s="842"/>
      <c r="X4" s="843" t="s">
        <v>796</v>
      </c>
      <c r="Y4" s="842"/>
      <c r="Z4" s="819" t="s">
        <v>1636</v>
      </c>
      <c r="AA4" s="820"/>
      <c r="AB4" s="820"/>
      <c r="AC4" s="820"/>
      <c r="AD4" s="820"/>
      <c r="AE4" s="821" t="s">
        <v>128</v>
      </c>
      <c r="AF4" s="822"/>
      <c r="AG4" s="823"/>
    </row>
    <row r="5" spans="1:34" ht="15.75" customHeight="1" thickBot="1" x14ac:dyDescent="0.3">
      <c r="A5" s="36"/>
      <c r="B5" s="79"/>
      <c r="C5" s="79"/>
      <c r="D5" s="79"/>
      <c r="E5" s="79"/>
      <c r="F5" s="36"/>
      <c r="G5" s="36"/>
      <c r="H5" s="36"/>
      <c r="I5" s="36"/>
      <c r="J5" s="36"/>
      <c r="K5" s="36"/>
      <c r="L5" s="36"/>
      <c r="N5" s="555" t="s">
        <v>1626</v>
      </c>
      <c r="O5" s="221"/>
      <c r="P5" s="636"/>
      <c r="T5" s="36"/>
      <c r="U5" s="839"/>
      <c r="V5" s="566" t="s">
        <v>1630</v>
      </c>
      <c r="W5" s="564" t="s">
        <v>1632</v>
      </c>
      <c r="X5" s="566" t="s">
        <v>1635</v>
      </c>
      <c r="Y5" s="564" t="s">
        <v>1634</v>
      </c>
      <c r="Z5" s="566" t="s">
        <v>1637</v>
      </c>
      <c r="AA5" s="564" t="s">
        <v>798</v>
      </c>
      <c r="AB5" s="564" t="s">
        <v>1638</v>
      </c>
      <c r="AC5" s="564" t="s">
        <v>1421</v>
      </c>
      <c r="AD5" s="564" t="s">
        <v>1542</v>
      </c>
      <c r="AE5" s="620" t="s">
        <v>1653</v>
      </c>
      <c r="AF5" s="564" t="s">
        <v>1446</v>
      </c>
      <c r="AG5" s="567" t="s">
        <v>1650</v>
      </c>
    </row>
    <row r="6" spans="1:34" ht="15.75" customHeight="1" thickBot="1" x14ac:dyDescent="0.3">
      <c r="A6" s="826" t="s">
        <v>1613</v>
      </c>
      <c r="B6" s="827"/>
      <c r="C6" s="422" t="s">
        <v>1549</v>
      </c>
      <c r="D6" s="410" t="s">
        <v>1550</v>
      </c>
      <c r="E6" s="410" t="s">
        <v>1551</v>
      </c>
      <c r="F6" s="410" t="s">
        <v>1552</v>
      </c>
      <c r="G6" s="410" t="s">
        <v>1553</v>
      </c>
      <c r="H6" s="410" t="s">
        <v>1554</v>
      </c>
      <c r="I6" s="410" t="s">
        <v>1555</v>
      </c>
      <c r="J6" s="410" t="s">
        <v>1556</v>
      </c>
      <c r="K6" s="410" t="s">
        <v>1557</v>
      </c>
      <c r="L6" s="411" t="s">
        <v>1558</v>
      </c>
      <c r="M6" s="405"/>
      <c r="N6" s="556"/>
      <c r="O6" s="557"/>
      <c r="P6" s="637"/>
      <c r="U6" s="840"/>
      <c r="V6" s="565" t="s">
        <v>1631</v>
      </c>
      <c r="W6" s="568" t="s">
        <v>1633</v>
      </c>
      <c r="X6" s="565" t="s">
        <v>1631</v>
      </c>
      <c r="Y6" s="568" t="s">
        <v>1633</v>
      </c>
      <c r="Z6" s="565" t="s">
        <v>1631</v>
      </c>
      <c r="AA6" s="568" t="s">
        <v>1631</v>
      </c>
      <c r="AB6" s="568" t="s">
        <v>1631</v>
      </c>
      <c r="AC6" s="568" t="s">
        <v>1631</v>
      </c>
      <c r="AD6" s="568" t="s">
        <v>1631</v>
      </c>
      <c r="AE6" s="565" t="s">
        <v>1396</v>
      </c>
      <c r="AF6" s="569" t="s">
        <v>1652</v>
      </c>
      <c r="AG6" s="621" t="s">
        <v>1651</v>
      </c>
      <c r="AH6" s="222"/>
    </row>
    <row r="7" spans="1:34" ht="15.75" thickBot="1" x14ac:dyDescent="0.3">
      <c r="A7" s="828"/>
      <c r="B7" s="829"/>
      <c r="C7" s="423"/>
      <c r="D7" s="418"/>
      <c r="E7" s="418"/>
      <c r="F7" s="418"/>
      <c r="G7" s="418"/>
      <c r="H7" s="418"/>
      <c r="I7" s="418"/>
      <c r="J7" s="418"/>
      <c r="K7" s="418"/>
      <c r="L7" s="419"/>
      <c r="M7" s="43"/>
      <c r="N7" s="122" t="s">
        <v>1235</v>
      </c>
      <c r="O7" s="554">
        <v>1</v>
      </c>
      <c r="P7" s="638"/>
      <c r="U7" s="572">
        <v>0</v>
      </c>
      <c r="V7" s="576">
        <v>0.13650000000000001</v>
      </c>
      <c r="W7" s="570">
        <v>0.4</v>
      </c>
      <c r="X7" s="576">
        <v>0.10799999999999998</v>
      </c>
      <c r="Y7" s="570">
        <v>21</v>
      </c>
      <c r="Z7" s="580">
        <v>0.1938</v>
      </c>
      <c r="AA7" s="570">
        <v>0</v>
      </c>
      <c r="AB7" s="570">
        <v>0.1938</v>
      </c>
      <c r="AC7" s="570">
        <v>0</v>
      </c>
      <c r="AD7" s="610">
        <v>0</v>
      </c>
      <c r="AE7" s="619">
        <v>0.5</v>
      </c>
      <c r="AF7" s="622">
        <v>1585</v>
      </c>
      <c r="AG7" s="623">
        <v>293</v>
      </c>
      <c r="AH7" s="55"/>
    </row>
    <row r="8" spans="1:34" x14ac:dyDescent="0.25">
      <c r="A8" s="433" t="s">
        <v>1187</v>
      </c>
      <c r="B8" s="434"/>
      <c r="C8" s="467"/>
      <c r="D8" s="435"/>
      <c r="E8" s="435"/>
      <c r="F8" s="435"/>
      <c r="G8" s="435"/>
      <c r="H8" s="435"/>
      <c r="I8" s="435"/>
      <c r="J8" s="435"/>
      <c r="K8" s="435"/>
      <c r="L8" s="436"/>
      <c r="M8" s="43"/>
      <c r="N8" s="103" t="s">
        <v>1233</v>
      </c>
      <c r="O8" s="113"/>
      <c r="P8" s="101" t="s">
        <v>785</v>
      </c>
      <c r="U8" s="573">
        <v>2.0833333333333332E-2</v>
      </c>
      <c r="V8" s="577">
        <v>0.13650000000000001</v>
      </c>
      <c r="W8" s="81">
        <v>0.3764551344531557</v>
      </c>
      <c r="X8" s="577">
        <v>0.10799999999999998</v>
      </c>
      <c r="Y8" s="81">
        <v>20.974204214169649</v>
      </c>
      <c r="Z8" s="581">
        <v>0.1938</v>
      </c>
      <c r="AA8" s="81">
        <v>0</v>
      </c>
      <c r="AB8" s="81">
        <v>0.1938</v>
      </c>
      <c r="AC8" s="81">
        <v>0</v>
      </c>
      <c r="AD8" s="611">
        <v>0</v>
      </c>
      <c r="AE8" s="617">
        <v>0.25006464561025149</v>
      </c>
      <c r="AF8" s="615">
        <v>1585</v>
      </c>
      <c r="AG8" s="607">
        <v>292.99592773328516</v>
      </c>
      <c r="AH8" s="55"/>
    </row>
    <row r="9" spans="1:34" x14ac:dyDescent="0.25">
      <c r="A9" s="103" t="s">
        <v>1198</v>
      </c>
      <c r="B9" s="437"/>
      <c r="C9" s="512"/>
      <c r="D9" s="113"/>
      <c r="E9" s="113"/>
      <c r="F9" s="113"/>
      <c r="G9" s="113"/>
      <c r="H9" s="113"/>
      <c r="I9" s="113"/>
      <c r="J9" s="113"/>
      <c r="K9" s="113"/>
      <c r="L9" s="513"/>
      <c r="M9" s="43"/>
      <c r="N9" s="104" t="s">
        <v>1220</v>
      </c>
      <c r="O9" s="114"/>
      <c r="P9" s="100" t="s">
        <v>785</v>
      </c>
      <c r="U9" s="574">
        <v>4.1666666666666699E-2</v>
      </c>
      <c r="V9" s="578">
        <v>0.13650000000000001</v>
      </c>
      <c r="W9" s="80">
        <v>0.35291092323849688</v>
      </c>
      <c r="X9" s="578">
        <v>0.10799999999999998</v>
      </c>
      <c r="Y9" s="80">
        <v>20.948409137282606</v>
      </c>
      <c r="Z9" s="582">
        <v>0.1938</v>
      </c>
      <c r="AA9" s="80">
        <v>0</v>
      </c>
      <c r="AB9" s="80">
        <v>0.1938</v>
      </c>
      <c r="AC9" s="80">
        <v>0</v>
      </c>
      <c r="AD9" s="612">
        <v>0</v>
      </c>
      <c r="AE9" s="616">
        <v>0.25006464791834182</v>
      </c>
      <c r="AF9" s="614">
        <v>1585</v>
      </c>
      <c r="AG9" s="608">
        <v>292.99185546657026</v>
      </c>
      <c r="AH9" s="55"/>
    </row>
    <row r="10" spans="1:34" ht="15.75" thickBot="1" x14ac:dyDescent="0.3">
      <c r="A10" s="103" t="s">
        <v>1644</v>
      </c>
      <c r="B10" s="438"/>
      <c r="C10" s="514"/>
      <c r="D10" s="515"/>
      <c r="E10" s="515"/>
      <c r="F10" s="515"/>
      <c r="G10" s="515"/>
      <c r="H10" s="515"/>
      <c r="I10" s="515"/>
      <c r="J10" s="515"/>
      <c r="K10" s="515"/>
      <c r="L10" s="516"/>
      <c r="M10" s="43"/>
      <c r="N10" s="103" t="s">
        <v>1221</v>
      </c>
      <c r="O10" s="115"/>
      <c r="P10" s="101" t="s">
        <v>785</v>
      </c>
      <c r="U10" s="573">
        <v>6.25E-2</v>
      </c>
      <c r="V10" s="577">
        <v>0.13650000000000001</v>
      </c>
      <c r="W10" s="81">
        <v>0.32936736635602371</v>
      </c>
      <c r="X10" s="577">
        <v>0.10799999999999998</v>
      </c>
      <c r="Y10" s="81">
        <v>20.922614769338882</v>
      </c>
      <c r="Z10" s="581">
        <v>0.1938</v>
      </c>
      <c r="AA10" s="81">
        <v>0</v>
      </c>
      <c r="AB10" s="81">
        <v>0.1938</v>
      </c>
      <c r="AC10" s="81">
        <v>0</v>
      </c>
      <c r="AD10" s="611">
        <v>0</v>
      </c>
      <c r="AE10" s="617">
        <v>0.25006465022655389</v>
      </c>
      <c r="AF10" s="615">
        <v>1585</v>
      </c>
      <c r="AG10" s="607">
        <v>292.98778319985541</v>
      </c>
      <c r="AH10" s="55"/>
    </row>
    <row r="11" spans="1:34" x14ac:dyDescent="0.25">
      <c r="A11" s="477" t="s">
        <v>1188</v>
      </c>
      <c r="B11" s="478"/>
      <c r="C11" s="479"/>
      <c r="D11" s="480"/>
      <c r="E11" s="480"/>
      <c r="F11" s="480"/>
      <c r="G11" s="480"/>
      <c r="H11" s="480"/>
      <c r="I11" s="480"/>
      <c r="J11" s="480"/>
      <c r="K11" s="480"/>
      <c r="L11" s="481"/>
      <c r="M11" s="43"/>
      <c r="N11" s="104" t="s">
        <v>1222</v>
      </c>
      <c r="O11" s="114"/>
      <c r="P11" s="100" t="s">
        <v>785</v>
      </c>
      <c r="U11" s="574">
        <v>8.3333333333333301E-2</v>
      </c>
      <c r="V11" s="578">
        <v>0.13650000000000001</v>
      </c>
      <c r="W11" s="80">
        <v>0.30582446380573608</v>
      </c>
      <c r="X11" s="578">
        <v>0.10799999999999998</v>
      </c>
      <c r="Y11" s="80">
        <v>20.896821110338468</v>
      </c>
      <c r="Z11" s="582">
        <v>0.1938</v>
      </c>
      <c r="AA11" s="80">
        <v>0</v>
      </c>
      <c r="AB11" s="80">
        <v>0.1938</v>
      </c>
      <c r="AC11" s="80">
        <v>0</v>
      </c>
      <c r="AD11" s="612">
        <v>0</v>
      </c>
      <c r="AE11" s="616">
        <v>0.25006465253489041</v>
      </c>
      <c r="AF11" s="614">
        <v>1585</v>
      </c>
      <c r="AG11" s="608">
        <v>292.98371093314057</v>
      </c>
      <c r="AH11" s="55"/>
    </row>
    <row r="12" spans="1:34" x14ac:dyDescent="0.25">
      <c r="A12" s="104" t="s">
        <v>1198</v>
      </c>
      <c r="B12" s="420"/>
      <c r="C12" s="517"/>
      <c r="D12" s="518"/>
      <c r="E12" s="518"/>
      <c r="F12" s="518"/>
      <c r="G12" s="518"/>
      <c r="H12" s="518"/>
      <c r="I12" s="518"/>
      <c r="J12" s="518"/>
      <c r="K12" s="518"/>
      <c r="L12" s="519"/>
      <c r="M12" s="43"/>
      <c r="N12" s="103" t="s">
        <v>1223</v>
      </c>
      <c r="O12" s="115"/>
      <c r="P12" s="101" t="s">
        <v>785</v>
      </c>
      <c r="U12" s="573">
        <v>0.104166666666667</v>
      </c>
      <c r="V12" s="577">
        <v>0.13650000000000001</v>
      </c>
      <c r="W12" s="81">
        <v>0.28228221558763394</v>
      </c>
      <c r="X12" s="577">
        <v>0.10799999999999998</v>
      </c>
      <c r="Y12" s="81">
        <v>20.871028160281366</v>
      </c>
      <c r="Z12" s="581">
        <v>0.1938</v>
      </c>
      <c r="AA12" s="81">
        <v>0</v>
      </c>
      <c r="AB12" s="81">
        <v>0.1938</v>
      </c>
      <c r="AC12" s="81">
        <v>0</v>
      </c>
      <c r="AD12" s="611">
        <v>0</v>
      </c>
      <c r="AE12" s="617">
        <v>0.25006465484335155</v>
      </c>
      <c r="AF12" s="615">
        <v>1585</v>
      </c>
      <c r="AG12" s="607">
        <v>292.97963866642567</v>
      </c>
      <c r="AH12" s="55"/>
    </row>
    <row r="13" spans="1:34" x14ac:dyDescent="0.25">
      <c r="A13" s="104" t="s">
        <v>1646</v>
      </c>
      <c r="B13" s="420"/>
      <c r="C13" s="520"/>
      <c r="D13" s="521"/>
      <c r="E13" s="521"/>
      <c r="F13" s="521"/>
      <c r="G13" s="521"/>
      <c r="H13" s="521"/>
      <c r="I13" s="521"/>
      <c r="J13" s="521"/>
      <c r="K13" s="521"/>
      <c r="L13" s="522"/>
      <c r="M13" s="43"/>
      <c r="N13" s="104" t="s">
        <v>1224</v>
      </c>
      <c r="O13" s="114"/>
      <c r="P13" s="100" t="s">
        <v>785</v>
      </c>
      <c r="U13" s="574">
        <v>0.125</v>
      </c>
      <c r="V13" s="578">
        <v>0.13650000000000001</v>
      </c>
      <c r="W13" s="80">
        <v>0.25874062170171747</v>
      </c>
      <c r="X13" s="578">
        <v>0.10799999999999998</v>
      </c>
      <c r="Y13" s="80">
        <v>20.845235919167578</v>
      </c>
      <c r="Z13" s="582">
        <v>0.1938</v>
      </c>
      <c r="AA13" s="80">
        <v>0</v>
      </c>
      <c r="AB13" s="80">
        <v>0.1938</v>
      </c>
      <c r="AC13" s="80">
        <v>0</v>
      </c>
      <c r="AD13" s="612">
        <v>0</v>
      </c>
      <c r="AE13" s="616">
        <v>0.25006465715193454</v>
      </c>
      <c r="AF13" s="614">
        <v>1585</v>
      </c>
      <c r="AG13" s="608">
        <v>292.97556639971083</v>
      </c>
      <c r="AH13" s="55"/>
    </row>
    <row r="14" spans="1:34" ht="15.75" thickBot="1" x14ac:dyDescent="0.3">
      <c r="A14" s="298" t="s">
        <v>1648</v>
      </c>
      <c r="B14" s="482"/>
      <c r="C14" s="523"/>
      <c r="D14" s="524"/>
      <c r="E14" s="524"/>
      <c r="F14" s="524"/>
      <c r="G14" s="524"/>
      <c r="H14" s="524"/>
      <c r="I14" s="524"/>
      <c r="J14" s="524"/>
      <c r="K14" s="524"/>
      <c r="L14" s="525"/>
      <c r="M14" s="43"/>
      <c r="N14" s="103" t="s">
        <v>1225</v>
      </c>
      <c r="O14" s="115"/>
      <c r="P14" s="101" t="s">
        <v>785</v>
      </c>
      <c r="U14" s="573">
        <v>0.14583333333333301</v>
      </c>
      <c r="V14" s="577">
        <v>0.13650000000000001</v>
      </c>
      <c r="W14" s="81">
        <v>0.23519968214798651</v>
      </c>
      <c r="X14" s="577">
        <v>0.10799999999999998</v>
      </c>
      <c r="Y14" s="81">
        <v>20.819444386997102</v>
      </c>
      <c r="Z14" s="581">
        <v>0.1938</v>
      </c>
      <c r="AA14" s="81">
        <v>0</v>
      </c>
      <c r="AB14" s="81">
        <v>0.1938</v>
      </c>
      <c r="AC14" s="81">
        <v>0</v>
      </c>
      <c r="AD14" s="611">
        <v>0</v>
      </c>
      <c r="AE14" s="617">
        <v>0.25006465946064299</v>
      </c>
      <c r="AF14" s="615">
        <v>1585</v>
      </c>
      <c r="AG14" s="607">
        <v>292.97149413299593</v>
      </c>
      <c r="AH14" s="55"/>
    </row>
    <row r="15" spans="1:34" x14ac:dyDescent="0.25">
      <c r="A15" s="439" t="s">
        <v>1615</v>
      </c>
      <c r="B15" s="440"/>
      <c r="C15" s="468"/>
      <c r="D15" s="441"/>
      <c r="E15" s="441"/>
      <c r="F15" s="441"/>
      <c r="G15" s="441"/>
      <c r="H15" s="441"/>
      <c r="I15" s="441"/>
      <c r="J15" s="441"/>
      <c r="K15" s="441"/>
      <c r="L15" s="442"/>
      <c r="M15" s="43"/>
      <c r="N15" s="104" t="s">
        <v>1226</v>
      </c>
      <c r="O15" s="114"/>
      <c r="P15" s="100" t="s">
        <v>785</v>
      </c>
      <c r="U15" s="574">
        <v>0.16666666666666699</v>
      </c>
      <c r="V15" s="578">
        <v>0.13650000000000001</v>
      </c>
      <c r="W15" s="80">
        <v>0.21165939692644117</v>
      </c>
      <c r="X15" s="578">
        <v>0.10799999999999998</v>
      </c>
      <c r="Y15" s="80">
        <v>20.79365356376994</v>
      </c>
      <c r="Z15" s="582">
        <v>0.1938</v>
      </c>
      <c r="AA15" s="80">
        <v>0</v>
      </c>
      <c r="AB15" s="80">
        <v>0.1938</v>
      </c>
      <c r="AC15" s="80">
        <v>0</v>
      </c>
      <c r="AD15" s="612">
        <v>0</v>
      </c>
      <c r="AE15" s="616">
        <v>0.25006466176947328</v>
      </c>
      <c r="AF15" s="614">
        <v>1585</v>
      </c>
      <c r="AG15" s="608">
        <v>292.96742186628109</v>
      </c>
      <c r="AH15" s="55"/>
    </row>
    <row r="16" spans="1:34" x14ac:dyDescent="0.25">
      <c r="A16" s="443" t="s">
        <v>1198</v>
      </c>
      <c r="B16" s="444"/>
      <c r="C16" s="526"/>
      <c r="D16" s="527"/>
      <c r="E16" s="527"/>
      <c r="F16" s="527"/>
      <c r="G16" s="527"/>
      <c r="H16" s="527"/>
      <c r="I16" s="527"/>
      <c r="J16" s="527"/>
      <c r="K16" s="527"/>
      <c r="L16" s="528"/>
      <c r="M16" s="43"/>
      <c r="N16" s="103" t="s">
        <v>1227</v>
      </c>
      <c r="O16" s="115"/>
      <c r="P16" s="101" t="s">
        <v>785</v>
      </c>
      <c r="U16" s="573">
        <v>0.1875</v>
      </c>
      <c r="V16" s="577">
        <v>0.13650000000000001</v>
      </c>
      <c r="W16" s="81">
        <v>0.18811976603708133</v>
      </c>
      <c r="X16" s="577">
        <v>0.10799999999999998</v>
      </c>
      <c r="Y16" s="81">
        <v>20.767863449486086</v>
      </c>
      <c r="Z16" s="581">
        <v>0.1938</v>
      </c>
      <c r="AA16" s="81">
        <v>0</v>
      </c>
      <c r="AB16" s="81">
        <v>0.1938</v>
      </c>
      <c r="AC16" s="81">
        <v>0</v>
      </c>
      <c r="AD16" s="611">
        <v>0</v>
      </c>
      <c r="AE16" s="617">
        <v>0.25006466407842898</v>
      </c>
      <c r="AF16" s="615">
        <v>1585</v>
      </c>
      <c r="AG16" s="607">
        <v>292.96334959956619</v>
      </c>
      <c r="AH16" s="55"/>
    </row>
    <row r="17" spans="1:34" ht="15.75" thickBot="1" x14ac:dyDescent="0.3">
      <c r="A17" s="445" t="s">
        <v>1645</v>
      </c>
      <c r="B17" s="463"/>
      <c r="C17" s="529"/>
      <c r="D17" s="530"/>
      <c r="E17" s="530"/>
      <c r="F17" s="530"/>
      <c r="G17" s="530"/>
      <c r="H17" s="530"/>
      <c r="I17" s="530"/>
      <c r="J17" s="530"/>
      <c r="K17" s="530"/>
      <c r="L17" s="531"/>
      <c r="M17" s="43"/>
      <c r="N17" s="407" t="s">
        <v>1228</v>
      </c>
      <c r="O17" s="408"/>
      <c r="P17" s="409" t="s">
        <v>785</v>
      </c>
      <c r="U17" s="574">
        <v>0.20833333333333301</v>
      </c>
      <c r="V17" s="578">
        <v>0.21599999999999997</v>
      </c>
      <c r="W17" s="80">
        <v>0.16458078947990712</v>
      </c>
      <c r="X17" s="578">
        <v>0.17039999999999997</v>
      </c>
      <c r="Y17" s="80">
        <v>20.74207404414555</v>
      </c>
      <c r="Z17" s="582">
        <v>0.3579</v>
      </c>
      <c r="AA17" s="80">
        <v>5.333333333333333</v>
      </c>
      <c r="AB17" s="80">
        <v>0.3579</v>
      </c>
      <c r="AC17" s="80">
        <v>0</v>
      </c>
      <c r="AD17" s="612">
        <v>0</v>
      </c>
      <c r="AE17" s="616">
        <v>0.25006466638750668</v>
      </c>
      <c r="AF17" s="614">
        <v>2500</v>
      </c>
      <c r="AG17" s="608">
        <v>292.95927733285134</v>
      </c>
      <c r="AH17" s="55"/>
    </row>
    <row r="18" spans="1:34" ht="15.75" thickBot="1" x14ac:dyDescent="0.3">
      <c r="A18" s="446" t="s">
        <v>1189</v>
      </c>
      <c r="B18" s="447"/>
      <c r="C18" s="469"/>
      <c r="D18" s="448"/>
      <c r="E18" s="448"/>
      <c r="F18" s="448"/>
      <c r="G18" s="448"/>
      <c r="H18" s="448"/>
      <c r="I18" s="448"/>
      <c r="J18" s="448"/>
      <c r="K18" s="448"/>
      <c r="L18" s="449"/>
      <c r="M18" s="43"/>
      <c r="U18" s="573">
        <v>0.22916666666666699</v>
      </c>
      <c r="V18" s="577">
        <v>0.21599999999999997</v>
      </c>
      <c r="W18" s="81">
        <v>0.15864426550585203</v>
      </c>
      <c r="X18" s="577">
        <v>0.17039999999999997</v>
      </c>
      <c r="Y18" s="81">
        <v>20.735501944259514</v>
      </c>
      <c r="Z18" s="581">
        <v>0.3579</v>
      </c>
      <c r="AA18" s="81">
        <v>0</v>
      </c>
      <c r="AB18" s="81">
        <v>0.3579</v>
      </c>
      <c r="AC18" s="81">
        <v>0</v>
      </c>
      <c r="AD18" s="611">
        <v>6.9577333333333327</v>
      </c>
      <c r="AE18" s="617">
        <v>0.25001599918704248</v>
      </c>
      <c r="AF18" s="615">
        <v>2500</v>
      </c>
      <c r="AG18" s="607">
        <v>292.95826973293077</v>
      </c>
      <c r="AH18" s="55"/>
    </row>
    <row r="19" spans="1:34" ht="15.75" thickBot="1" x14ac:dyDescent="0.3">
      <c r="A19" s="450" t="s">
        <v>1198</v>
      </c>
      <c r="B19" s="451"/>
      <c r="C19" s="532"/>
      <c r="D19" s="533"/>
      <c r="E19" s="533"/>
      <c r="F19" s="533"/>
      <c r="G19" s="533"/>
      <c r="H19" s="533"/>
      <c r="I19" s="533"/>
      <c r="J19" s="533"/>
      <c r="K19" s="533"/>
      <c r="L19" s="534"/>
      <c r="M19" s="43"/>
      <c r="N19" s="559" t="s">
        <v>1627</v>
      </c>
      <c r="O19" s="560"/>
      <c r="P19" s="561"/>
      <c r="U19" s="574">
        <v>0.25</v>
      </c>
      <c r="V19" s="578">
        <v>0.21599999999999997</v>
      </c>
      <c r="W19" s="80">
        <v>0.15270778236403379</v>
      </c>
      <c r="X19" s="578">
        <v>0.17039999999999997</v>
      </c>
      <c r="Y19" s="80">
        <v>20.728929889090875</v>
      </c>
      <c r="Z19" s="582">
        <v>0.3579</v>
      </c>
      <c r="AA19" s="80">
        <v>5.333333333333333</v>
      </c>
      <c r="AB19" s="80">
        <v>4.3579000000000017</v>
      </c>
      <c r="AC19" s="80">
        <v>4.0000000000000009</v>
      </c>
      <c r="AD19" s="612">
        <v>0</v>
      </c>
      <c r="AE19" s="616">
        <v>0.2500159993283888</v>
      </c>
      <c r="AF19" s="614">
        <v>2500</v>
      </c>
      <c r="AG19" s="608">
        <v>292.95726213301026</v>
      </c>
      <c r="AH19" s="55"/>
    </row>
    <row r="20" spans="1:34" ht="15.75" thickBot="1" x14ac:dyDescent="0.3">
      <c r="A20" s="452" t="s">
        <v>1646</v>
      </c>
      <c r="B20" s="464"/>
      <c r="C20" s="535"/>
      <c r="D20" s="536"/>
      <c r="E20" s="536"/>
      <c r="F20" s="536"/>
      <c r="G20" s="536"/>
      <c r="H20" s="536"/>
      <c r="I20" s="536"/>
      <c r="J20" s="536"/>
      <c r="K20" s="536"/>
      <c r="L20" s="537"/>
      <c r="M20" s="43"/>
      <c r="N20" s="299" t="s">
        <v>1460</v>
      </c>
      <c r="O20" s="300" t="s">
        <v>1461</v>
      </c>
      <c r="P20" s="301" t="s">
        <v>2</v>
      </c>
      <c r="U20" s="573">
        <v>0.27083333333333298</v>
      </c>
      <c r="V20" s="577">
        <v>0.21599999999999997</v>
      </c>
      <c r="W20" s="81">
        <v>0.14677134005445236</v>
      </c>
      <c r="X20" s="577">
        <v>0.17039999999999997</v>
      </c>
      <c r="Y20" s="81">
        <v>20.722357878639627</v>
      </c>
      <c r="Z20" s="581">
        <v>0.3579</v>
      </c>
      <c r="AA20" s="81">
        <v>0</v>
      </c>
      <c r="AB20" s="81">
        <v>0.3579</v>
      </c>
      <c r="AC20" s="81">
        <v>0</v>
      </c>
      <c r="AD20" s="611">
        <v>0</v>
      </c>
      <c r="AE20" s="617">
        <v>0.25001599946973774</v>
      </c>
      <c r="AF20" s="615">
        <v>2500</v>
      </c>
      <c r="AG20" s="607">
        <v>292.95625453308975</v>
      </c>
      <c r="AH20" s="55"/>
    </row>
    <row r="21" spans="1:34" x14ac:dyDescent="0.25">
      <c r="A21" s="453" t="s">
        <v>1190</v>
      </c>
      <c r="B21" s="454"/>
      <c r="C21" s="470"/>
      <c r="D21" s="455"/>
      <c r="E21" s="455"/>
      <c r="F21" s="455"/>
      <c r="G21" s="455"/>
      <c r="H21" s="455"/>
      <c r="I21" s="455"/>
      <c r="J21" s="455"/>
      <c r="K21" s="455"/>
      <c r="L21" s="456"/>
      <c r="M21" s="43"/>
      <c r="N21" s="103" t="s">
        <v>1252</v>
      </c>
      <c r="O21" s="296"/>
      <c r="P21" s="302">
        <v>130</v>
      </c>
      <c r="U21" s="574">
        <v>0.29166666666666702</v>
      </c>
      <c r="V21" s="578">
        <v>0.21599999999999997</v>
      </c>
      <c r="W21" s="80">
        <v>0.1408349385771078</v>
      </c>
      <c r="X21" s="578">
        <v>0.17039999999999997</v>
      </c>
      <c r="Y21" s="80">
        <v>20.715785912905776</v>
      </c>
      <c r="Z21" s="582">
        <v>0.3579</v>
      </c>
      <c r="AA21" s="80">
        <v>0</v>
      </c>
      <c r="AB21" s="80">
        <v>0.3579</v>
      </c>
      <c r="AC21" s="80">
        <v>0</v>
      </c>
      <c r="AD21" s="612">
        <v>0</v>
      </c>
      <c r="AE21" s="616">
        <v>0.25001599961108856</v>
      </c>
      <c r="AF21" s="614">
        <v>2500</v>
      </c>
      <c r="AG21" s="608">
        <v>292.95524693316924</v>
      </c>
      <c r="AH21" s="55"/>
    </row>
    <row r="22" spans="1:34" x14ac:dyDescent="0.25">
      <c r="A22" s="457" t="s">
        <v>1198</v>
      </c>
      <c r="B22" s="458"/>
      <c r="C22" s="538"/>
      <c r="D22" s="539"/>
      <c r="E22" s="539"/>
      <c r="F22" s="539"/>
      <c r="G22" s="539"/>
      <c r="H22" s="539"/>
      <c r="I22" s="539"/>
      <c r="J22" s="539"/>
      <c r="K22" s="539"/>
      <c r="L22" s="540"/>
      <c r="M22" s="43"/>
      <c r="N22" s="102" t="s">
        <v>1253</v>
      </c>
      <c r="O22" s="297"/>
      <c r="P22" s="303">
        <v>150</v>
      </c>
      <c r="U22" s="573">
        <v>0.3125</v>
      </c>
      <c r="V22" s="577">
        <v>0.21599999999999997</v>
      </c>
      <c r="W22" s="81">
        <v>0.13489857793200002</v>
      </c>
      <c r="X22" s="577">
        <v>0.17039999999999997</v>
      </c>
      <c r="Y22" s="81">
        <v>20.709213991889314</v>
      </c>
      <c r="Z22" s="581">
        <v>0.3579</v>
      </c>
      <c r="AA22" s="81">
        <v>0</v>
      </c>
      <c r="AB22" s="81">
        <v>0.3579</v>
      </c>
      <c r="AC22" s="81">
        <v>0</v>
      </c>
      <c r="AD22" s="611">
        <v>0</v>
      </c>
      <c r="AE22" s="617">
        <v>0.25001599975244232</v>
      </c>
      <c r="AF22" s="615">
        <v>2500</v>
      </c>
      <c r="AG22" s="607">
        <v>292.95423933324867</v>
      </c>
      <c r="AH22" s="55"/>
    </row>
    <row r="23" spans="1:34" ht="15.75" thickBot="1" x14ac:dyDescent="0.3">
      <c r="A23" s="459" t="s">
        <v>1646</v>
      </c>
      <c r="B23" s="465"/>
      <c r="C23" s="541"/>
      <c r="D23" s="542"/>
      <c r="E23" s="542"/>
      <c r="F23" s="542"/>
      <c r="G23" s="542"/>
      <c r="H23" s="542"/>
      <c r="I23" s="542"/>
      <c r="J23" s="542"/>
      <c r="K23" s="542"/>
      <c r="L23" s="543"/>
      <c r="M23" s="43"/>
      <c r="N23" s="103" t="s">
        <v>1254</v>
      </c>
      <c r="O23" s="296"/>
      <c r="P23" s="302">
        <v>200</v>
      </c>
      <c r="U23" s="574">
        <v>0.33333333333333298</v>
      </c>
      <c r="V23" s="578">
        <v>0.21599999999999997</v>
      </c>
      <c r="W23" s="80">
        <v>0.12896225811912909</v>
      </c>
      <c r="X23" s="578">
        <v>0.17039999999999997</v>
      </c>
      <c r="Y23" s="80">
        <v>20.702642115590251</v>
      </c>
      <c r="Z23" s="582">
        <v>0.3579</v>
      </c>
      <c r="AA23" s="80">
        <v>0</v>
      </c>
      <c r="AB23" s="80">
        <v>0.3579</v>
      </c>
      <c r="AC23" s="80">
        <v>0</v>
      </c>
      <c r="AD23" s="612">
        <v>0</v>
      </c>
      <c r="AE23" s="616">
        <v>0.25001599989379608</v>
      </c>
      <c r="AF23" s="614">
        <v>2500</v>
      </c>
      <c r="AG23" s="608">
        <v>292.95323173332815</v>
      </c>
      <c r="AH23" s="55"/>
    </row>
    <row r="24" spans="1:34" x14ac:dyDescent="0.25">
      <c r="A24" s="471" t="s">
        <v>1614</v>
      </c>
      <c r="B24" s="472"/>
      <c r="C24" s="473"/>
      <c r="D24" s="474"/>
      <c r="E24" s="474"/>
      <c r="F24" s="474"/>
      <c r="G24" s="474"/>
      <c r="H24" s="474"/>
      <c r="I24" s="474"/>
      <c r="J24" s="474"/>
      <c r="K24" s="474"/>
      <c r="L24" s="475"/>
      <c r="M24" s="43"/>
      <c r="N24" s="102" t="s">
        <v>1255</v>
      </c>
      <c r="O24" s="297"/>
      <c r="P24" s="303">
        <v>170</v>
      </c>
      <c r="U24" s="573">
        <v>0.35416666666666702</v>
      </c>
      <c r="V24" s="577">
        <v>0.21599999999999997</v>
      </c>
      <c r="W24" s="81">
        <v>0.123025979138495</v>
      </c>
      <c r="X24" s="577">
        <v>0.17039999999999997</v>
      </c>
      <c r="Y24" s="81">
        <v>20.696070284008581</v>
      </c>
      <c r="Z24" s="581">
        <v>0.3579</v>
      </c>
      <c r="AA24" s="81">
        <v>0</v>
      </c>
      <c r="AB24" s="81">
        <v>0.3579</v>
      </c>
      <c r="AC24" s="81">
        <v>0</v>
      </c>
      <c r="AD24" s="611">
        <v>0</v>
      </c>
      <c r="AE24" s="617">
        <v>0.25001600003515256</v>
      </c>
      <c r="AF24" s="615">
        <v>2500</v>
      </c>
      <c r="AG24" s="607">
        <v>292.95222413340764</v>
      </c>
      <c r="AH24" s="55"/>
    </row>
    <row r="25" spans="1:34" x14ac:dyDescent="0.25">
      <c r="A25" s="460" t="s">
        <v>1198</v>
      </c>
      <c r="B25" s="461"/>
      <c r="C25" s="600"/>
      <c r="D25" s="601"/>
      <c r="E25" s="601"/>
      <c r="F25" s="601"/>
      <c r="G25" s="601"/>
      <c r="H25" s="601"/>
      <c r="I25" s="601"/>
      <c r="J25" s="601"/>
      <c r="K25" s="601"/>
      <c r="L25" s="602"/>
      <c r="M25" s="43"/>
      <c r="N25" s="103" t="s">
        <v>1256</v>
      </c>
      <c r="O25" s="296"/>
      <c r="P25" s="302">
        <v>660</v>
      </c>
      <c r="U25" s="574">
        <v>0.375</v>
      </c>
      <c r="V25" s="578">
        <v>0.21599999999999997</v>
      </c>
      <c r="W25" s="80">
        <v>0.11708974099009775</v>
      </c>
      <c r="X25" s="578">
        <v>0.17039999999999997</v>
      </c>
      <c r="Y25" s="80">
        <v>20.689498497144303</v>
      </c>
      <c r="Z25" s="582">
        <v>0.3579</v>
      </c>
      <c r="AA25" s="80">
        <v>0</v>
      </c>
      <c r="AB25" s="80">
        <v>0.3579</v>
      </c>
      <c r="AC25" s="80">
        <v>0</v>
      </c>
      <c r="AD25" s="612">
        <v>0</v>
      </c>
      <c r="AE25" s="616">
        <v>0.25001600017651093</v>
      </c>
      <c r="AF25" s="614">
        <v>2500</v>
      </c>
      <c r="AG25" s="608">
        <v>292.95121653348713</v>
      </c>
      <c r="AH25" s="55"/>
    </row>
    <row r="26" spans="1:34" ht="15.75" thickBot="1" x14ac:dyDescent="0.3">
      <c r="A26" s="462" t="s">
        <v>1646</v>
      </c>
      <c r="B26" s="466"/>
      <c r="C26" s="603"/>
      <c r="D26" s="604"/>
      <c r="E26" s="604"/>
      <c r="F26" s="604"/>
      <c r="G26" s="604"/>
      <c r="H26" s="604"/>
      <c r="I26" s="604"/>
      <c r="J26" s="604"/>
      <c r="K26" s="604"/>
      <c r="L26" s="605"/>
      <c r="M26" s="43"/>
      <c r="N26" s="102" t="s">
        <v>844</v>
      </c>
      <c r="O26" s="297"/>
      <c r="P26" s="303"/>
      <c r="U26" s="573">
        <v>0.39583333333333298</v>
      </c>
      <c r="V26" s="577">
        <v>1.4954999999999998</v>
      </c>
      <c r="W26" s="81">
        <v>0.1111535436739373</v>
      </c>
      <c r="X26" s="577">
        <v>1.1820000000000002</v>
      </c>
      <c r="Y26" s="81">
        <v>20.682926754997418</v>
      </c>
      <c r="Z26" s="581">
        <v>2.6997</v>
      </c>
      <c r="AA26" s="81">
        <v>0</v>
      </c>
      <c r="AB26" s="81">
        <v>2.6997</v>
      </c>
      <c r="AC26" s="81">
        <v>0</v>
      </c>
      <c r="AD26" s="611">
        <v>0</v>
      </c>
      <c r="AE26" s="617">
        <v>0.25001600031787208</v>
      </c>
      <c r="AF26" s="615">
        <v>10292.5</v>
      </c>
      <c r="AG26" s="607">
        <v>292.95020893356656</v>
      </c>
      <c r="AH26" s="55"/>
    </row>
    <row r="27" spans="1:34" ht="15.75" thickBot="1" x14ac:dyDescent="0.3">
      <c r="A27" s="487" t="s">
        <v>1191</v>
      </c>
      <c r="B27" s="488"/>
      <c r="C27" s="489"/>
      <c r="D27" s="490"/>
      <c r="E27" s="490"/>
      <c r="F27" s="490"/>
      <c r="G27" s="490"/>
      <c r="H27" s="490"/>
      <c r="I27" s="490"/>
      <c r="J27" s="490"/>
      <c r="K27" s="490"/>
      <c r="L27" s="491"/>
      <c r="M27" s="43"/>
      <c r="N27" s="219" t="s">
        <v>1</v>
      </c>
      <c r="O27" s="304"/>
      <c r="P27" s="305"/>
      <c r="Q27" s="36"/>
      <c r="R27" s="327"/>
      <c r="U27" s="574">
        <v>0.41666666666666702</v>
      </c>
      <c r="V27" s="578">
        <v>0.21599999999999997</v>
      </c>
      <c r="W27" s="80">
        <v>0.38850880161983203</v>
      </c>
      <c r="X27" s="578">
        <v>0.17039999999999997</v>
      </c>
      <c r="Y27" s="80">
        <v>20.986232365898267</v>
      </c>
      <c r="Z27" s="582">
        <v>1.4109</v>
      </c>
      <c r="AA27" s="80">
        <v>0</v>
      </c>
      <c r="AB27" s="80">
        <v>1.9109000000000003</v>
      </c>
      <c r="AC27" s="80">
        <v>0.50000000000000011</v>
      </c>
      <c r="AD27" s="612">
        <v>1.9396124999999997</v>
      </c>
      <c r="AE27" s="616">
        <v>0.7488057462792278</v>
      </c>
      <c r="AF27" s="614">
        <v>5873.75</v>
      </c>
      <c r="AG27" s="608">
        <v>292.9753012418372</v>
      </c>
      <c r="AH27" s="55"/>
    </row>
    <row r="28" spans="1:34" ht="15.75" thickBot="1" x14ac:dyDescent="0.3">
      <c r="A28" s="492" t="s">
        <v>1198</v>
      </c>
      <c r="B28" s="493"/>
      <c r="C28" s="544"/>
      <c r="D28" s="545"/>
      <c r="E28" s="545"/>
      <c r="F28" s="545"/>
      <c r="G28" s="545"/>
      <c r="H28" s="545"/>
      <c r="I28" s="545"/>
      <c r="J28" s="545"/>
      <c r="K28" s="545"/>
      <c r="L28" s="546"/>
      <c r="M28" s="43"/>
      <c r="O28" s="558"/>
      <c r="P28" s="268"/>
      <c r="U28" s="573">
        <v>0.4375</v>
      </c>
      <c r="V28" s="577">
        <v>0.21599999999999997</v>
      </c>
      <c r="W28" s="81">
        <v>0.38258593849720046</v>
      </c>
      <c r="X28" s="577">
        <v>0.17039999999999997</v>
      </c>
      <c r="Y28" s="81">
        <v>20.980468252466888</v>
      </c>
      <c r="Z28" s="581">
        <v>1.4109</v>
      </c>
      <c r="AA28" s="81">
        <v>0</v>
      </c>
      <c r="AB28" s="81">
        <v>1.9109000000000003</v>
      </c>
      <c r="AC28" s="81">
        <v>0.50000000000000011</v>
      </c>
      <c r="AD28" s="611">
        <v>1.9396124999999997</v>
      </c>
      <c r="AE28" s="617">
        <v>0.74950998918517175</v>
      </c>
      <c r="AF28" s="615">
        <v>5873.75</v>
      </c>
      <c r="AG28" s="607">
        <v>292.98559355404501</v>
      </c>
      <c r="AH28" s="55"/>
    </row>
    <row r="29" spans="1:34" ht="15.75" thickBot="1" x14ac:dyDescent="0.3">
      <c r="A29" s="494" t="s">
        <v>1647</v>
      </c>
      <c r="B29" s="495"/>
      <c r="C29" s="547"/>
      <c r="D29" s="548"/>
      <c r="E29" s="548"/>
      <c r="F29" s="548"/>
      <c r="G29" s="548"/>
      <c r="H29" s="548"/>
      <c r="I29" s="548"/>
      <c r="J29" s="548"/>
      <c r="K29" s="548"/>
      <c r="L29" s="549"/>
      <c r="M29" s="43"/>
      <c r="N29" s="555" t="s">
        <v>1247</v>
      </c>
      <c r="O29" s="586"/>
      <c r="P29" s="587"/>
      <c r="U29" s="574">
        <v>0.45833333333333298</v>
      </c>
      <c r="V29" s="578">
        <v>0.21599999999999997</v>
      </c>
      <c r="W29" s="80">
        <v>0.37666265828627715</v>
      </c>
      <c r="X29" s="578">
        <v>0.17039999999999997</v>
      </c>
      <c r="Y29" s="80">
        <v>20.97470368226158</v>
      </c>
      <c r="Z29" s="582">
        <v>0.3579</v>
      </c>
      <c r="AA29" s="80">
        <v>0</v>
      </c>
      <c r="AB29" s="80">
        <v>0.85790000000000011</v>
      </c>
      <c r="AC29" s="80">
        <v>0.50000000000000011</v>
      </c>
      <c r="AD29" s="612">
        <v>3.4788666666666663</v>
      </c>
      <c r="AE29" s="616">
        <v>0.74951003338191302</v>
      </c>
      <c r="AF29" s="614">
        <v>2500</v>
      </c>
      <c r="AG29" s="608">
        <v>292.99588586625282</v>
      </c>
      <c r="AH29" s="55"/>
    </row>
    <row r="30" spans="1:34" ht="15.75" thickBot="1" x14ac:dyDescent="0.3">
      <c r="A30" s="496" t="s">
        <v>1616</v>
      </c>
      <c r="B30" s="497"/>
      <c r="C30" s="503"/>
      <c r="D30" s="483"/>
      <c r="E30" s="483"/>
      <c r="F30" s="483"/>
      <c r="G30" s="483"/>
      <c r="H30" s="483"/>
      <c r="I30" s="483"/>
      <c r="J30" s="483"/>
      <c r="K30" s="483"/>
      <c r="L30" s="484"/>
      <c r="M30" s="43"/>
      <c r="N30" s="584"/>
      <c r="O30" s="585"/>
      <c r="P30" s="588"/>
      <c r="Q30" s="268"/>
      <c r="U30" s="573">
        <v>0.47916666666666702</v>
      </c>
      <c r="V30" s="577">
        <v>0.21599999999999997</v>
      </c>
      <c r="W30" s="81">
        <v>0.37072466327597708</v>
      </c>
      <c r="X30" s="577">
        <v>0.17039999999999997</v>
      </c>
      <c r="Y30" s="81">
        <v>20.968129978940755</v>
      </c>
      <c r="Z30" s="581">
        <v>0.3579</v>
      </c>
      <c r="AA30" s="81">
        <v>0</v>
      </c>
      <c r="AB30" s="81">
        <v>0.85790000000000011</v>
      </c>
      <c r="AC30" s="81">
        <v>0.50000000000000011</v>
      </c>
      <c r="AD30" s="611">
        <v>3.4788666666666663</v>
      </c>
      <c r="AE30" s="617">
        <v>0.25001599405283054</v>
      </c>
      <c r="AF30" s="615">
        <v>2500</v>
      </c>
      <c r="AG30" s="607">
        <v>292.99487826633225</v>
      </c>
      <c r="AH30" s="55"/>
    </row>
    <row r="31" spans="1:34" x14ac:dyDescent="0.25">
      <c r="A31" s="498" t="s">
        <v>1198</v>
      </c>
      <c r="B31" s="499"/>
      <c r="C31" s="595"/>
      <c r="D31" s="594"/>
      <c r="E31" s="594"/>
      <c r="F31" s="594"/>
      <c r="G31" s="594"/>
      <c r="H31" s="594"/>
      <c r="I31" s="594"/>
      <c r="J31" s="594"/>
      <c r="K31" s="594"/>
      <c r="L31" s="596"/>
      <c r="M31" s="43"/>
      <c r="N31" s="632" t="s">
        <v>1639</v>
      </c>
      <c r="O31" s="412" t="s">
        <v>785</v>
      </c>
      <c r="P31" s="413">
        <v>0</v>
      </c>
      <c r="Q31" s="268"/>
      <c r="U31" s="574">
        <v>0.5</v>
      </c>
      <c r="V31" s="578">
        <v>0.21599999999999997</v>
      </c>
      <c r="W31" s="80">
        <v>0.36478670909791389</v>
      </c>
      <c r="X31" s="578">
        <v>0.17039999999999997</v>
      </c>
      <c r="Y31" s="80">
        <v>20.96155632033733</v>
      </c>
      <c r="Z31" s="582">
        <v>0.3579</v>
      </c>
      <c r="AA31" s="80">
        <v>0</v>
      </c>
      <c r="AB31" s="80">
        <v>0.3579</v>
      </c>
      <c r="AC31" s="80">
        <v>0</v>
      </c>
      <c r="AD31" s="612">
        <v>0</v>
      </c>
      <c r="AE31" s="616">
        <v>0.25001599419410869</v>
      </c>
      <c r="AF31" s="614">
        <v>2500</v>
      </c>
      <c r="AG31" s="608">
        <v>292.99387066641174</v>
      </c>
      <c r="AH31" s="55"/>
    </row>
    <row r="32" spans="1:34" ht="15.75" thickBot="1" x14ac:dyDescent="0.3">
      <c r="A32" s="500" t="s">
        <v>1649</v>
      </c>
      <c r="B32" s="501"/>
      <c r="C32" s="597"/>
      <c r="D32" s="598"/>
      <c r="E32" s="598"/>
      <c r="F32" s="598"/>
      <c r="G32" s="598"/>
      <c r="H32" s="598"/>
      <c r="I32" s="598"/>
      <c r="J32" s="598"/>
      <c r="K32" s="598"/>
      <c r="L32" s="599"/>
      <c r="M32" s="43"/>
      <c r="N32" s="640" t="s">
        <v>1640</v>
      </c>
      <c r="O32" s="218" t="s">
        <v>785</v>
      </c>
      <c r="P32" s="101">
        <v>0</v>
      </c>
      <c r="Q32" s="268"/>
      <c r="U32" s="573">
        <v>0.52083333333333304</v>
      </c>
      <c r="V32" s="577">
        <v>0.21599999999999997</v>
      </c>
      <c r="W32" s="81">
        <v>0.35884879575208756</v>
      </c>
      <c r="X32" s="577">
        <v>0.17039999999999997</v>
      </c>
      <c r="Y32" s="81">
        <v>20.9549827064513</v>
      </c>
      <c r="Z32" s="581">
        <v>0.3579</v>
      </c>
      <c r="AA32" s="81">
        <v>0</v>
      </c>
      <c r="AB32" s="81">
        <v>0.3579</v>
      </c>
      <c r="AC32" s="81">
        <v>0</v>
      </c>
      <c r="AD32" s="611">
        <v>0</v>
      </c>
      <c r="AE32" s="617">
        <v>0.25001599433538974</v>
      </c>
      <c r="AF32" s="615">
        <v>2500</v>
      </c>
      <c r="AG32" s="607">
        <v>292.99286306649122</v>
      </c>
      <c r="AH32" s="55"/>
    </row>
    <row r="33" spans="1:34" x14ac:dyDescent="0.25">
      <c r="A33" s="705" t="s">
        <v>1704</v>
      </c>
      <c r="B33" s="706"/>
      <c r="C33" s="707"/>
      <c r="D33" s="708"/>
      <c r="E33" s="708"/>
      <c r="F33" s="708"/>
      <c r="G33" s="708"/>
      <c r="H33" s="708"/>
      <c r="I33" s="708"/>
      <c r="J33" s="708"/>
      <c r="K33" s="708"/>
      <c r="L33" s="709"/>
      <c r="M33" s="43"/>
      <c r="N33" s="641" t="s">
        <v>1641</v>
      </c>
      <c r="O33" s="217" t="s">
        <v>785</v>
      </c>
      <c r="P33" s="100">
        <v>0</v>
      </c>
      <c r="Q33" s="268"/>
      <c r="U33" s="574">
        <v>0.54166666666666696</v>
      </c>
      <c r="V33" s="578">
        <v>0.21599999999999997</v>
      </c>
      <c r="W33" s="80">
        <v>0.35291092323849799</v>
      </c>
      <c r="X33" s="578">
        <v>0.17039999999999997</v>
      </c>
      <c r="Y33" s="80">
        <v>20.94840913728266</v>
      </c>
      <c r="Z33" s="582">
        <v>0.3579</v>
      </c>
      <c r="AA33" s="80">
        <v>0</v>
      </c>
      <c r="AB33" s="80">
        <v>0.3579</v>
      </c>
      <c r="AC33" s="80">
        <v>0</v>
      </c>
      <c r="AD33" s="612">
        <v>0</v>
      </c>
      <c r="AE33" s="616">
        <v>0.25001599447667328</v>
      </c>
      <c r="AF33" s="614">
        <v>2500</v>
      </c>
      <c r="AG33" s="608">
        <v>292.99185546657066</v>
      </c>
      <c r="AH33" s="55"/>
    </row>
    <row r="34" spans="1:34" x14ac:dyDescent="0.25">
      <c r="A34" s="710" t="s">
        <v>1198</v>
      </c>
      <c r="B34" s="711"/>
      <c r="C34" s="712"/>
      <c r="D34" s="713"/>
      <c r="E34" s="713"/>
      <c r="F34" s="713"/>
      <c r="G34" s="713"/>
      <c r="H34" s="713"/>
      <c r="I34" s="713"/>
      <c r="J34" s="713"/>
      <c r="K34" s="713"/>
      <c r="L34" s="714"/>
      <c r="M34" s="43"/>
      <c r="N34" s="640" t="s">
        <v>1642</v>
      </c>
      <c r="O34" s="218" t="s">
        <v>785</v>
      </c>
      <c r="P34" s="101">
        <v>0</v>
      </c>
      <c r="Q34" s="268"/>
      <c r="U34" s="573">
        <v>0.5625</v>
      </c>
      <c r="V34" s="577">
        <v>0.21599999999999997</v>
      </c>
      <c r="W34" s="81">
        <v>0.34697309155714534</v>
      </c>
      <c r="X34" s="577">
        <v>0.17039999999999997</v>
      </c>
      <c r="Y34" s="81">
        <v>20.941835612831415</v>
      </c>
      <c r="Z34" s="581">
        <v>0.3579</v>
      </c>
      <c r="AA34" s="81">
        <v>0</v>
      </c>
      <c r="AB34" s="81">
        <v>0.3579</v>
      </c>
      <c r="AC34" s="81">
        <v>0</v>
      </c>
      <c r="AD34" s="611">
        <v>0</v>
      </c>
      <c r="AE34" s="617">
        <v>0.25001599461795726</v>
      </c>
      <c r="AF34" s="615">
        <v>2500</v>
      </c>
      <c r="AG34" s="607">
        <v>292.99084786665014</v>
      </c>
      <c r="AH34" s="55"/>
    </row>
    <row r="35" spans="1:34" x14ac:dyDescent="0.25">
      <c r="A35" s="710" t="s">
        <v>1647</v>
      </c>
      <c r="B35" s="711"/>
      <c r="C35" s="720"/>
      <c r="D35" s="721"/>
      <c r="E35" s="721"/>
      <c r="F35" s="721"/>
      <c r="G35" s="721"/>
      <c r="H35" s="721"/>
      <c r="I35" s="721"/>
      <c r="J35" s="721"/>
      <c r="K35" s="721"/>
      <c r="L35" s="722"/>
      <c r="M35" s="43"/>
      <c r="N35" s="641" t="s">
        <v>1643</v>
      </c>
      <c r="O35" s="217" t="s">
        <v>785</v>
      </c>
      <c r="P35" s="100">
        <v>0</v>
      </c>
      <c r="Q35" s="268"/>
      <c r="U35" s="574">
        <v>0.58333333333333304</v>
      </c>
      <c r="V35" s="578">
        <v>0.21599999999999997</v>
      </c>
      <c r="W35" s="80">
        <v>0.34103530070802945</v>
      </c>
      <c r="X35" s="578">
        <v>0.17039999999999997</v>
      </c>
      <c r="Y35" s="80">
        <v>20.935262133097563</v>
      </c>
      <c r="Z35" s="582">
        <v>0.3579</v>
      </c>
      <c r="AA35" s="80">
        <v>0</v>
      </c>
      <c r="AB35" s="80">
        <v>0.3579</v>
      </c>
      <c r="AC35" s="80">
        <v>0</v>
      </c>
      <c r="AD35" s="612">
        <v>0</v>
      </c>
      <c r="AE35" s="616">
        <v>0.25001599475924385</v>
      </c>
      <c r="AF35" s="614">
        <v>2500</v>
      </c>
      <c r="AG35" s="608">
        <v>292.98984026672963</v>
      </c>
      <c r="AH35" s="55"/>
    </row>
    <row r="36" spans="1:34" ht="15.75" thickBot="1" x14ac:dyDescent="0.3">
      <c r="A36" s="715" t="s">
        <v>1649</v>
      </c>
      <c r="B36" s="716"/>
      <c r="C36" s="717"/>
      <c r="D36" s="718"/>
      <c r="E36" s="718"/>
      <c r="F36" s="718"/>
      <c r="G36" s="718"/>
      <c r="H36" s="718"/>
      <c r="I36" s="718"/>
      <c r="J36" s="718"/>
      <c r="K36" s="718"/>
      <c r="L36" s="719"/>
      <c r="M36" s="43"/>
      <c r="N36" s="640" t="s">
        <v>33</v>
      </c>
      <c r="O36" s="218" t="s">
        <v>785</v>
      </c>
      <c r="P36" s="101">
        <v>0</v>
      </c>
      <c r="Q36" s="268"/>
      <c r="U36" s="573">
        <v>0.60416666666666696</v>
      </c>
      <c r="V36" s="577">
        <v>1.4954999999999998</v>
      </c>
      <c r="W36" s="81">
        <v>0.33509755069115044</v>
      </c>
      <c r="X36" s="577">
        <v>1.1820000000000002</v>
      </c>
      <c r="Y36" s="81">
        <v>20.928688698081107</v>
      </c>
      <c r="Z36" s="581">
        <v>2.6997</v>
      </c>
      <c r="AA36" s="81">
        <v>0</v>
      </c>
      <c r="AB36" s="81">
        <v>2.6997</v>
      </c>
      <c r="AC36" s="81">
        <v>0</v>
      </c>
      <c r="AD36" s="611">
        <v>0</v>
      </c>
      <c r="AE36" s="617">
        <v>0.25001599490053222</v>
      </c>
      <c r="AF36" s="615">
        <v>10292.5</v>
      </c>
      <c r="AG36" s="607">
        <v>292.98883266680912</v>
      </c>
      <c r="AH36" s="55"/>
    </row>
    <row r="37" spans="1:34" x14ac:dyDescent="0.25">
      <c r="A37" s="732" t="s">
        <v>1725</v>
      </c>
      <c r="B37" s="733"/>
      <c r="C37" s="734"/>
      <c r="D37" s="735"/>
      <c r="E37" s="735"/>
      <c r="F37" s="735"/>
      <c r="G37" s="735"/>
      <c r="H37" s="735"/>
      <c r="I37" s="735"/>
      <c r="J37" s="735"/>
      <c r="K37" s="735"/>
      <c r="L37" s="736"/>
      <c r="M37" s="43"/>
      <c r="N37" s="641" t="s">
        <v>1624</v>
      </c>
      <c r="O37" s="217" t="s">
        <v>785</v>
      </c>
      <c r="P37" s="100">
        <v>0</v>
      </c>
      <c r="Q37" s="268"/>
      <c r="U37" s="573"/>
      <c r="V37" s="577">
        <v>0.21599999999999997</v>
      </c>
      <c r="W37" s="81">
        <v>0.61250854976105951</v>
      </c>
      <c r="X37" s="577">
        <v>0.17039999999999997</v>
      </c>
      <c r="Y37" s="81">
        <v>21.232054875173979</v>
      </c>
      <c r="Z37" s="581">
        <v>1.4109</v>
      </c>
      <c r="AA37" s="81">
        <v>0</v>
      </c>
      <c r="AB37" s="81">
        <v>1.9109000000000003</v>
      </c>
      <c r="AC37" s="81">
        <v>0.50000000000000011</v>
      </c>
      <c r="AD37" s="611">
        <v>1.9396124999999997</v>
      </c>
      <c r="AE37" s="617">
        <v>0.74880615026977981</v>
      </c>
      <c r="AF37" s="615">
        <v>5873.75</v>
      </c>
      <c r="AG37" s="607">
        <v>293.0139249750797</v>
      </c>
      <c r="AH37" s="55"/>
    </row>
    <row r="38" spans="1:34" x14ac:dyDescent="0.25">
      <c r="A38" s="732" t="s">
        <v>1198</v>
      </c>
      <c r="B38" s="733"/>
      <c r="C38" s="737"/>
      <c r="D38" s="527"/>
      <c r="E38" s="527"/>
      <c r="F38" s="527"/>
      <c r="G38" s="527"/>
      <c r="H38" s="527"/>
      <c r="I38" s="737"/>
      <c r="J38" s="527"/>
      <c r="K38" s="527"/>
      <c r="L38" s="528"/>
      <c r="M38" s="43"/>
      <c r="N38" s="640" t="s">
        <v>1231</v>
      </c>
      <c r="O38" s="218" t="s">
        <v>785</v>
      </c>
      <c r="P38" s="101">
        <v>0</v>
      </c>
      <c r="Q38" s="268"/>
      <c r="U38" s="573"/>
      <c r="V38" s="577">
        <v>0.21599999999999997</v>
      </c>
      <c r="W38" s="81">
        <v>0.60659277038292292</v>
      </c>
      <c r="X38" s="577">
        <v>0.17039999999999997</v>
      </c>
      <c r="Y38" s="81">
        <v>21.226298442180457</v>
      </c>
      <c r="Z38" s="581">
        <v>1.4109</v>
      </c>
      <c r="AA38" s="81">
        <v>0</v>
      </c>
      <c r="AB38" s="81">
        <v>1.9109000000000003</v>
      </c>
      <c r="AC38" s="81">
        <v>0.50000000000000011</v>
      </c>
      <c r="AD38" s="611">
        <v>1.9396124999999997</v>
      </c>
      <c r="AE38" s="617">
        <v>0.74951015501043328</v>
      </c>
      <c r="AF38" s="615">
        <v>5873.75</v>
      </c>
      <c r="AG38" s="607">
        <v>293.02421728728751</v>
      </c>
      <c r="AH38" s="55"/>
    </row>
    <row r="39" spans="1:34" ht="15.75" thickBot="1" x14ac:dyDescent="0.3">
      <c r="A39" s="732" t="s">
        <v>1726</v>
      </c>
      <c r="B39" s="733"/>
      <c r="C39" s="734"/>
      <c r="D39" s="735"/>
      <c r="E39" s="735"/>
      <c r="F39" s="735"/>
      <c r="G39" s="735"/>
      <c r="H39" s="735"/>
      <c r="I39" s="735"/>
      <c r="J39" s="735"/>
      <c r="K39" s="735"/>
      <c r="L39" s="736"/>
      <c r="M39" s="43"/>
      <c r="N39" s="641" t="s">
        <v>1232</v>
      </c>
      <c r="O39" s="217" t="s">
        <v>785</v>
      </c>
      <c r="P39" s="100">
        <v>0</v>
      </c>
      <c r="Q39" s="268"/>
      <c r="U39" s="573"/>
      <c r="V39" s="577">
        <v>0.21599999999999997</v>
      </c>
      <c r="W39" s="81">
        <v>0.60067657391649465</v>
      </c>
      <c r="X39" s="577">
        <v>0.17039999999999997</v>
      </c>
      <c r="Y39" s="81">
        <v>21.220541552413007</v>
      </c>
      <c r="Z39" s="581">
        <v>0.3579</v>
      </c>
      <c r="AA39" s="81">
        <v>0</v>
      </c>
      <c r="AB39" s="81">
        <v>0.3579</v>
      </c>
      <c r="AC39" s="81">
        <v>0</v>
      </c>
      <c r="AD39" s="611">
        <v>0</v>
      </c>
      <c r="AE39" s="617">
        <v>0.74951019918474482</v>
      </c>
      <c r="AF39" s="615">
        <v>2500</v>
      </c>
      <c r="AG39" s="607">
        <v>293.03450959949532</v>
      </c>
      <c r="AH39" s="55"/>
    </row>
    <row r="40" spans="1:34" x14ac:dyDescent="0.25">
      <c r="A40" s="485" t="s">
        <v>1618</v>
      </c>
      <c r="B40" s="486"/>
      <c r="C40" s="507"/>
      <c r="D40" s="508"/>
      <c r="E40" s="508"/>
      <c r="F40" s="508"/>
      <c r="G40" s="508"/>
      <c r="H40" s="508"/>
      <c r="I40" s="508"/>
      <c r="J40" s="508"/>
      <c r="K40" s="508"/>
      <c r="L40" s="509"/>
      <c r="M40" s="43"/>
      <c r="N40" s="642" t="s">
        <v>1628</v>
      </c>
      <c r="O40" s="634" t="s">
        <v>785</v>
      </c>
      <c r="P40" s="635">
        <v>0</v>
      </c>
      <c r="Q40" s="84"/>
      <c r="R40" s="84"/>
      <c r="S40" s="84"/>
      <c r="U40" s="573">
        <v>0.625</v>
      </c>
      <c r="V40" s="577">
        <v>0.21599999999999997</v>
      </c>
      <c r="W40" s="81">
        <v>0.59473702620547597</v>
      </c>
      <c r="X40" s="577">
        <v>0.17039999999999997</v>
      </c>
      <c r="Y40" s="81">
        <v>21.213966156222615</v>
      </c>
      <c r="Z40" s="581">
        <v>0.3579</v>
      </c>
      <c r="AA40" s="81">
        <v>0</v>
      </c>
      <c r="AB40" s="81">
        <v>0.3579</v>
      </c>
      <c r="AC40" s="81">
        <v>0</v>
      </c>
      <c r="AD40" s="611">
        <v>0</v>
      </c>
      <c r="AE40" s="617">
        <v>0.25001598863867192</v>
      </c>
      <c r="AF40" s="615">
        <v>2500</v>
      </c>
      <c r="AG40" s="607">
        <v>293.03350199957481</v>
      </c>
      <c r="AH40" s="55"/>
    </row>
    <row r="41" spans="1:34" x14ac:dyDescent="0.25">
      <c r="A41" s="830" t="s">
        <v>1617</v>
      </c>
      <c r="B41" s="831"/>
      <c r="C41" s="425"/>
      <c r="D41" s="269"/>
      <c r="E41" s="269"/>
      <c r="F41" s="269"/>
      <c r="G41" s="269"/>
      <c r="H41" s="269"/>
      <c r="I41" s="269"/>
      <c r="J41" s="269"/>
      <c r="K41" s="269"/>
      <c r="L41" s="424"/>
      <c r="M41" s="43"/>
      <c r="N41" s="641" t="s">
        <v>1215</v>
      </c>
      <c r="O41" s="217" t="s">
        <v>785</v>
      </c>
      <c r="P41" s="100">
        <v>0</v>
      </c>
      <c r="Q41" s="84"/>
      <c r="R41" s="84"/>
      <c r="S41" s="84"/>
      <c r="U41" s="573">
        <v>0.64583333333333304</v>
      </c>
      <c r="V41" s="577">
        <v>0.21599999999999997</v>
      </c>
      <c r="W41" s="81">
        <v>0.58879751932669411</v>
      </c>
      <c r="X41" s="577">
        <v>0.17039999999999997</v>
      </c>
      <c r="Y41" s="81">
        <v>21.207390804749611</v>
      </c>
      <c r="Z41" s="581">
        <v>0.3579</v>
      </c>
      <c r="AA41" s="81">
        <v>0</v>
      </c>
      <c r="AB41" s="81">
        <v>0.85790000000000011</v>
      </c>
      <c r="AC41" s="81">
        <v>0.50000000000000011</v>
      </c>
      <c r="AD41" s="611">
        <v>3.4788666666666663</v>
      </c>
      <c r="AE41" s="617">
        <v>0.25001598877988024</v>
      </c>
      <c r="AF41" s="615">
        <v>2500</v>
      </c>
      <c r="AG41" s="607">
        <v>293.03249439965424</v>
      </c>
      <c r="AH41" s="55"/>
    </row>
    <row r="42" spans="1:34" ht="15.75" thickBot="1" x14ac:dyDescent="0.3">
      <c r="A42" s="832" t="s">
        <v>1622</v>
      </c>
      <c r="B42" s="833"/>
      <c r="C42" s="504"/>
      <c r="D42" s="505"/>
      <c r="E42" s="505"/>
      <c r="F42" s="505"/>
      <c r="G42" s="505"/>
      <c r="H42" s="505"/>
      <c r="I42" s="505"/>
      <c r="J42" s="505"/>
      <c r="K42" s="505"/>
      <c r="L42" s="506"/>
      <c r="M42" s="43"/>
      <c r="N42" s="643" t="s">
        <v>1705</v>
      </c>
      <c r="O42" s="639" t="s">
        <v>785</v>
      </c>
      <c r="P42" s="649">
        <v>0</v>
      </c>
      <c r="Q42" s="84"/>
      <c r="R42" s="84"/>
      <c r="S42" s="84"/>
      <c r="U42" s="574">
        <v>0.66666666666666696</v>
      </c>
      <c r="V42" s="578">
        <v>0.21599999999999997</v>
      </c>
      <c r="W42" s="80">
        <v>0.58285805328014906</v>
      </c>
      <c r="X42" s="578">
        <v>0.17039999999999997</v>
      </c>
      <c r="Y42" s="80">
        <v>21.200815497994007</v>
      </c>
      <c r="Z42" s="582">
        <v>0.3579</v>
      </c>
      <c r="AA42" s="80">
        <v>0</v>
      </c>
      <c r="AB42" s="80">
        <v>0.85790000000000011</v>
      </c>
      <c r="AC42" s="80">
        <v>0.50000000000000011</v>
      </c>
      <c r="AD42" s="612">
        <v>3.4788666666666663</v>
      </c>
      <c r="AE42" s="616">
        <v>0.25001598892108862</v>
      </c>
      <c r="AF42" s="614">
        <v>2500</v>
      </c>
      <c r="AG42" s="608">
        <v>293.03148679973373</v>
      </c>
      <c r="AH42" s="55"/>
    </row>
    <row r="43" spans="1:34" x14ac:dyDescent="0.25">
      <c r="A43" s="485" t="s">
        <v>1611</v>
      </c>
      <c r="B43" s="486"/>
      <c r="C43" s="507"/>
      <c r="D43" s="508"/>
      <c r="E43" s="508"/>
      <c r="F43" s="508"/>
      <c r="G43" s="508"/>
      <c r="H43" s="508"/>
      <c r="I43" s="508"/>
      <c r="J43" s="508"/>
      <c r="K43" s="508"/>
      <c r="L43" s="509"/>
      <c r="M43" s="43"/>
      <c r="N43" s="641" t="s">
        <v>1713</v>
      </c>
      <c r="O43" s="217" t="s">
        <v>785</v>
      </c>
      <c r="P43" s="100">
        <v>0</v>
      </c>
      <c r="Q43" s="84"/>
      <c r="R43" s="84"/>
      <c r="S43" s="84"/>
      <c r="U43" s="573">
        <v>0.6875</v>
      </c>
      <c r="V43" s="577">
        <v>0.21599999999999997</v>
      </c>
      <c r="W43" s="81">
        <v>0.57691862806584093</v>
      </c>
      <c r="X43" s="577">
        <v>0.17039999999999997</v>
      </c>
      <c r="Y43" s="81">
        <v>21.194240235955796</v>
      </c>
      <c r="Z43" s="581">
        <v>0.3579</v>
      </c>
      <c r="AA43" s="81">
        <v>0</v>
      </c>
      <c r="AB43" s="81">
        <v>0.3579</v>
      </c>
      <c r="AC43" s="81">
        <v>0</v>
      </c>
      <c r="AD43" s="611">
        <v>0</v>
      </c>
      <c r="AE43" s="617">
        <v>0.25001598906229971</v>
      </c>
      <c r="AF43" s="615">
        <v>2500</v>
      </c>
      <c r="AG43" s="607">
        <v>293.03047919981321</v>
      </c>
      <c r="AH43" s="55"/>
    </row>
    <row r="44" spans="1:34" ht="15.75" thickBot="1" x14ac:dyDescent="0.3">
      <c r="A44" s="123" t="s">
        <v>1612</v>
      </c>
      <c r="B44" s="421"/>
      <c r="C44" s="510"/>
      <c r="D44" s="511"/>
      <c r="E44" s="511"/>
      <c r="F44" s="511"/>
      <c r="G44" s="511"/>
      <c r="H44" s="511"/>
      <c r="I44" s="511"/>
      <c r="J44" s="511"/>
      <c r="K44" s="511"/>
      <c r="L44" s="476"/>
      <c r="M44" s="43"/>
      <c r="N44" s="643" t="s">
        <v>1714</v>
      </c>
      <c r="O44" s="639" t="s">
        <v>785</v>
      </c>
      <c r="P44" s="649">
        <v>0</v>
      </c>
      <c r="Q44" s="84"/>
      <c r="R44" s="84"/>
      <c r="S44" s="84"/>
      <c r="U44" s="574">
        <v>0.70833333333333304</v>
      </c>
      <c r="V44" s="578">
        <v>0.21599999999999997</v>
      </c>
      <c r="W44" s="80">
        <v>0.57097924368376962</v>
      </c>
      <c r="X44" s="578">
        <v>0.17039999999999997</v>
      </c>
      <c r="Y44" s="80">
        <v>21.187665018634981</v>
      </c>
      <c r="Z44" s="582">
        <v>0.3579</v>
      </c>
      <c r="AA44" s="80">
        <v>0</v>
      </c>
      <c r="AB44" s="80">
        <v>0.3579</v>
      </c>
      <c r="AC44" s="80">
        <v>0</v>
      </c>
      <c r="AD44" s="612">
        <v>0</v>
      </c>
      <c r="AE44" s="616">
        <v>0.25001598920351276</v>
      </c>
      <c r="AF44" s="614">
        <v>2500</v>
      </c>
      <c r="AG44" s="608">
        <v>293.0294715998927</v>
      </c>
      <c r="AH44" s="55"/>
    </row>
    <row r="45" spans="1:34" x14ac:dyDescent="0.25">
      <c r="A45" s="433" t="s">
        <v>1261</v>
      </c>
      <c r="B45" s="654" t="s">
        <v>785</v>
      </c>
      <c r="C45" s="690"/>
      <c r="D45" s="691"/>
      <c r="E45" s="691"/>
      <c r="F45" s="691"/>
      <c r="G45" s="691"/>
      <c r="H45" s="691"/>
      <c r="I45" s="691"/>
      <c r="J45" s="691"/>
      <c r="K45" s="691"/>
      <c r="L45" s="692"/>
      <c r="M45" s="43"/>
      <c r="N45" s="641" t="s">
        <v>1728</v>
      </c>
      <c r="O45" s="217" t="s">
        <v>785</v>
      </c>
      <c r="P45" s="100">
        <v>500</v>
      </c>
      <c r="Q45" s="84"/>
      <c r="R45" s="84"/>
      <c r="S45" s="84"/>
      <c r="U45" s="573">
        <v>0.72916666666666696</v>
      </c>
      <c r="V45" s="577">
        <v>0.21599999999999997</v>
      </c>
      <c r="W45" s="81">
        <v>0.56503990013393501</v>
      </c>
      <c r="X45" s="577">
        <v>0.17039999999999997</v>
      </c>
      <c r="Y45" s="81">
        <v>21.181089846031551</v>
      </c>
      <c r="Z45" s="581">
        <v>0.3579</v>
      </c>
      <c r="AA45" s="81">
        <v>0</v>
      </c>
      <c r="AB45" s="81">
        <v>0.3579</v>
      </c>
      <c r="AC45" s="81">
        <v>0</v>
      </c>
      <c r="AD45" s="611">
        <v>0</v>
      </c>
      <c r="AE45" s="617">
        <v>0.25001598934472841</v>
      </c>
      <c r="AF45" s="615">
        <v>2500</v>
      </c>
      <c r="AG45" s="607">
        <v>293.02846399997213</v>
      </c>
      <c r="AH45" s="55"/>
    </row>
    <row r="46" spans="1:34" ht="15.75" thickBot="1" x14ac:dyDescent="0.3">
      <c r="A46" s="425" t="s">
        <v>1665</v>
      </c>
      <c r="B46" s="563" t="s">
        <v>1234</v>
      </c>
      <c r="C46" s="684"/>
      <c r="D46" s="685"/>
      <c r="E46" s="685"/>
      <c r="F46" s="685"/>
      <c r="G46" s="685"/>
      <c r="H46" s="685"/>
      <c r="I46" s="685"/>
      <c r="J46" s="685"/>
      <c r="K46" s="685"/>
      <c r="L46" s="686"/>
      <c r="M46" s="43"/>
      <c r="N46" s="729" t="s">
        <v>1629</v>
      </c>
      <c r="O46" s="730" t="s">
        <v>785</v>
      </c>
      <c r="P46" s="731">
        <v>0</v>
      </c>
      <c r="Q46" s="84"/>
      <c r="R46" s="84"/>
      <c r="S46" s="84"/>
      <c r="U46" s="574">
        <v>0.75</v>
      </c>
      <c r="V46" s="578">
        <v>0.21599999999999997</v>
      </c>
      <c r="W46" s="80">
        <v>0.55910059741633733</v>
      </c>
      <c r="X46" s="578">
        <v>0.17039999999999997</v>
      </c>
      <c r="Y46" s="80">
        <v>21.174514718145524</v>
      </c>
      <c r="Z46" s="582">
        <v>0.3579</v>
      </c>
      <c r="AA46" s="80">
        <v>0</v>
      </c>
      <c r="AB46" s="80">
        <v>0.3579</v>
      </c>
      <c r="AC46" s="80">
        <v>0</v>
      </c>
      <c r="AD46" s="612">
        <v>0</v>
      </c>
      <c r="AE46" s="616">
        <v>0.25001598948594417</v>
      </c>
      <c r="AF46" s="614">
        <v>2500</v>
      </c>
      <c r="AG46" s="608">
        <v>293.02745640005162</v>
      </c>
      <c r="AH46" s="55"/>
    </row>
    <row r="47" spans="1:34" x14ac:dyDescent="0.25">
      <c r="A47" s="640" t="s">
        <v>68</v>
      </c>
      <c r="B47" s="653" t="s">
        <v>785</v>
      </c>
      <c r="C47" s="687"/>
      <c r="D47" s="688"/>
      <c r="E47" s="688"/>
      <c r="F47" s="688"/>
      <c r="G47" s="688"/>
      <c r="H47" s="688"/>
      <c r="I47" s="688"/>
      <c r="J47" s="688"/>
      <c r="K47" s="688"/>
      <c r="L47" s="689"/>
      <c r="M47" s="43"/>
      <c r="Q47" s="84"/>
      <c r="R47" s="84"/>
      <c r="S47" s="84"/>
      <c r="U47" s="573">
        <v>0.77083333333333304</v>
      </c>
      <c r="V47" s="577">
        <v>0.21599999999999997</v>
      </c>
      <c r="W47" s="81">
        <v>0.55316133553097657</v>
      </c>
      <c r="X47" s="577">
        <v>0.17039999999999997</v>
      </c>
      <c r="Y47" s="81">
        <v>21.167939634976886</v>
      </c>
      <c r="Z47" s="581">
        <v>0.3579</v>
      </c>
      <c r="AA47" s="81">
        <v>2.6666666666666665</v>
      </c>
      <c r="AB47" s="81">
        <v>0.3579</v>
      </c>
      <c r="AC47" s="81">
        <v>0</v>
      </c>
      <c r="AD47" s="611">
        <v>0</v>
      </c>
      <c r="AE47" s="617">
        <v>0.25001598962716293</v>
      </c>
      <c r="AF47" s="615">
        <v>2500</v>
      </c>
      <c r="AG47" s="607">
        <v>293.02644880013111</v>
      </c>
      <c r="AH47" s="55"/>
    </row>
    <row r="48" spans="1:34" x14ac:dyDescent="0.25">
      <c r="A48" s="425" t="s">
        <v>939</v>
      </c>
      <c r="B48" s="563" t="s">
        <v>785</v>
      </c>
      <c r="C48" s="684"/>
      <c r="D48" s="685"/>
      <c r="E48" s="685"/>
      <c r="F48" s="685"/>
      <c r="G48" s="685"/>
      <c r="H48" s="685"/>
      <c r="I48" s="685"/>
      <c r="J48" s="685"/>
      <c r="K48" s="685"/>
      <c r="L48" s="686"/>
      <c r="M48" s="43"/>
      <c r="Q48" s="84"/>
      <c r="R48" s="84"/>
      <c r="S48" s="84"/>
      <c r="U48" s="574">
        <v>0.79166666666666696</v>
      </c>
      <c r="V48" s="578">
        <v>0.21599999999999997</v>
      </c>
      <c r="W48" s="80">
        <v>0.54722211447785241</v>
      </c>
      <c r="X48" s="578">
        <v>0.17039999999999997</v>
      </c>
      <c r="Y48" s="80">
        <v>21.16136459652564</v>
      </c>
      <c r="Z48" s="582">
        <v>0.3579</v>
      </c>
      <c r="AA48" s="80">
        <v>2.6666666666666665</v>
      </c>
      <c r="AB48" s="80">
        <v>0.3579</v>
      </c>
      <c r="AC48" s="80">
        <v>0</v>
      </c>
      <c r="AD48" s="612">
        <v>0</v>
      </c>
      <c r="AE48" s="616">
        <v>0.25001598976838424</v>
      </c>
      <c r="AF48" s="614">
        <v>2500</v>
      </c>
      <c r="AG48" s="608">
        <v>293.02544120021054</v>
      </c>
      <c r="AH48" s="55"/>
    </row>
    <row r="49" spans="1:34" x14ac:dyDescent="0.25">
      <c r="A49" s="640" t="s">
        <v>940</v>
      </c>
      <c r="B49" s="653" t="s">
        <v>785</v>
      </c>
      <c r="C49" s="687"/>
      <c r="D49" s="688"/>
      <c r="E49" s="688"/>
      <c r="F49" s="688"/>
      <c r="G49" s="688"/>
      <c r="H49" s="688"/>
      <c r="I49" s="688"/>
      <c r="J49" s="688"/>
      <c r="K49" s="688"/>
      <c r="L49" s="689"/>
      <c r="M49" s="43"/>
      <c r="Q49" s="84"/>
      <c r="R49" s="84"/>
      <c r="S49" s="84"/>
      <c r="U49" s="573">
        <v>0.8125</v>
      </c>
      <c r="V49" s="577">
        <v>0.13650000000000001</v>
      </c>
      <c r="W49" s="81">
        <v>0.54128293425696528</v>
      </c>
      <c r="X49" s="577">
        <v>0.10799999999999998</v>
      </c>
      <c r="Y49" s="81">
        <v>21.154789602791794</v>
      </c>
      <c r="Z49" s="581">
        <v>0.1938</v>
      </c>
      <c r="AA49" s="81">
        <v>0</v>
      </c>
      <c r="AB49" s="81">
        <v>0.1938</v>
      </c>
      <c r="AC49" s="81">
        <v>0</v>
      </c>
      <c r="AD49" s="611">
        <v>0</v>
      </c>
      <c r="AE49" s="617">
        <v>0.25001598990960555</v>
      </c>
      <c r="AF49" s="615">
        <v>1585</v>
      </c>
      <c r="AG49" s="607">
        <v>293.02443360029002</v>
      </c>
      <c r="AH49" s="55"/>
    </row>
    <row r="50" spans="1:34" x14ac:dyDescent="0.25">
      <c r="A50" s="425" t="s">
        <v>128</v>
      </c>
      <c r="B50" s="563" t="s">
        <v>785</v>
      </c>
      <c r="C50" s="684"/>
      <c r="D50" s="685"/>
      <c r="E50" s="685"/>
      <c r="F50" s="685"/>
      <c r="G50" s="685"/>
      <c r="H50" s="685"/>
      <c r="I50" s="685"/>
      <c r="J50" s="685"/>
      <c r="K50" s="685"/>
      <c r="L50" s="686"/>
      <c r="M50" s="43"/>
      <c r="Q50" s="84"/>
      <c r="R50" s="84"/>
      <c r="S50" s="84"/>
      <c r="U50" s="574">
        <v>0.83333333333333304</v>
      </c>
      <c r="V50" s="578">
        <v>0.13650000000000001</v>
      </c>
      <c r="W50" s="80">
        <v>0.51773414271700746</v>
      </c>
      <c r="X50" s="578">
        <v>0.10799999999999998</v>
      </c>
      <c r="Y50" s="80">
        <v>21.128989563301563</v>
      </c>
      <c r="Z50" s="582">
        <v>0.1938</v>
      </c>
      <c r="AA50" s="80">
        <v>0</v>
      </c>
      <c r="AB50" s="80">
        <v>0.1938</v>
      </c>
      <c r="AC50" s="80">
        <v>0</v>
      </c>
      <c r="AD50" s="612">
        <v>0</v>
      </c>
      <c r="AE50" s="616">
        <v>0.25006463176431093</v>
      </c>
      <c r="AF50" s="614">
        <v>1585</v>
      </c>
      <c r="AG50" s="608">
        <v>293.02036133357518</v>
      </c>
      <c r="AH50" s="55"/>
    </row>
    <row r="51" spans="1:34" x14ac:dyDescent="0.25">
      <c r="A51" s="640" t="s">
        <v>1559</v>
      </c>
      <c r="B51" s="653" t="s">
        <v>785</v>
      </c>
      <c r="C51" s="687"/>
      <c r="D51" s="688"/>
      <c r="E51" s="688"/>
      <c r="F51" s="688"/>
      <c r="G51" s="688"/>
      <c r="H51" s="688"/>
      <c r="I51" s="688"/>
      <c r="J51" s="688"/>
      <c r="K51" s="688"/>
      <c r="L51" s="689"/>
      <c r="M51" s="43"/>
      <c r="N51" s="84"/>
      <c r="O51" s="84"/>
      <c r="P51" s="84"/>
      <c r="Q51" s="84"/>
      <c r="R51" s="84"/>
      <c r="S51" s="84"/>
      <c r="U51" s="573">
        <v>0.85416666666666696</v>
      </c>
      <c r="V51" s="577">
        <v>0.13650000000000001</v>
      </c>
      <c r="W51" s="81">
        <v>0.49418600550923508</v>
      </c>
      <c r="X51" s="577">
        <v>0.10799999999999998</v>
      </c>
      <c r="Y51" s="81">
        <v>21.103190232754645</v>
      </c>
      <c r="Z51" s="581">
        <v>0.1938</v>
      </c>
      <c r="AA51" s="81">
        <v>0</v>
      </c>
      <c r="AB51" s="81">
        <v>0.1938</v>
      </c>
      <c r="AC51" s="81">
        <v>0</v>
      </c>
      <c r="AD51" s="611">
        <v>0</v>
      </c>
      <c r="AE51" s="617">
        <v>0.25006463407165969</v>
      </c>
      <c r="AF51" s="615">
        <v>1585</v>
      </c>
      <c r="AG51" s="607">
        <v>293.01628906686028</v>
      </c>
      <c r="AH51" s="55"/>
    </row>
    <row r="52" spans="1:34" x14ac:dyDescent="0.25">
      <c r="A52" s="640" t="s">
        <v>1704</v>
      </c>
      <c r="B52" s="653" t="s">
        <v>785</v>
      </c>
      <c r="C52" s="687"/>
      <c r="D52" s="688"/>
      <c r="E52" s="688"/>
      <c r="F52" s="688"/>
      <c r="G52" s="688"/>
      <c r="H52" s="688"/>
      <c r="I52" s="688"/>
      <c r="J52" s="688"/>
      <c r="K52" s="688"/>
      <c r="L52" s="689"/>
      <c r="M52" s="43"/>
      <c r="N52" s="84"/>
      <c r="O52" s="84"/>
      <c r="P52" s="84"/>
      <c r="Q52" s="84"/>
      <c r="R52" s="84"/>
      <c r="S52" s="84"/>
      <c r="U52" s="574">
        <v>0.875</v>
      </c>
      <c r="V52" s="578">
        <v>0.13650000000000001</v>
      </c>
      <c r="W52" s="80">
        <v>0.47063852263364836</v>
      </c>
      <c r="X52" s="578">
        <v>0.10799999999999998</v>
      </c>
      <c r="Y52" s="80">
        <v>21.077391611151043</v>
      </c>
      <c r="Z52" s="582">
        <v>0.1938</v>
      </c>
      <c r="AA52" s="80">
        <v>0</v>
      </c>
      <c r="AB52" s="80">
        <v>0.1938</v>
      </c>
      <c r="AC52" s="80">
        <v>0</v>
      </c>
      <c r="AD52" s="612">
        <v>0</v>
      </c>
      <c r="AE52" s="616">
        <v>0.25006463637913007</v>
      </c>
      <c r="AF52" s="614">
        <v>1585</v>
      </c>
      <c r="AG52" s="608">
        <v>293.01221680014544</v>
      </c>
      <c r="AH52" s="55"/>
    </row>
    <row r="53" spans="1:34" x14ac:dyDescent="0.25">
      <c r="A53" s="640" t="s">
        <v>1727</v>
      </c>
      <c r="B53" s="653" t="s">
        <v>785</v>
      </c>
      <c r="C53" s="687"/>
      <c r="D53" s="688"/>
      <c r="E53" s="688"/>
      <c r="F53" s="688"/>
      <c r="G53" s="688"/>
      <c r="H53" s="688"/>
      <c r="I53" s="688"/>
      <c r="J53" s="688"/>
      <c r="K53" s="688"/>
      <c r="L53" s="689"/>
      <c r="M53" s="43"/>
      <c r="N53" s="84"/>
      <c r="O53" s="84"/>
      <c r="P53" s="84"/>
      <c r="Q53" s="84"/>
      <c r="R53" s="84"/>
      <c r="S53" s="84"/>
      <c r="U53" s="574">
        <v>0.875</v>
      </c>
      <c r="V53" s="578">
        <v>0.13650000000000001</v>
      </c>
      <c r="W53" s="80">
        <v>0.44709169409024713</v>
      </c>
      <c r="X53" s="578">
        <v>0.10799999999999998</v>
      </c>
      <c r="Y53" s="80">
        <v>21.051593698490748</v>
      </c>
      <c r="Z53" s="582">
        <v>0.1938</v>
      </c>
      <c r="AA53" s="80">
        <v>0</v>
      </c>
      <c r="AB53" s="80">
        <v>0.1938</v>
      </c>
      <c r="AC53" s="80">
        <v>0</v>
      </c>
      <c r="AD53" s="612">
        <v>0</v>
      </c>
      <c r="AE53" s="616">
        <v>0.25006463868672596</v>
      </c>
      <c r="AF53" s="614">
        <v>1585</v>
      </c>
      <c r="AG53" s="608">
        <v>293.00814453343054</v>
      </c>
      <c r="AH53" s="55"/>
    </row>
    <row r="54" spans="1:34" x14ac:dyDescent="0.25">
      <c r="A54" s="425" t="s">
        <v>1197</v>
      </c>
      <c r="B54" s="563" t="s">
        <v>785</v>
      </c>
      <c r="C54" s="684"/>
      <c r="D54" s="685"/>
      <c r="E54" s="685"/>
      <c r="F54" s="685"/>
      <c r="G54" s="685"/>
      <c r="H54" s="685"/>
      <c r="I54" s="685"/>
      <c r="J54" s="685"/>
      <c r="K54" s="685"/>
      <c r="L54" s="686"/>
      <c r="M54" s="43"/>
      <c r="N54" s="84"/>
      <c r="O54" s="84"/>
      <c r="P54" s="84"/>
      <c r="Q54" s="84"/>
      <c r="R54" s="406"/>
      <c r="S54" s="84"/>
      <c r="U54" s="573">
        <v>0.89583333333333304</v>
      </c>
      <c r="V54" s="577">
        <v>0.13650000000000001</v>
      </c>
      <c r="W54" s="81">
        <v>0.42354551987903161</v>
      </c>
      <c r="X54" s="577">
        <v>0.10799999999999998</v>
      </c>
      <c r="Y54" s="81">
        <v>21.025796494773772</v>
      </c>
      <c r="Z54" s="581">
        <v>0.1938</v>
      </c>
      <c r="AA54" s="81">
        <v>0</v>
      </c>
      <c r="AB54" s="81">
        <v>0.1938</v>
      </c>
      <c r="AC54" s="81">
        <v>0</v>
      </c>
      <c r="AD54" s="611">
        <v>0</v>
      </c>
      <c r="AE54" s="617">
        <v>0.25006464099444364</v>
      </c>
      <c r="AF54" s="615">
        <v>1585</v>
      </c>
      <c r="AG54" s="607">
        <v>293.0040722667157</v>
      </c>
      <c r="AH54" s="55"/>
    </row>
    <row r="55" spans="1:34" x14ac:dyDescent="0.25">
      <c r="A55" s="640" t="s">
        <v>1623</v>
      </c>
      <c r="B55" s="653" t="s">
        <v>785</v>
      </c>
      <c r="C55" s="687"/>
      <c r="D55" s="688"/>
      <c r="E55" s="688"/>
      <c r="F55" s="688"/>
      <c r="G55" s="688"/>
      <c r="H55" s="688"/>
      <c r="I55" s="688"/>
      <c r="J55" s="688"/>
      <c r="K55" s="688"/>
      <c r="L55" s="689"/>
      <c r="M55" s="43"/>
      <c r="N55" s="84"/>
      <c r="O55" s="84"/>
      <c r="P55" s="84"/>
      <c r="Q55" s="84"/>
      <c r="R55" s="406"/>
      <c r="S55" s="84"/>
      <c r="U55" s="574">
        <v>0.91666666666666696</v>
      </c>
      <c r="V55" s="578">
        <v>0.21840000000000001</v>
      </c>
      <c r="W55" s="80">
        <v>0.55070081282766148</v>
      </c>
      <c r="X55" s="578">
        <v>0.17280000000000001</v>
      </c>
      <c r="Y55" s="80">
        <v>21.165039820818979</v>
      </c>
      <c r="Z55" s="582">
        <v>0.31040000000000001</v>
      </c>
      <c r="AA55" s="80">
        <v>0</v>
      </c>
      <c r="AB55" s="80">
        <v>0.31040000000000001</v>
      </c>
      <c r="AC55" s="80">
        <v>0</v>
      </c>
      <c r="AD55" s="612">
        <v>0</v>
      </c>
      <c r="AE55" s="616">
        <v>0.25002173927983778</v>
      </c>
      <c r="AF55" s="614">
        <v>2536</v>
      </c>
      <c r="AG55" s="608">
        <v>293.02509342472484</v>
      </c>
      <c r="AH55" s="55"/>
    </row>
    <row r="56" spans="1:34" ht="15.75" thickBot="1" x14ac:dyDescent="0.3">
      <c r="A56" s="627" t="s">
        <v>1213</v>
      </c>
      <c r="B56" s="644" t="s">
        <v>785</v>
      </c>
      <c r="C56" s="645"/>
      <c r="D56" s="426"/>
      <c r="E56" s="426"/>
      <c r="F56" s="426"/>
      <c r="G56" s="426"/>
      <c r="H56" s="426"/>
      <c r="I56" s="426"/>
      <c r="J56" s="426"/>
      <c r="K56" s="426"/>
      <c r="L56" s="427"/>
      <c r="M56" s="43"/>
      <c r="N56" s="84"/>
      <c r="O56" s="84"/>
      <c r="P56" s="84"/>
      <c r="Q56" s="84"/>
      <c r="R56" s="406"/>
      <c r="S56" s="84"/>
      <c r="U56" s="573">
        <v>0.9375</v>
      </c>
      <c r="V56" s="577">
        <v>0.21840000000000001</v>
      </c>
      <c r="W56" s="81">
        <v>0.51302319041248823</v>
      </c>
      <c r="X56" s="577">
        <v>0.17280000000000001</v>
      </c>
      <c r="Y56" s="81">
        <v>21.123777244496775</v>
      </c>
      <c r="Z56" s="581">
        <v>0.31040000000000001</v>
      </c>
      <c r="AA56" s="81">
        <v>0</v>
      </c>
      <c r="AB56" s="81">
        <v>0.31040000000000001</v>
      </c>
      <c r="AC56" s="81">
        <v>0</v>
      </c>
      <c r="AD56" s="611">
        <v>0</v>
      </c>
      <c r="AE56" s="617">
        <v>0.25009957303896496</v>
      </c>
      <c r="AF56" s="615">
        <v>2536</v>
      </c>
      <c r="AG56" s="607">
        <v>293.01882006854362</v>
      </c>
      <c r="AH56" s="55"/>
    </row>
    <row r="57" spans="1:34" x14ac:dyDescent="0.25">
      <c r="A57" s="428" t="s">
        <v>776</v>
      </c>
      <c r="B57" s="429"/>
      <c r="C57" s="430"/>
      <c r="D57" s="431"/>
      <c r="E57" s="431"/>
      <c r="F57" s="431"/>
      <c r="G57" s="431"/>
      <c r="H57" s="431"/>
      <c r="I57" s="431"/>
      <c r="J57" s="431"/>
      <c r="K57" s="431"/>
      <c r="L57" s="432"/>
      <c r="M57" s="43"/>
      <c r="O57" s="84"/>
      <c r="P57" s="84"/>
      <c r="Q57" s="84"/>
      <c r="R57" s="406"/>
      <c r="S57" s="84"/>
      <c r="U57" s="574">
        <v>0.95833333333333304</v>
      </c>
      <c r="V57" s="578">
        <v>0.21840000000000001</v>
      </c>
      <c r="W57" s="80">
        <v>0.47534718080282057</v>
      </c>
      <c r="X57" s="578">
        <v>0.17280000000000001</v>
      </c>
      <c r="Y57" s="80">
        <v>21.082516415586213</v>
      </c>
      <c r="Z57" s="582">
        <v>0.31040000000000001</v>
      </c>
      <c r="AA57" s="80">
        <v>0</v>
      </c>
      <c r="AB57" s="80">
        <v>0.31040000000000001</v>
      </c>
      <c r="AC57" s="80">
        <v>0</v>
      </c>
      <c r="AD57" s="612">
        <v>0</v>
      </c>
      <c r="AE57" s="616">
        <v>0.25009957851555131</v>
      </c>
      <c r="AF57" s="614">
        <v>2536</v>
      </c>
      <c r="AG57" s="608">
        <v>293.01254671236245</v>
      </c>
      <c r="AH57" s="55"/>
    </row>
    <row r="58" spans="1:34" ht="15.75" thickBot="1" x14ac:dyDescent="0.3">
      <c r="A58" s="551" t="s">
        <v>774</v>
      </c>
      <c r="B58" s="550"/>
      <c r="C58" s="552"/>
      <c r="D58" s="606"/>
      <c r="E58" s="606"/>
      <c r="F58" s="606"/>
      <c r="G58" s="606"/>
      <c r="H58" s="606"/>
      <c r="I58" s="606"/>
      <c r="J58" s="606"/>
      <c r="K58" s="606"/>
      <c r="L58" s="683"/>
      <c r="M58" s="43"/>
      <c r="N58" s="84"/>
      <c r="O58" s="84"/>
      <c r="P58" s="84"/>
      <c r="Q58" s="84"/>
      <c r="R58" s="406"/>
      <c r="S58" s="84"/>
      <c r="U58" s="575">
        <v>0.97916666666666696</v>
      </c>
      <c r="V58" s="579">
        <v>0.21840000000000001</v>
      </c>
      <c r="W58" s="571">
        <v>0.43767278399865817</v>
      </c>
      <c r="X58" s="579">
        <v>0.17280000000000001</v>
      </c>
      <c r="Y58" s="571">
        <v>21.041257334087287</v>
      </c>
      <c r="Z58" s="583">
        <v>0.31040000000000001</v>
      </c>
      <c r="AA58" s="571">
        <v>0</v>
      </c>
      <c r="AB58" s="571">
        <v>0.31040000000000001</v>
      </c>
      <c r="AC58" s="571">
        <v>0</v>
      </c>
      <c r="AD58" s="613">
        <v>0</v>
      </c>
      <c r="AE58" s="618">
        <v>0.25009958399259152</v>
      </c>
      <c r="AF58" s="624">
        <v>2536</v>
      </c>
      <c r="AG58" s="609">
        <v>293.00627335618123</v>
      </c>
      <c r="AH58" s="55"/>
    </row>
    <row r="59" spans="1:34" x14ac:dyDescent="0.25">
      <c r="A59" s="299" t="s">
        <v>1629</v>
      </c>
      <c r="B59" s="562" t="s">
        <v>1234</v>
      </c>
      <c r="C59" s="590"/>
      <c r="D59" s="591"/>
      <c r="E59" s="591"/>
      <c r="F59" s="591"/>
      <c r="G59" s="591"/>
      <c r="H59" s="591"/>
      <c r="I59" s="591"/>
      <c r="J59" s="591"/>
      <c r="K59" s="591"/>
      <c r="L59" s="592"/>
      <c r="M59" s="43"/>
      <c r="N59" s="84"/>
      <c r="O59" s="84"/>
      <c r="P59" s="84"/>
      <c r="Q59" s="84"/>
      <c r="R59" s="406"/>
      <c r="S59" s="84"/>
      <c r="AH59" s="55"/>
    </row>
    <row r="60" spans="1:34" x14ac:dyDescent="0.25">
      <c r="A60" s="103" t="s">
        <v>1639</v>
      </c>
      <c r="B60" s="653" t="s">
        <v>1234</v>
      </c>
      <c r="C60" s="512"/>
      <c r="D60" s="113"/>
      <c r="E60" s="113"/>
      <c r="F60" s="113"/>
      <c r="G60" s="113"/>
      <c r="H60" s="113"/>
      <c r="I60" s="113"/>
      <c r="J60" s="113"/>
      <c r="K60" s="113"/>
      <c r="L60" s="513"/>
      <c r="M60" s="43"/>
      <c r="N60" s="84"/>
      <c r="O60" s="84"/>
      <c r="P60" s="84"/>
      <c r="Q60" s="84"/>
      <c r="R60" s="406"/>
      <c r="S60" s="84"/>
      <c r="AH60" s="55"/>
    </row>
    <row r="61" spans="1:34" x14ac:dyDescent="0.25">
      <c r="A61" s="102" t="s">
        <v>1640</v>
      </c>
      <c r="B61" s="563" t="s">
        <v>1234</v>
      </c>
      <c r="C61" s="589"/>
      <c r="D61" s="116"/>
      <c r="E61" s="116"/>
      <c r="F61" s="116"/>
      <c r="G61" s="116"/>
      <c r="H61" s="116"/>
      <c r="I61" s="116"/>
      <c r="J61" s="116"/>
      <c r="K61" s="116"/>
      <c r="L61" s="593"/>
      <c r="M61" s="43"/>
      <c r="N61" s="84"/>
      <c r="O61" s="84"/>
      <c r="P61" s="84"/>
      <c r="Q61" s="84"/>
      <c r="R61" s="406"/>
      <c r="S61" s="84"/>
      <c r="AH61" s="55"/>
    </row>
    <row r="62" spans="1:34" x14ac:dyDescent="0.25">
      <c r="A62" s="103" t="s">
        <v>1641</v>
      </c>
      <c r="B62" s="653" t="s">
        <v>1234</v>
      </c>
      <c r="C62" s="512"/>
      <c r="D62" s="113"/>
      <c r="E62" s="113"/>
      <c r="F62" s="113"/>
      <c r="G62" s="113"/>
      <c r="H62" s="113"/>
      <c r="I62" s="113"/>
      <c r="J62" s="113"/>
      <c r="K62" s="113"/>
      <c r="L62" s="513"/>
      <c r="M62" s="43"/>
      <c r="N62" s="84"/>
      <c r="O62" s="84"/>
      <c r="P62" s="84"/>
      <c r="Q62" s="84"/>
      <c r="R62" s="406"/>
      <c r="S62" s="84"/>
      <c r="AH62" s="55"/>
    </row>
    <row r="63" spans="1:34" x14ac:dyDescent="0.25">
      <c r="A63" s="102" t="s">
        <v>1642</v>
      </c>
      <c r="B63" s="563" t="s">
        <v>1234</v>
      </c>
      <c r="C63" s="589"/>
      <c r="D63" s="116"/>
      <c r="E63" s="116"/>
      <c r="F63" s="116"/>
      <c r="G63" s="116"/>
      <c r="H63" s="116"/>
      <c r="I63" s="116"/>
      <c r="J63" s="116"/>
      <c r="K63" s="116"/>
      <c r="L63" s="593"/>
      <c r="M63" s="43"/>
      <c r="N63" s="84"/>
      <c r="O63" s="84"/>
      <c r="P63" s="84"/>
      <c r="Q63" s="84"/>
      <c r="R63" s="406"/>
      <c r="S63" s="84"/>
      <c r="AH63" s="55"/>
    </row>
    <row r="64" spans="1:34" x14ac:dyDescent="0.25">
      <c r="A64" s="103" t="s">
        <v>1643</v>
      </c>
      <c r="B64" s="653" t="s">
        <v>1234</v>
      </c>
      <c r="C64" s="512"/>
      <c r="D64" s="113"/>
      <c r="E64" s="113"/>
      <c r="F64" s="113"/>
      <c r="G64" s="113"/>
      <c r="H64" s="113"/>
      <c r="I64" s="113"/>
      <c r="J64" s="113"/>
      <c r="K64" s="113"/>
      <c r="L64" s="513"/>
      <c r="R64" s="633"/>
      <c r="U64" s="43"/>
      <c r="V64" s="84"/>
      <c r="W64" s="84"/>
      <c r="X64" s="84"/>
      <c r="Y64" s="84"/>
    </row>
    <row r="65" spans="1:25" x14ac:dyDescent="0.25">
      <c r="A65" s="102" t="s">
        <v>33</v>
      </c>
      <c r="B65" s="563" t="s">
        <v>1234</v>
      </c>
      <c r="C65" s="589"/>
      <c r="D65" s="116"/>
      <c r="E65" s="116"/>
      <c r="F65" s="116"/>
      <c r="G65" s="116"/>
      <c r="H65" s="116"/>
      <c r="I65" s="116"/>
      <c r="J65" s="116"/>
      <c r="K65" s="116"/>
      <c r="L65" s="593"/>
      <c r="R65" s="633"/>
      <c r="U65" s="43"/>
      <c r="V65" s="84"/>
      <c r="W65" s="84"/>
      <c r="X65" s="84"/>
      <c r="Y65" s="84"/>
    </row>
    <row r="66" spans="1:25" x14ac:dyDescent="0.25">
      <c r="A66" s="103" t="s">
        <v>1624</v>
      </c>
      <c r="B66" s="653" t="s">
        <v>1234</v>
      </c>
      <c r="C66" s="512"/>
      <c r="D66" s="113"/>
      <c r="E66" s="113"/>
      <c r="F66" s="113"/>
      <c r="G66" s="113"/>
      <c r="H66" s="113"/>
      <c r="I66" s="113"/>
      <c r="J66" s="113"/>
      <c r="K66" s="113"/>
      <c r="L66" s="513"/>
      <c r="R66" s="215"/>
      <c r="U66" s="43"/>
      <c r="V66" s="84"/>
      <c r="W66" s="84"/>
      <c r="X66" s="84"/>
      <c r="Y66" s="84"/>
    </row>
    <row r="67" spans="1:25" x14ac:dyDescent="0.25">
      <c r="A67" s="102" t="s">
        <v>1231</v>
      </c>
      <c r="B67" s="563" t="s">
        <v>1234</v>
      </c>
      <c r="C67" s="589"/>
      <c r="D67" s="116"/>
      <c r="E67" s="116"/>
      <c r="F67" s="116"/>
      <c r="G67" s="116"/>
      <c r="H67" s="116"/>
      <c r="I67" s="116"/>
      <c r="J67" s="116"/>
      <c r="K67" s="116"/>
      <c r="L67" s="593"/>
      <c r="U67" s="43"/>
      <c r="V67" s="84"/>
      <c r="W67" s="84"/>
      <c r="X67" s="84"/>
      <c r="Y67" s="84"/>
    </row>
    <row r="68" spans="1:25" x14ac:dyDescent="0.25">
      <c r="A68" s="103" t="s">
        <v>1232</v>
      </c>
      <c r="B68" s="653" t="s">
        <v>1234</v>
      </c>
      <c r="C68" s="512"/>
      <c r="D68" s="113"/>
      <c r="E68" s="113"/>
      <c r="F68" s="113"/>
      <c r="G68" s="113"/>
      <c r="H68" s="113"/>
      <c r="I68" s="113"/>
      <c r="J68" s="113"/>
      <c r="K68" s="113"/>
      <c r="L68" s="513"/>
      <c r="U68" s="43"/>
      <c r="V68" s="84"/>
      <c r="W68" s="84"/>
      <c r="X68" s="84"/>
      <c r="Y68" s="84"/>
    </row>
    <row r="69" spans="1:25" x14ac:dyDescent="0.25">
      <c r="A69" s="553" t="s">
        <v>1628</v>
      </c>
      <c r="B69" s="563" t="s">
        <v>1234</v>
      </c>
      <c r="C69" s="589"/>
      <c r="D69" s="116"/>
      <c r="E69" s="116"/>
      <c r="F69" s="116"/>
      <c r="G69" s="116"/>
      <c r="H69" s="116"/>
      <c r="I69" s="116"/>
      <c r="J69" s="116"/>
      <c r="K69" s="116"/>
      <c r="L69" s="593"/>
      <c r="U69" s="43"/>
      <c r="V69" s="84"/>
      <c r="W69" s="84"/>
      <c r="X69" s="84"/>
      <c r="Y69" s="84"/>
    </row>
    <row r="70" spans="1:25" x14ac:dyDescent="0.25">
      <c r="A70" s="103" t="s">
        <v>1215</v>
      </c>
      <c r="B70" s="653" t="s">
        <v>1234</v>
      </c>
      <c r="C70" s="512"/>
      <c r="D70" s="113"/>
      <c r="E70" s="113"/>
      <c r="F70" s="113"/>
      <c r="G70" s="113"/>
      <c r="H70" s="113"/>
      <c r="I70" s="113"/>
      <c r="J70" s="113"/>
      <c r="K70" s="113"/>
      <c r="L70" s="513"/>
      <c r="U70" s="43"/>
      <c r="V70" s="84"/>
      <c r="W70" s="84"/>
      <c r="X70" s="84"/>
      <c r="Y70" s="84"/>
    </row>
    <row r="71" spans="1:25" x14ac:dyDescent="0.25">
      <c r="A71" s="553" t="s">
        <v>1713</v>
      </c>
      <c r="B71" s="563" t="s">
        <v>1234</v>
      </c>
      <c r="C71" s="589"/>
      <c r="D71" s="116"/>
      <c r="E71" s="116"/>
      <c r="F71" s="116"/>
      <c r="G71" s="116"/>
      <c r="H71" s="116"/>
      <c r="I71" s="116"/>
      <c r="J71" s="116"/>
      <c r="K71" s="116"/>
      <c r="L71" s="593"/>
      <c r="U71" s="43"/>
      <c r="V71" s="84"/>
      <c r="W71" s="84"/>
      <c r="X71" s="84"/>
      <c r="Y71" s="84"/>
    </row>
    <row r="72" spans="1:25" x14ac:dyDescent="0.25">
      <c r="A72" s="103" t="s">
        <v>1714</v>
      </c>
      <c r="B72" s="653" t="s">
        <v>1234</v>
      </c>
      <c r="C72" s="724"/>
      <c r="D72" s="725"/>
      <c r="E72" s="725"/>
      <c r="F72" s="725"/>
      <c r="G72" s="725"/>
      <c r="H72" s="725"/>
      <c r="I72" s="725"/>
      <c r="J72" s="725"/>
      <c r="K72" s="725"/>
      <c r="L72" s="726"/>
      <c r="U72" s="43"/>
      <c r="V72" s="84"/>
      <c r="W72" s="84"/>
      <c r="X72" s="84"/>
      <c r="Y72" s="84"/>
    </row>
    <row r="73" spans="1:25" x14ac:dyDescent="0.25">
      <c r="A73" s="641" t="s">
        <v>1728</v>
      </c>
      <c r="B73" s="653" t="s">
        <v>1234</v>
      </c>
      <c r="C73" s="724"/>
      <c r="D73" s="725"/>
      <c r="E73" s="725"/>
      <c r="F73" s="725"/>
      <c r="G73" s="725"/>
      <c r="H73" s="725"/>
      <c r="I73" s="725"/>
      <c r="J73" s="725"/>
      <c r="K73" s="725"/>
      <c r="L73" s="726"/>
      <c r="U73" s="43"/>
      <c r="V73" s="84"/>
      <c r="W73" s="84"/>
      <c r="X73" s="84"/>
      <c r="Y73" s="84"/>
    </row>
    <row r="74" spans="1:25" x14ac:dyDescent="0.25">
      <c r="A74" s="102" t="s">
        <v>1705</v>
      </c>
      <c r="B74" s="563" t="s">
        <v>1234</v>
      </c>
      <c r="C74" s="628"/>
      <c r="D74" s="629"/>
      <c r="E74" s="629"/>
      <c r="F74" s="629"/>
      <c r="G74" s="629"/>
      <c r="H74" s="629"/>
      <c r="I74" s="629"/>
      <c r="J74" s="629"/>
      <c r="K74" s="629"/>
      <c r="L74" s="630"/>
      <c r="U74" s="43"/>
      <c r="V74" s="84"/>
      <c r="W74" s="84"/>
      <c r="X74" s="84"/>
      <c r="Y74" s="84"/>
    </row>
    <row r="75" spans="1:25" ht="15.75" thickBot="1" x14ac:dyDescent="0.3">
      <c r="A75" s="651" t="s">
        <v>1625</v>
      </c>
      <c r="B75" s="652" t="s">
        <v>1234</v>
      </c>
      <c r="C75" s="514">
        <f>SUM(C59:C74)</f>
        <v>0</v>
      </c>
      <c r="D75" s="515">
        <f t="shared" ref="D75:L75" si="0">SUM(D59:D74)</f>
        <v>0</v>
      </c>
      <c r="E75" s="515">
        <f t="shared" ref="E75" si="1">SUM(E59:E74)</f>
        <v>0</v>
      </c>
      <c r="F75" s="515">
        <f t="shared" ref="F75:G75" si="2">SUM(F59:F74)</f>
        <v>0</v>
      </c>
      <c r="G75" s="515">
        <f t="shared" si="2"/>
        <v>0</v>
      </c>
      <c r="H75" s="515">
        <f t="shared" si="0"/>
        <v>0</v>
      </c>
      <c r="I75" s="515">
        <f t="shared" si="0"/>
        <v>0</v>
      </c>
      <c r="J75" s="515">
        <f t="shared" si="0"/>
        <v>0</v>
      </c>
      <c r="K75" s="515">
        <f t="shared" si="0"/>
        <v>0</v>
      </c>
      <c r="L75" s="516">
        <f t="shared" si="0"/>
        <v>0</v>
      </c>
      <c r="U75" s="43"/>
      <c r="V75" s="84"/>
      <c r="W75" s="84"/>
      <c r="X75" s="84"/>
      <c r="Y75" s="84"/>
    </row>
    <row r="76" spans="1:25" ht="15.75" thickBot="1" x14ac:dyDescent="0.3">
      <c r="A76" s="625" t="s">
        <v>1625</v>
      </c>
      <c r="B76" s="626" t="s">
        <v>785</v>
      </c>
      <c r="C76" s="646">
        <f t="shared" ref="C76:L76" si="3">Mission_Duration*C75</f>
        <v>0</v>
      </c>
      <c r="D76" s="647">
        <f t="shared" si="3"/>
        <v>0</v>
      </c>
      <c r="E76" s="647">
        <f t="shared" si="3"/>
        <v>0</v>
      </c>
      <c r="F76" s="647">
        <f t="shared" si="3"/>
        <v>0</v>
      </c>
      <c r="G76" s="647">
        <f t="shared" si="3"/>
        <v>0</v>
      </c>
      <c r="H76" s="647">
        <f t="shared" si="3"/>
        <v>0</v>
      </c>
      <c r="I76" s="647">
        <f t="shared" si="3"/>
        <v>0</v>
      </c>
      <c r="J76" s="647">
        <f t="shared" si="3"/>
        <v>0</v>
      </c>
      <c r="K76" s="647">
        <f t="shared" si="3"/>
        <v>0</v>
      </c>
      <c r="L76" s="648">
        <f t="shared" si="3"/>
        <v>0</v>
      </c>
      <c r="U76" s="43"/>
      <c r="V76" s="84"/>
      <c r="W76" s="84"/>
      <c r="X76" s="84"/>
      <c r="Y76" s="84"/>
    </row>
    <row r="77" spans="1:25" x14ac:dyDescent="0.25">
      <c r="A77" s="834" t="s">
        <v>1663</v>
      </c>
      <c r="B77" s="509" t="s">
        <v>1549</v>
      </c>
      <c r="C77" s="693"/>
      <c r="D77" s="694"/>
      <c r="E77" s="694"/>
      <c r="F77" s="694"/>
      <c r="G77" s="694"/>
      <c r="H77" s="694"/>
      <c r="I77" s="694"/>
      <c r="J77" s="694"/>
      <c r="K77" s="694"/>
      <c r="L77" s="695"/>
      <c r="N77" s="837" t="s">
        <v>1656</v>
      </c>
      <c r="O77" s="837"/>
      <c r="P77" s="837"/>
      <c r="Q77" s="837"/>
      <c r="U77" s="43"/>
      <c r="V77" s="84"/>
      <c r="W77" s="84"/>
      <c r="X77" s="84"/>
      <c r="Y77" s="84"/>
    </row>
    <row r="78" spans="1:25" ht="15" customHeight="1" x14ac:dyDescent="0.25">
      <c r="A78" s="835"/>
      <c r="B78" s="101" t="s">
        <v>1550</v>
      </c>
      <c r="C78" s="696"/>
      <c r="D78" s="697"/>
      <c r="E78" s="697"/>
      <c r="F78" s="697"/>
      <c r="G78" s="697"/>
      <c r="H78" s="697"/>
      <c r="I78" s="697"/>
      <c r="J78" s="697"/>
      <c r="K78" s="697"/>
      <c r="L78" s="698"/>
      <c r="N78" s="837"/>
      <c r="O78" s="837"/>
      <c r="P78" s="837"/>
      <c r="Q78" s="837"/>
      <c r="U78" s="43"/>
      <c r="V78" s="84"/>
      <c r="W78" s="84"/>
      <c r="X78" s="84"/>
      <c r="Y78" s="84"/>
    </row>
    <row r="79" spans="1:25" x14ac:dyDescent="0.25">
      <c r="A79" s="835"/>
      <c r="B79" s="424" t="s">
        <v>1551</v>
      </c>
      <c r="C79" s="699"/>
      <c r="D79" s="700"/>
      <c r="E79" s="700"/>
      <c r="F79" s="700"/>
      <c r="G79" s="700"/>
      <c r="H79" s="700"/>
      <c r="I79" s="700"/>
      <c r="J79" s="700"/>
      <c r="K79" s="700"/>
      <c r="L79" s="701"/>
      <c r="N79" s="837" t="s">
        <v>1657</v>
      </c>
      <c r="O79" s="837"/>
      <c r="P79" s="837"/>
      <c r="Q79" s="837"/>
      <c r="U79" s="43"/>
      <c r="V79" s="84"/>
      <c r="W79" s="84"/>
      <c r="X79" s="84"/>
      <c r="Y79" s="84"/>
    </row>
    <row r="80" spans="1:25" x14ac:dyDescent="0.25">
      <c r="A80" s="835"/>
      <c r="B80" s="101" t="s">
        <v>1552</v>
      </c>
      <c r="C80" s="696"/>
      <c r="D80" s="697"/>
      <c r="E80" s="697"/>
      <c r="F80" s="697"/>
      <c r="G80" s="697"/>
      <c r="H80" s="697"/>
      <c r="I80" s="697"/>
      <c r="J80" s="697"/>
      <c r="K80" s="697"/>
      <c r="L80" s="698"/>
      <c r="N80" s="837"/>
      <c r="O80" s="837"/>
      <c r="P80" s="837"/>
      <c r="Q80" s="837"/>
      <c r="U80" s="43"/>
      <c r="V80" s="84"/>
      <c r="W80" s="84"/>
      <c r="X80" s="84"/>
      <c r="Y80" s="84"/>
    </row>
    <row r="81" spans="1:25" ht="15" customHeight="1" x14ac:dyDescent="0.25">
      <c r="A81" s="835"/>
      <c r="B81" s="424" t="s">
        <v>1553</v>
      </c>
      <c r="C81" s="699"/>
      <c r="D81" s="700"/>
      <c r="E81" s="700"/>
      <c r="F81" s="700"/>
      <c r="G81" s="700"/>
      <c r="H81" s="700"/>
      <c r="I81" s="700"/>
      <c r="J81" s="700"/>
      <c r="K81" s="700"/>
      <c r="L81" s="701"/>
      <c r="U81" s="43"/>
      <c r="V81" s="84"/>
      <c r="W81" s="84"/>
      <c r="X81" s="84"/>
      <c r="Y81" s="84"/>
    </row>
    <row r="82" spans="1:25" x14ac:dyDescent="0.25">
      <c r="A82" s="835"/>
      <c r="B82" s="101" t="s">
        <v>1554</v>
      </c>
      <c r="C82" s="696"/>
      <c r="D82" s="697"/>
      <c r="E82" s="697"/>
      <c r="F82" s="697"/>
      <c r="G82" s="697"/>
      <c r="H82" s="697"/>
      <c r="I82" s="697"/>
      <c r="J82" s="697"/>
      <c r="K82" s="697"/>
      <c r="L82" s="698"/>
      <c r="N82" s="837" t="s">
        <v>1664</v>
      </c>
      <c r="O82" s="837"/>
      <c r="P82" s="837"/>
      <c r="Q82" s="837"/>
      <c r="S82" s="406"/>
      <c r="U82" s="43"/>
      <c r="V82" s="84"/>
      <c r="W82" s="84"/>
      <c r="X82" s="84"/>
      <c r="Y82" s="84"/>
    </row>
    <row r="83" spans="1:25" x14ac:dyDescent="0.25">
      <c r="A83" s="835"/>
      <c r="B83" s="424" t="s">
        <v>1555</v>
      </c>
      <c r="C83" s="699"/>
      <c r="D83" s="700"/>
      <c r="E83" s="700"/>
      <c r="F83" s="700"/>
      <c r="G83" s="700"/>
      <c r="H83" s="700"/>
      <c r="I83" s="700"/>
      <c r="J83" s="700"/>
      <c r="K83" s="700"/>
      <c r="L83" s="701"/>
      <c r="N83" s="837"/>
      <c r="O83" s="837"/>
      <c r="P83" s="837"/>
      <c r="Q83" s="837"/>
      <c r="S83" s="406"/>
      <c r="U83" s="43"/>
      <c r="V83" s="84"/>
      <c r="W83" s="84"/>
      <c r="X83" s="84"/>
      <c r="Y83" s="84"/>
    </row>
    <row r="84" spans="1:25" ht="15" customHeight="1" x14ac:dyDescent="0.25">
      <c r="A84" s="835"/>
      <c r="B84" s="101" t="s">
        <v>1556</v>
      </c>
      <c r="C84" s="696"/>
      <c r="D84" s="697"/>
      <c r="E84" s="697"/>
      <c r="F84" s="697"/>
      <c r="G84" s="697"/>
      <c r="H84" s="697"/>
      <c r="I84" s="697"/>
      <c r="J84" s="697"/>
      <c r="K84" s="697"/>
      <c r="L84" s="698"/>
      <c r="N84" s="837"/>
      <c r="O84" s="837"/>
      <c r="P84" s="837"/>
      <c r="Q84" s="837"/>
      <c r="S84" s="406"/>
      <c r="U84" s="43"/>
      <c r="V84" s="84"/>
      <c r="W84" s="84"/>
      <c r="X84" s="84"/>
      <c r="Y84" s="84"/>
    </row>
    <row r="85" spans="1:25" x14ac:dyDescent="0.25">
      <c r="A85" s="835"/>
      <c r="B85" s="424" t="s">
        <v>1557</v>
      </c>
      <c r="C85" s="699"/>
      <c r="D85" s="700"/>
      <c r="E85" s="700"/>
      <c r="F85" s="700"/>
      <c r="G85" s="700"/>
      <c r="H85" s="700"/>
      <c r="I85" s="700"/>
      <c r="J85" s="700"/>
      <c r="K85" s="700"/>
      <c r="L85" s="701"/>
      <c r="S85" s="406"/>
      <c r="U85" s="43"/>
      <c r="V85" s="84"/>
      <c r="W85" s="84"/>
      <c r="X85" s="84"/>
      <c r="Y85" s="84"/>
    </row>
    <row r="86" spans="1:25" ht="15.75" thickBot="1" x14ac:dyDescent="0.3">
      <c r="A86" s="836"/>
      <c r="B86" s="635" t="s">
        <v>1558</v>
      </c>
      <c r="C86" s="702"/>
      <c r="D86" s="703"/>
      <c r="E86" s="703"/>
      <c r="F86" s="703"/>
      <c r="G86" s="703"/>
      <c r="H86" s="703"/>
      <c r="I86" s="703"/>
      <c r="J86" s="703"/>
      <c r="K86" s="703"/>
      <c r="L86" s="704"/>
      <c r="S86" s="406"/>
      <c r="U86" s="43"/>
      <c r="V86" s="84"/>
      <c r="W86" s="84"/>
      <c r="X86" s="84"/>
      <c r="Y86" s="84"/>
    </row>
    <row r="87" spans="1:25" x14ac:dyDescent="0.25">
      <c r="A87" s="299" t="s">
        <v>1671</v>
      </c>
      <c r="B87" s="509" t="s">
        <v>785</v>
      </c>
      <c r="C87" s="655"/>
      <c r="D87" s="591"/>
      <c r="E87" s="591"/>
      <c r="F87" s="591"/>
      <c r="G87" s="591"/>
      <c r="H87" s="591"/>
      <c r="I87" s="591"/>
      <c r="J87" s="591"/>
      <c r="K87" s="591"/>
      <c r="L87" s="592"/>
      <c r="N87" s="844" t="s">
        <v>1672</v>
      </c>
      <c r="O87" s="844"/>
      <c r="P87" s="844"/>
      <c r="Q87" s="844"/>
      <c r="S87" s="406"/>
      <c r="U87" s="43"/>
      <c r="V87" s="84"/>
      <c r="W87" s="84"/>
      <c r="X87" s="84"/>
      <c r="Y87" s="84"/>
    </row>
    <row r="88" spans="1:25" ht="17.25" x14ac:dyDescent="0.25">
      <c r="A88" s="103" t="s">
        <v>1673</v>
      </c>
      <c r="B88" s="101" t="s">
        <v>786</v>
      </c>
      <c r="C88" s="115"/>
      <c r="D88" s="113"/>
      <c r="E88" s="113"/>
      <c r="F88" s="113"/>
      <c r="G88" s="113"/>
      <c r="H88" s="113"/>
      <c r="I88" s="113"/>
      <c r="J88" s="113"/>
      <c r="K88" s="113"/>
      <c r="L88" s="513"/>
      <c r="N88" s="844"/>
      <c r="O88" s="844"/>
      <c r="P88" s="844"/>
      <c r="Q88" s="844"/>
      <c r="S88" s="406"/>
      <c r="U88" s="43"/>
      <c r="V88" s="84"/>
      <c r="W88" s="84"/>
      <c r="X88" s="84"/>
      <c r="Y88" s="84"/>
    </row>
    <row r="89" spans="1:25" x14ac:dyDescent="0.25">
      <c r="A89" s="102" t="s">
        <v>1676</v>
      </c>
      <c r="B89" s="424" t="s">
        <v>785</v>
      </c>
      <c r="C89" s="656"/>
      <c r="D89" s="116"/>
      <c r="E89" s="116"/>
      <c r="F89" s="116"/>
      <c r="G89" s="116"/>
      <c r="H89" s="116"/>
      <c r="I89" s="116"/>
      <c r="J89" s="116"/>
      <c r="K89" s="116"/>
      <c r="L89" s="593"/>
      <c r="U89" s="43"/>
      <c r="V89" s="84"/>
      <c r="W89" s="84"/>
      <c r="X89" s="84"/>
      <c r="Y89" s="84"/>
    </row>
    <row r="90" spans="1:25" ht="18" thickBot="1" x14ac:dyDescent="0.3">
      <c r="A90" s="219" t="s">
        <v>1674</v>
      </c>
      <c r="B90" s="101" t="s">
        <v>786</v>
      </c>
      <c r="C90" s="657"/>
      <c r="D90" s="515"/>
      <c r="E90" s="515"/>
      <c r="F90" s="515"/>
      <c r="G90" s="515"/>
      <c r="H90" s="515"/>
      <c r="I90" s="515"/>
      <c r="J90" s="515"/>
      <c r="K90" s="515"/>
      <c r="L90" s="516"/>
      <c r="U90" s="43"/>
      <c r="V90" s="84"/>
      <c r="W90" s="84"/>
      <c r="X90" s="84"/>
      <c r="Y90" s="84"/>
    </row>
    <row r="91" spans="1:25" ht="15.75" thickBot="1" x14ac:dyDescent="0.3">
      <c r="U91" s="43"/>
      <c r="V91" s="84"/>
      <c r="W91" s="84"/>
      <c r="X91" s="84"/>
      <c r="Y91" s="84"/>
    </row>
    <row r="92" spans="1:25" x14ac:dyDescent="0.25">
      <c r="B92" s="824" t="s">
        <v>1260</v>
      </c>
      <c r="C92" s="422" t="s">
        <v>1549</v>
      </c>
      <c r="D92" s="410" t="s">
        <v>1550</v>
      </c>
      <c r="E92" s="410" t="s">
        <v>1551</v>
      </c>
      <c r="F92" s="410" t="s">
        <v>1552</v>
      </c>
      <c r="G92" s="410" t="s">
        <v>1553</v>
      </c>
      <c r="H92" s="410" t="s">
        <v>1554</v>
      </c>
      <c r="I92" s="410" t="s">
        <v>1555</v>
      </c>
      <c r="J92" s="410" t="s">
        <v>1556</v>
      </c>
      <c r="K92" s="410" t="s">
        <v>1557</v>
      </c>
      <c r="L92" s="411" t="s">
        <v>1558</v>
      </c>
      <c r="U92" s="43"/>
      <c r="V92" s="84"/>
      <c r="W92" s="84"/>
      <c r="X92" s="84"/>
      <c r="Y92" s="84"/>
    </row>
    <row r="93" spans="1:25" x14ac:dyDescent="0.25">
      <c r="B93" s="825"/>
      <c r="C93" s="418"/>
      <c r="D93" s="418"/>
      <c r="E93" s="418"/>
      <c r="F93" s="418"/>
      <c r="G93" s="418"/>
      <c r="H93" s="418"/>
      <c r="I93" s="418"/>
      <c r="J93" s="418"/>
      <c r="K93" s="418"/>
      <c r="L93" s="419"/>
      <c r="U93" s="43"/>
      <c r="V93" s="84"/>
      <c r="W93" s="84"/>
      <c r="X93" s="84"/>
      <c r="Y93" s="84"/>
    </row>
    <row r="94" spans="1:25" x14ac:dyDescent="0.25">
      <c r="B94" s="83">
        <v>1</v>
      </c>
      <c r="C94" s="83"/>
      <c r="D94" s="83"/>
      <c r="E94" s="83"/>
      <c r="F94" s="83"/>
      <c r="G94" s="83"/>
      <c r="H94" s="83"/>
      <c r="I94" s="83"/>
      <c r="J94" s="83"/>
      <c r="K94" s="83"/>
      <c r="L94" s="83"/>
      <c r="U94" s="43"/>
      <c r="V94" s="84"/>
      <c r="W94" s="84"/>
      <c r="X94" s="84"/>
      <c r="Y94" s="84"/>
    </row>
    <row r="95" spans="1:25" x14ac:dyDescent="0.25">
      <c r="B95" s="82">
        <v>2</v>
      </c>
      <c r="C95" s="82"/>
      <c r="D95" s="82"/>
      <c r="E95" s="82"/>
      <c r="F95" s="82"/>
      <c r="G95" s="82"/>
      <c r="H95" s="82"/>
      <c r="I95" s="82"/>
      <c r="J95" s="82"/>
      <c r="K95" s="82"/>
      <c r="L95" s="82"/>
      <c r="U95" s="43"/>
      <c r="V95" s="84"/>
      <c r="W95" s="84"/>
      <c r="X95" s="84"/>
      <c r="Y95" s="84"/>
    </row>
    <row r="96" spans="1:25" x14ac:dyDescent="0.25">
      <c r="B96" s="83">
        <v>3</v>
      </c>
      <c r="C96" s="83"/>
      <c r="D96" s="83"/>
      <c r="E96" s="83"/>
      <c r="F96" s="83"/>
      <c r="G96" s="83"/>
      <c r="H96" s="83"/>
      <c r="I96" s="83"/>
      <c r="J96" s="83"/>
      <c r="K96" s="83"/>
      <c r="L96" s="83"/>
      <c r="U96" s="43"/>
      <c r="V96" s="84"/>
      <c r="W96" s="84"/>
      <c r="X96" s="84"/>
      <c r="Y96" s="84"/>
    </row>
    <row r="97" spans="2:25" x14ac:dyDescent="0.25">
      <c r="B97" s="82">
        <v>4</v>
      </c>
      <c r="C97" s="82"/>
      <c r="D97" s="82"/>
      <c r="E97" s="82"/>
      <c r="F97" s="82"/>
      <c r="G97" s="82"/>
      <c r="H97" s="82"/>
      <c r="I97" s="82"/>
      <c r="J97" s="82"/>
      <c r="K97" s="82"/>
      <c r="L97" s="82"/>
      <c r="U97" s="43"/>
      <c r="V97" s="84"/>
      <c r="W97" s="84"/>
      <c r="X97" s="84"/>
      <c r="Y97" s="84"/>
    </row>
    <row r="98" spans="2:25" x14ac:dyDescent="0.25">
      <c r="B98" s="83">
        <v>5</v>
      </c>
      <c r="C98" s="83"/>
      <c r="D98" s="83"/>
      <c r="E98" s="83"/>
      <c r="F98" s="83"/>
      <c r="G98" s="83"/>
      <c r="H98" s="83"/>
      <c r="I98" s="83"/>
      <c r="J98" s="83"/>
      <c r="K98" s="83"/>
      <c r="L98" s="83"/>
      <c r="U98" s="43"/>
      <c r="V98" s="84"/>
      <c r="W98" s="84"/>
      <c r="X98" s="84"/>
      <c r="Y98" s="84"/>
    </row>
    <row r="99" spans="2:25" x14ac:dyDescent="0.25">
      <c r="B99" s="82">
        <v>6</v>
      </c>
      <c r="C99" s="82"/>
      <c r="D99" s="82"/>
      <c r="E99" s="82"/>
      <c r="F99" s="82"/>
      <c r="G99" s="82"/>
      <c r="H99" s="82"/>
      <c r="I99" s="82"/>
      <c r="J99" s="82"/>
      <c r="K99" s="82"/>
      <c r="L99" s="82"/>
      <c r="P99">
        <v>62168.9406819016</v>
      </c>
      <c r="U99" s="43"/>
      <c r="V99" s="84"/>
      <c r="W99" s="84"/>
      <c r="X99" s="84"/>
      <c r="Y99" s="84"/>
    </row>
    <row r="100" spans="2:25" x14ac:dyDescent="0.25">
      <c r="B100" s="83">
        <v>7</v>
      </c>
      <c r="C100" s="83"/>
      <c r="D100" s="83"/>
      <c r="E100" s="83"/>
      <c r="F100" s="83"/>
      <c r="G100" s="83"/>
      <c r="H100" s="83"/>
      <c r="I100" s="83"/>
      <c r="J100" s="83"/>
      <c r="K100" s="83"/>
      <c r="L100" s="83"/>
      <c r="U100" s="43"/>
      <c r="V100" s="84"/>
      <c r="W100" s="84"/>
      <c r="X100" s="84"/>
      <c r="Y100" s="84"/>
    </row>
    <row r="101" spans="2:25" x14ac:dyDescent="0.25">
      <c r="B101" s="82">
        <v>8</v>
      </c>
      <c r="C101" s="82"/>
      <c r="D101" s="82"/>
      <c r="E101" s="82"/>
      <c r="F101" s="82"/>
      <c r="G101" s="82"/>
      <c r="H101" s="82"/>
      <c r="I101" s="82"/>
      <c r="J101" s="82"/>
      <c r="K101" s="82"/>
      <c r="L101" s="82"/>
      <c r="P101">
        <v>8426.3876751408807</v>
      </c>
      <c r="U101" s="43"/>
      <c r="V101" s="84"/>
      <c r="W101" s="84"/>
      <c r="X101" s="84"/>
      <c r="Y101" s="84"/>
    </row>
    <row r="102" spans="2:25" x14ac:dyDescent="0.25">
      <c r="B102" s="83">
        <v>9</v>
      </c>
      <c r="C102" s="83"/>
      <c r="D102" s="83"/>
      <c r="E102" s="83"/>
      <c r="F102" s="83"/>
      <c r="G102" s="83"/>
      <c r="H102" s="83"/>
      <c r="I102" s="83"/>
      <c r="J102" s="83"/>
      <c r="K102" s="83"/>
      <c r="L102" s="83"/>
      <c r="U102" s="43"/>
      <c r="V102" s="84"/>
      <c r="W102" s="84"/>
      <c r="X102" s="84"/>
      <c r="Y102" s="84"/>
    </row>
    <row r="103" spans="2:25" x14ac:dyDescent="0.25">
      <c r="B103" s="82">
        <v>10</v>
      </c>
      <c r="C103" s="82"/>
      <c r="D103" s="82"/>
      <c r="E103" s="82"/>
      <c r="F103" s="82"/>
      <c r="G103" s="82"/>
      <c r="H103" s="82"/>
      <c r="I103" s="82"/>
      <c r="J103" s="82"/>
      <c r="K103" s="82"/>
      <c r="L103" s="82"/>
      <c r="P103">
        <f>(P99-P101)/11.0637335027534</f>
        <v>4857.5422567242749</v>
      </c>
      <c r="Q103">
        <f>P103/365.25</f>
        <v>13.299225891099999</v>
      </c>
      <c r="U103" s="43"/>
      <c r="V103" s="84"/>
      <c r="W103" s="84"/>
      <c r="X103" s="84"/>
      <c r="Y103" s="84"/>
    </row>
    <row r="104" spans="2:25" x14ac:dyDescent="0.25">
      <c r="B104" s="83">
        <v>11</v>
      </c>
      <c r="C104" s="83"/>
      <c r="D104" s="83"/>
      <c r="E104" s="83"/>
      <c r="F104" s="83"/>
      <c r="G104" s="83"/>
      <c r="H104" s="83"/>
      <c r="I104" s="83"/>
      <c r="J104" s="83"/>
      <c r="K104" s="83"/>
      <c r="L104" s="83"/>
      <c r="U104" s="43"/>
      <c r="V104" s="84"/>
      <c r="W104" s="84"/>
      <c r="X104" s="84"/>
      <c r="Y104" s="84"/>
    </row>
    <row r="105" spans="2:25" x14ac:dyDescent="0.25">
      <c r="B105" s="82">
        <v>12</v>
      </c>
      <c r="C105" s="82"/>
      <c r="D105" s="82"/>
      <c r="E105" s="82"/>
      <c r="F105" s="82"/>
      <c r="G105" s="82"/>
      <c r="H105" s="82"/>
      <c r="I105" s="82"/>
      <c r="J105" s="82"/>
      <c r="K105" s="82"/>
      <c r="L105" s="82"/>
      <c r="U105" s="43"/>
      <c r="V105" s="84"/>
      <c r="W105" s="84"/>
      <c r="X105" s="84"/>
      <c r="Y105" s="84"/>
    </row>
    <row r="106" spans="2:25" x14ac:dyDescent="0.25">
      <c r="B106" s="83">
        <v>13</v>
      </c>
      <c r="C106" s="83"/>
      <c r="D106" s="83"/>
      <c r="E106" s="83"/>
      <c r="F106" s="83"/>
      <c r="G106" s="83"/>
      <c r="H106" s="83"/>
      <c r="I106" s="83"/>
      <c r="J106" s="83"/>
      <c r="K106" s="83"/>
      <c r="L106" s="83"/>
      <c r="U106" s="43"/>
      <c r="V106" s="84"/>
      <c r="W106" s="84"/>
      <c r="X106" s="84"/>
      <c r="Y106" s="84"/>
    </row>
    <row r="107" spans="2:25" x14ac:dyDescent="0.25">
      <c r="B107" s="82">
        <v>14</v>
      </c>
      <c r="C107" s="82"/>
      <c r="D107" s="82"/>
      <c r="E107" s="82"/>
      <c r="F107" s="82"/>
      <c r="G107" s="82"/>
      <c r="H107" s="82"/>
      <c r="I107" s="82"/>
      <c r="J107" s="82"/>
      <c r="K107" s="82"/>
      <c r="L107" s="82"/>
      <c r="U107" s="43"/>
      <c r="V107" s="84"/>
      <c r="W107" s="84"/>
      <c r="X107" s="84"/>
      <c r="Y107" s="84"/>
    </row>
    <row r="108" spans="2:25" x14ac:dyDescent="0.25">
      <c r="B108" s="83">
        <v>15</v>
      </c>
      <c r="C108" s="83"/>
      <c r="D108" s="83"/>
      <c r="E108" s="83"/>
      <c r="F108" s="83"/>
      <c r="G108" s="83"/>
      <c r="H108" s="83"/>
      <c r="I108" s="83"/>
      <c r="J108" s="83"/>
      <c r="K108" s="83"/>
      <c r="L108" s="83"/>
      <c r="U108" s="43"/>
      <c r="V108" s="84"/>
      <c r="W108" s="84"/>
      <c r="X108" s="84"/>
      <c r="Y108" s="84"/>
    </row>
    <row r="109" spans="2:25" x14ac:dyDescent="0.25">
      <c r="B109" s="82">
        <v>16</v>
      </c>
      <c r="C109" s="82"/>
      <c r="D109" s="82"/>
      <c r="E109" s="82"/>
      <c r="F109" s="82"/>
      <c r="G109" s="82"/>
      <c r="H109" s="82"/>
      <c r="I109" s="82"/>
      <c r="J109" s="82"/>
      <c r="K109" s="82"/>
      <c r="L109" s="82"/>
      <c r="U109" s="43"/>
      <c r="V109" s="84"/>
      <c r="W109" s="84"/>
      <c r="X109" s="84"/>
      <c r="Y109" s="84"/>
    </row>
    <row r="110" spans="2:25" x14ac:dyDescent="0.25">
      <c r="B110" s="83">
        <v>17</v>
      </c>
      <c r="C110" s="83"/>
      <c r="D110" s="83"/>
      <c r="E110" s="83"/>
      <c r="F110" s="83"/>
      <c r="G110" s="83"/>
      <c r="H110" s="83"/>
      <c r="I110" s="83"/>
      <c r="J110" s="83"/>
      <c r="K110" s="83"/>
      <c r="L110" s="83"/>
      <c r="U110" s="43"/>
      <c r="V110" s="84"/>
      <c r="W110" s="84"/>
      <c r="X110" s="84"/>
      <c r="Y110" s="84"/>
    </row>
    <row r="111" spans="2:25" x14ac:dyDescent="0.25">
      <c r="B111" s="82">
        <v>18</v>
      </c>
      <c r="C111" s="82"/>
      <c r="D111" s="82"/>
      <c r="E111" s="82"/>
      <c r="F111" s="82"/>
      <c r="G111" s="82"/>
      <c r="H111" s="82"/>
      <c r="I111" s="82"/>
      <c r="J111" s="82"/>
      <c r="K111" s="82"/>
      <c r="L111" s="82"/>
      <c r="U111" s="43"/>
      <c r="V111" s="84"/>
      <c r="W111" s="84"/>
      <c r="X111" s="84"/>
      <c r="Y111" s="84"/>
    </row>
    <row r="112" spans="2:25" x14ac:dyDescent="0.25">
      <c r="B112" s="83">
        <v>19</v>
      </c>
      <c r="C112" s="83"/>
      <c r="D112" s="83"/>
      <c r="E112" s="83"/>
      <c r="F112" s="83"/>
      <c r="G112" s="83"/>
      <c r="H112" s="83"/>
      <c r="I112" s="83"/>
      <c r="J112" s="83"/>
      <c r="K112" s="83"/>
      <c r="L112" s="83"/>
      <c r="U112" s="43"/>
      <c r="V112" s="84"/>
      <c r="W112" s="84"/>
      <c r="X112" s="84"/>
      <c r="Y112" s="84"/>
    </row>
    <row r="113" spans="2:25" x14ac:dyDescent="0.25">
      <c r="B113" s="82">
        <v>20</v>
      </c>
      <c r="C113" s="82"/>
      <c r="D113" s="82"/>
      <c r="E113" s="82"/>
      <c r="F113" s="82"/>
      <c r="G113" s="82"/>
      <c r="H113" s="82"/>
      <c r="I113" s="82"/>
      <c r="J113" s="82"/>
      <c r="K113" s="82"/>
      <c r="L113" s="82"/>
      <c r="U113" s="43"/>
      <c r="V113" s="84"/>
      <c r="W113" s="84"/>
      <c r="X113" s="84"/>
      <c r="Y113" s="84"/>
    </row>
    <row r="114" spans="2:25" x14ac:dyDescent="0.25">
      <c r="B114" s="83">
        <v>21</v>
      </c>
      <c r="C114" s="83"/>
      <c r="D114" s="83"/>
      <c r="E114" s="83"/>
      <c r="F114" s="83"/>
      <c r="G114" s="83"/>
      <c r="H114" s="83"/>
      <c r="I114" s="83"/>
      <c r="J114" s="83"/>
      <c r="K114" s="83"/>
      <c r="L114" s="83"/>
      <c r="U114" s="43"/>
      <c r="V114" s="84"/>
      <c r="W114" s="84"/>
      <c r="X114" s="84"/>
      <c r="Y114" s="84"/>
    </row>
    <row r="115" spans="2:25" x14ac:dyDescent="0.25">
      <c r="B115" s="82">
        <v>22</v>
      </c>
      <c r="C115" s="82"/>
      <c r="D115" s="82"/>
      <c r="E115" s="82"/>
      <c r="F115" s="82"/>
      <c r="G115" s="82"/>
      <c r="H115" s="82"/>
      <c r="I115" s="82"/>
      <c r="J115" s="82"/>
      <c r="K115" s="82"/>
      <c r="L115" s="82"/>
      <c r="U115" s="43"/>
      <c r="V115" s="84"/>
      <c r="W115" s="84"/>
      <c r="X115" s="84"/>
      <c r="Y115" s="84"/>
    </row>
    <row r="116" spans="2:25" x14ac:dyDescent="0.25">
      <c r="B116" s="83">
        <v>23</v>
      </c>
      <c r="C116" s="83"/>
      <c r="D116" s="83"/>
      <c r="E116" s="83"/>
      <c r="F116" s="83"/>
      <c r="G116" s="83"/>
      <c r="H116" s="83"/>
      <c r="I116" s="83"/>
      <c r="J116" s="83"/>
      <c r="K116" s="83"/>
      <c r="L116" s="83"/>
      <c r="U116" s="43"/>
      <c r="V116" s="84"/>
      <c r="W116" s="84"/>
      <c r="X116" s="84"/>
      <c r="Y116" s="84"/>
    </row>
    <row r="117" spans="2:25" x14ac:dyDescent="0.25">
      <c r="B117" s="82">
        <v>24</v>
      </c>
      <c r="C117" s="82"/>
      <c r="D117" s="82"/>
      <c r="E117" s="82"/>
      <c r="F117" s="82"/>
      <c r="G117" s="82"/>
      <c r="H117" s="82"/>
      <c r="I117" s="82"/>
      <c r="J117" s="82"/>
      <c r="K117" s="82"/>
      <c r="L117" s="82"/>
      <c r="U117" s="43"/>
      <c r="V117" s="84"/>
      <c r="W117" s="84"/>
      <c r="X117" s="84"/>
      <c r="Y117" s="84"/>
    </row>
    <row r="118" spans="2:25" x14ac:dyDescent="0.25">
      <c r="B118" s="83">
        <v>25</v>
      </c>
      <c r="C118" s="83"/>
      <c r="D118" s="83"/>
      <c r="E118" s="83"/>
      <c r="F118" s="83"/>
      <c r="G118" s="83"/>
      <c r="H118" s="83"/>
      <c r="I118" s="83"/>
      <c r="J118" s="83"/>
      <c r="K118" s="83"/>
      <c r="L118" s="83"/>
      <c r="U118" s="43"/>
      <c r="V118" s="84"/>
      <c r="W118" s="84"/>
      <c r="X118" s="84"/>
      <c r="Y118" s="84"/>
    </row>
    <row r="119" spans="2:25" x14ac:dyDescent="0.25">
      <c r="B119" s="82">
        <v>26</v>
      </c>
      <c r="C119" s="82"/>
      <c r="D119" s="82"/>
      <c r="E119" s="82"/>
      <c r="F119" s="82"/>
      <c r="G119" s="82"/>
      <c r="H119" s="82"/>
      <c r="I119" s="82"/>
      <c r="J119" s="82"/>
      <c r="K119" s="82"/>
      <c r="L119" s="82"/>
      <c r="U119" s="43"/>
      <c r="V119" s="84"/>
      <c r="W119" s="84"/>
      <c r="X119" s="84"/>
      <c r="Y119" s="84"/>
    </row>
    <row r="120" spans="2:25" x14ac:dyDescent="0.25">
      <c r="B120" s="83">
        <v>27</v>
      </c>
      <c r="C120" s="83"/>
      <c r="D120" s="83"/>
      <c r="E120" s="83"/>
      <c r="F120" s="83"/>
      <c r="G120" s="83"/>
      <c r="H120" s="83"/>
      <c r="I120" s="83"/>
      <c r="J120" s="83"/>
      <c r="K120" s="83"/>
      <c r="L120" s="83"/>
      <c r="U120" s="43"/>
      <c r="V120" s="84"/>
      <c r="W120" s="84"/>
      <c r="X120" s="84"/>
      <c r="Y120" s="84"/>
    </row>
    <row r="121" spans="2:25" x14ac:dyDescent="0.25">
      <c r="B121" s="82">
        <v>28</v>
      </c>
      <c r="C121" s="82"/>
      <c r="D121" s="82"/>
      <c r="E121" s="82"/>
      <c r="F121" s="82"/>
      <c r="G121" s="82"/>
      <c r="H121" s="82"/>
      <c r="I121" s="82"/>
      <c r="J121" s="82"/>
      <c r="K121" s="82"/>
      <c r="L121" s="82"/>
      <c r="U121" s="43"/>
      <c r="V121" s="84"/>
      <c r="W121" s="84"/>
      <c r="X121" s="84"/>
      <c r="Y121" s="84"/>
    </row>
    <row r="122" spans="2:25" x14ac:dyDescent="0.25">
      <c r="B122" s="83">
        <v>29</v>
      </c>
      <c r="C122" s="83"/>
      <c r="D122" s="83"/>
      <c r="E122" s="83"/>
      <c r="F122" s="83"/>
      <c r="G122" s="83"/>
      <c r="H122" s="83"/>
      <c r="I122" s="83"/>
      <c r="J122" s="83"/>
      <c r="K122" s="83"/>
      <c r="L122" s="83"/>
      <c r="U122" s="43"/>
      <c r="V122" s="84"/>
      <c r="W122" s="84"/>
      <c r="X122" s="84"/>
      <c r="Y122" s="84"/>
    </row>
    <row r="123" spans="2:25" x14ac:dyDescent="0.25">
      <c r="B123" s="82">
        <v>30</v>
      </c>
      <c r="C123" s="82"/>
      <c r="D123" s="82"/>
      <c r="E123" s="82"/>
      <c r="F123" s="82"/>
      <c r="G123" s="82"/>
      <c r="H123" s="82"/>
      <c r="I123" s="82"/>
      <c r="J123" s="82"/>
      <c r="K123" s="82"/>
      <c r="L123" s="82"/>
      <c r="U123" s="43"/>
      <c r="V123" s="84"/>
      <c r="W123" s="84"/>
      <c r="X123" s="84"/>
      <c r="Y123" s="84"/>
    </row>
    <row r="124" spans="2:25" x14ac:dyDescent="0.25">
      <c r="B124" s="83">
        <v>31</v>
      </c>
      <c r="C124" s="83"/>
      <c r="D124" s="83"/>
      <c r="E124" s="83"/>
      <c r="F124" s="83"/>
      <c r="G124" s="83"/>
      <c r="H124" s="83"/>
      <c r="I124" s="83"/>
      <c r="J124" s="83"/>
      <c r="K124" s="83"/>
      <c r="L124" s="83"/>
      <c r="U124" s="43"/>
      <c r="V124" s="84"/>
      <c r="W124" s="84"/>
      <c r="X124" s="84"/>
      <c r="Y124" s="84"/>
    </row>
    <row r="125" spans="2:25" x14ac:dyDescent="0.25">
      <c r="B125" s="82">
        <v>32</v>
      </c>
      <c r="C125" s="82"/>
      <c r="D125" s="82"/>
      <c r="E125" s="82"/>
      <c r="F125" s="82"/>
      <c r="G125" s="82"/>
      <c r="H125" s="82"/>
      <c r="I125" s="82"/>
      <c r="J125" s="82"/>
      <c r="K125" s="82"/>
      <c r="L125" s="82"/>
      <c r="U125" s="43"/>
      <c r="V125" s="84"/>
      <c r="W125" s="84"/>
      <c r="X125" s="84"/>
      <c r="Y125" s="84"/>
    </row>
    <row r="126" spans="2:25" x14ac:dyDescent="0.25">
      <c r="B126" s="83">
        <v>33</v>
      </c>
      <c r="C126" s="83"/>
      <c r="D126" s="83"/>
      <c r="E126" s="83"/>
      <c r="F126" s="83"/>
      <c r="G126" s="83"/>
      <c r="H126" s="83"/>
      <c r="I126" s="83"/>
      <c r="J126" s="83"/>
      <c r="K126" s="83"/>
      <c r="L126" s="83"/>
      <c r="U126" s="43"/>
      <c r="V126" s="84"/>
      <c r="W126" s="84"/>
      <c r="X126" s="84"/>
      <c r="Y126" s="84"/>
    </row>
    <row r="127" spans="2:25" x14ac:dyDescent="0.25">
      <c r="B127" s="82">
        <v>34</v>
      </c>
      <c r="C127" s="82"/>
      <c r="D127" s="82"/>
      <c r="E127" s="82"/>
      <c r="F127" s="82"/>
      <c r="G127" s="82"/>
      <c r="H127" s="82"/>
      <c r="I127" s="82"/>
      <c r="J127" s="82"/>
      <c r="K127" s="82"/>
      <c r="L127" s="82"/>
      <c r="U127" s="43"/>
      <c r="V127" s="84"/>
      <c r="W127" s="84"/>
      <c r="X127" s="84"/>
      <c r="Y127" s="84"/>
    </row>
    <row r="128" spans="2:25" x14ac:dyDescent="0.25">
      <c r="B128" s="83">
        <v>35</v>
      </c>
      <c r="C128" s="83"/>
      <c r="D128" s="83"/>
      <c r="E128" s="83"/>
      <c r="F128" s="83"/>
      <c r="G128" s="83"/>
      <c r="H128" s="83"/>
      <c r="I128" s="83"/>
      <c r="J128" s="83"/>
      <c r="K128" s="83"/>
      <c r="L128" s="83"/>
      <c r="U128" s="43"/>
      <c r="V128" s="84"/>
      <c r="W128" s="84"/>
      <c r="X128" s="84"/>
      <c r="Y128" s="84"/>
    </row>
    <row r="129" spans="2:25" x14ac:dyDescent="0.25">
      <c r="B129" s="82">
        <v>36</v>
      </c>
      <c r="C129" s="82"/>
      <c r="D129" s="82"/>
      <c r="E129" s="82"/>
      <c r="F129" s="82"/>
      <c r="G129" s="82"/>
      <c r="H129" s="82"/>
      <c r="I129" s="82"/>
      <c r="J129" s="82"/>
      <c r="K129" s="82"/>
      <c r="L129" s="82"/>
      <c r="U129" s="43"/>
      <c r="V129" s="84"/>
      <c r="W129" s="84"/>
      <c r="X129" s="84"/>
      <c r="Y129" s="84"/>
    </row>
    <row r="130" spans="2:25" x14ac:dyDescent="0.25">
      <c r="B130" s="83">
        <v>37</v>
      </c>
      <c r="C130" s="83"/>
      <c r="D130" s="83"/>
      <c r="E130" s="83"/>
      <c r="F130" s="83"/>
      <c r="G130" s="83"/>
      <c r="H130" s="83"/>
      <c r="I130" s="83"/>
      <c r="J130" s="83"/>
      <c r="K130" s="83"/>
      <c r="L130" s="83"/>
      <c r="U130" s="43"/>
      <c r="V130" s="84"/>
      <c r="W130" s="84"/>
      <c r="X130" s="84"/>
      <c r="Y130" s="84"/>
    </row>
    <row r="131" spans="2:25" x14ac:dyDescent="0.25">
      <c r="B131" s="82">
        <v>38</v>
      </c>
      <c r="C131" s="82"/>
      <c r="D131" s="82"/>
      <c r="E131" s="82"/>
      <c r="F131" s="82"/>
      <c r="G131" s="82"/>
      <c r="H131" s="82"/>
      <c r="I131" s="82"/>
      <c r="J131" s="82"/>
      <c r="K131" s="82"/>
      <c r="L131" s="82"/>
      <c r="U131" s="43"/>
      <c r="V131" s="84"/>
      <c r="W131" s="84"/>
      <c r="X131" s="84"/>
      <c r="Y131" s="84"/>
    </row>
    <row r="132" spans="2:25" x14ac:dyDescent="0.25">
      <c r="B132" s="83">
        <v>39</v>
      </c>
      <c r="C132" s="83"/>
      <c r="D132" s="83"/>
      <c r="E132" s="83"/>
      <c r="F132" s="83"/>
      <c r="G132" s="83"/>
      <c r="H132" s="83"/>
      <c r="I132" s="83"/>
      <c r="J132" s="83"/>
      <c r="K132" s="83"/>
      <c r="L132" s="83"/>
      <c r="U132" s="43"/>
      <c r="V132" s="84"/>
      <c r="W132" s="84"/>
      <c r="X132" s="84"/>
      <c r="Y132" s="84"/>
    </row>
    <row r="133" spans="2:25" x14ac:dyDescent="0.25">
      <c r="B133" s="82">
        <v>40</v>
      </c>
      <c r="C133" s="82"/>
      <c r="D133" s="82"/>
      <c r="E133" s="82"/>
      <c r="F133" s="82"/>
      <c r="G133" s="82"/>
      <c r="H133" s="82"/>
      <c r="I133" s="82"/>
      <c r="J133" s="82"/>
      <c r="K133" s="82"/>
      <c r="L133" s="82"/>
      <c r="U133" s="43"/>
      <c r="V133" s="84"/>
      <c r="W133" s="84"/>
      <c r="X133" s="84"/>
      <c r="Y133" s="84"/>
    </row>
    <row r="134" spans="2:25" x14ac:dyDescent="0.25">
      <c r="B134" s="83">
        <v>41</v>
      </c>
      <c r="C134" s="83"/>
      <c r="D134" s="83"/>
      <c r="E134" s="83"/>
      <c r="F134" s="83"/>
      <c r="G134" s="83"/>
      <c r="H134" s="83"/>
      <c r="I134" s="83"/>
      <c r="J134" s="83"/>
      <c r="K134" s="83"/>
      <c r="L134" s="83"/>
      <c r="U134" s="43"/>
      <c r="V134" s="84"/>
      <c r="W134" s="84"/>
      <c r="X134" s="84"/>
      <c r="Y134" s="84"/>
    </row>
    <row r="135" spans="2:25" x14ac:dyDescent="0.25">
      <c r="B135" s="82">
        <v>42</v>
      </c>
      <c r="C135" s="82"/>
      <c r="D135" s="82"/>
      <c r="E135" s="82"/>
      <c r="F135" s="82"/>
      <c r="G135" s="82"/>
      <c r="H135" s="82"/>
      <c r="I135" s="82"/>
      <c r="J135" s="82"/>
      <c r="K135" s="82"/>
      <c r="L135" s="82"/>
      <c r="U135" s="43"/>
      <c r="V135" s="84"/>
      <c r="W135" s="84"/>
      <c r="X135" s="84"/>
      <c r="Y135" s="84"/>
    </row>
    <row r="136" spans="2:25" x14ac:dyDescent="0.25">
      <c r="B136" s="83">
        <v>43</v>
      </c>
      <c r="C136" s="83"/>
      <c r="D136" s="83"/>
      <c r="E136" s="83"/>
      <c r="F136" s="83"/>
      <c r="G136" s="83"/>
      <c r="H136" s="83"/>
      <c r="I136" s="83"/>
      <c r="J136" s="83"/>
      <c r="K136" s="83"/>
      <c r="L136" s="83"/>
      <c r="U136" s="43"/>
      <c r="V136" s="84"/>
      <c r="W136" s="84"/>
      <c r="X136" s="84"/>
      <c r="Y136" s="84"/>
    </row>
    <row r="137" spans="2:25" x14ac:dyDescent="0.25">
      <c r="B137" s="82">
        <v>44</v>
      </c>
      <c r="C137" s="82"/>
      <c r="D137" s="82"/>
      <c r="E137" s="82"/>
      <c r="F137" s="82"/>
      <c r="G137" s="82"/>
      <c r="H137" s="82"/>
      <c r="I137" s="82"/>
      <c r="J137" s="82"/>
      <c r="K137" s="82"/>
      <c r="L137" s="82"/>
      <c r="U137" s="43"/>
      <c r="V137" s="84"/>
      <c r="W137" s="84"/>
      <c r="X137" s="84"/>
      <c r="Y137" s="84"/>
    </row>
    <row r="138" spans="2:25" x14ac:dyDescent="0.25">
      <c r="B138" s="83">
        <v>45</v>
      </c>
      <c r="C138" s="83"/>
      <c r="D138" s="83"/>
      <c r="E138" s="83"/>
      <c r="F138" s="83"/>
      <c r="G138" s="83"/>
      <c r="H138" s="83"/>
      <c r="I138" s="83"/>
      <c r="J138" s="83"/>
      <c r="K138" s="83"/>
      <c r="L138" s="83"/>
      <c r="U138" s="43"/>
      <c r="V138" s="84"/>
      <c r="W138" s="84"/>
      <c r="X138" s="84"/>
      <c r="Y138" s="84"/>
    </row>
    <row r="139" spans="2:25" x14ac:dyDescent="0.25">
      <c r="B139" s="82">
        <v>46</v>
      </c>
      <c r="C139" s="82"/>
      <c r="D139" s="82"/>
      <c r="E139" s="82"/>
      <c r="F139" s="82"/>
      <c r="G139" s="82"/>
      <c r="H139" s="82"/>
      <c r="I139" s="82"/>
      <c r="J139" s="82"/>
      <c r="K139" s="82"/>
      <c r="L139" s="82"/>
      <c r="U139" s="43"/>
      <c r="V139" s="84"/>
      <c r="W139" s="84"/>
      <c r="X139" s="84"/>
      <c r="Y139" s="84"/>
    </row>
    <row r="140" spans="2:25" x14ac:dyDescent="0.25">
      <c r="B140" s="83">
        <v>47</v>
      </c>
      <c r="C140" s="83"/>
      <c r="D140" s="83"/>
      <c r="E140" s="83"/>
      <c r="F140" s="83"/>
      <c r="G140" s="83"/>
      <c r="H140" s="83"/>
      <c r="I140" s="83"/>
      <c r="J140" s="83"/>
      <c r="K140" s="83"/>
      <c r="L140" s="83"/>
      <c r="U140" s="43"/>
      <c r="V140" s="84"/>
      <c r="W140" s="84"/>
      <c r="X140" s="84"/>
      <c r="Y140" s="84"/>
    </row>
    <row r="141" spans="2:25" x14ac:dyDescent="0.25">
      <c r="B141" s="82">
        <v>48</v>
      </c>
      <c r="C141" s="82"/>
      <c r="D141" s="82"/>
      <c r="E141" s="82"/>
      <c r="F141" s="82"/>
      <c r="G141" s="82"/>
      <c r="H141" s="82"/>
      <c r="I141" s="82"/>
      <c r="J141" s="82"/>
      <c r="K141" s="82"/>
      <c r="L141" s="82"/>
      <c r="U141" s="43"/>
      <c r="V141" s="84"/>
      <c r="W141" s="84"/>
      <c r="X141" s="84"/>
      <c r="Y141" s="84"/>
    </row>
    <row r="142" spans="2:25" x14ac:dyDescent="0.25">
      <c r="B142" s="83">
        <v>49</v>
      </c>
      <c r="C142" s="83"/>
      <c r="D142" s="83"/>
      <c r="E142" s="83"/>
      <c r="F142" s="83"/>
      <c r="G142" s="83"/>
      <c r="H142" s="83"/>
      <c r="I142" s="83"/>
      <c r="J142" s="83"/>
      <c r="K142" s="83"/>
      <c r="L142" s="83"/>
      <c r="U142" s="43"/>
      <c r="V142" s="84"/>
      <c r="W142" s="84"/>
      <c r="X142" s="84"/>
      <c r="Y142" s="84"/>
    </row>
    <row r="143" spans="2:25" x14ac:dyDescent="0.25">
      <c r="B143" s="82">
        <v>50</v>
      </c>
      <c r="C143" s="82"/>
      <c r="D143" s="82"/>
      <c r="E143" s="82"/>
      <c r="F143" s="82"/>
      <c r="G143" s="82"/>
      <c r="H143" s="82"/>
      <c r="I143" s="82"/>
      <c r="J143" s="82"/>
      <c r="K143" s="82"/>
      <c r="L143" s="82"/>
      <c r="U143" s="43"/>
      <c r="V143" s="84"/>
      <c r="W143" s="84"/>
      <c r="X143" s="84"/>
      <c r="Y143" s="84"/>
    </row>
    <row r="144" spans="2:25" x14ac:dyDescent="0.25">
      <c r="B144" s="83">
        <v>51</v>
      </c>
      <c r="C144" s="83"/>
      <c r="D144" s="83"/>
      <c r="E144" s="83"/>
      <c r="F144" s="83"/>
      <c r="G144" s="83"/>
      <c r="H144" s="83"/>
      <c r="I144" s="83"/>
      <c r="J144" s="83"/>
      <c r="K144" s="83"/>
      <c r="L144" s="83"/>
      <c r="U144" s="43"/>
      <c r="V144" s="84"/>
      <c r="W144" s="84"/>
      <c r="X144" s="84"/>
      <c r="Y144" s="84"/>
    </row>
    <row r="145" spans="2:25" x14ac:dyDescent="0.25">
      <c r="B145" s="82">
        <v>52</v>
      </c>
      <c r="C145" s="82"/>
      <c r="D145" s="82"/>
      <c r="E145" s="82"/>
      <c r="F145" s="82"/>
      <c r="G145" s="82"/>
      <c r="H145" s="82"/>
      <c r="I145" s="82"/>
      <c r="J145" s="82"/>
      <c r="K145" s="82"/>
      <c r="L145" s="82"/>
      <c r="U145" s="43"/>
      <c r="V145" s="84"/>
      <c r="W145" s="84"/>
      <c r="X145" s="84"/>
      <c r="Y145" s="84"/>
    </row>
    <row r="146" spans="2:25" x14ac:dyDescent="0.25">
      <c r="B146" s="83">
        <v>53</v>
      </c>
      <c r="C146" s="83"/>
      <c r="D146" s="83"/>
      <c r="E146" s="83"/>
      <c r="F146" s="83"/>
      <c r="G146" s="83"/>
      <c r="H146" s="83"/>
      <c r="I146" s="83"/>
      <c r="J146" s="83"/>
      <c r="K146" s="83"/>
      <c r="L146" s="83"/>
      <c r="U146" s="43"/>
      <c r="V146" s="84"/>
      <c r="W146" s="84"/>
      <c r="X146" s="84"/>
      <c r="Y146" s="84"/>
    </row>
    <row r="147" spans="2:25" x14ac:dyDescent="0.25">
      <c r="B147" s="82">
        <v>54</v>
      </c>
      <c r="C147" s="82"/>
      <c r="D147" s="82"/>
      <c r="E147" s="82"/>
      <c r="F147" s="82"/>
      <c r="G147" s="82"/>
      <c r="H147" s="82"/>
      <c r="I147" s="82"/>
      <c r="J147" s="82"/>
      <c r="K147" s="82"/>
      <c r="L147" s="82"/>
      <c r="U147" s="43"/>
      <c r="V147" s="84"/>
      <c r="W147" s="84"/>
      <c r="X147" s="84"/>
      <c r="Y147" s="84"/>
    </row>
    <row r="148" spans="2:25" x14ac:dyDescent="0.25">
      <c r="B148" s="83">
        <v>55</v>
      </c>
      <c r="C148" s="83"/>
      <c r="D148" s="83"/>
      <c r="E148" s="83"/>
      <c r="F148" s="83"/>
      <c r="G148" s="83"/>
      <c r="H148" s="83"/>
      <c r="I148" s="83"/>
      <c r="J148" s="83"/>
      <c r="K148" s="83"/>
      <c r="L148" s="83"/>
      <c r="U148" s="43"/>
      <c r="V148" s="84"/>
      <c r="W148" s="84"/>
      <c r="X148" s="84"/>
      <c r="Y148" s="84"/>
    </row>
    <row r="149" spans="2:25" x14ac:dyDescent="0.25">
      <c r="B149" s="82">
        <v>56</v>
      </c>
      <c r="C149" s="82"/>
      <c r="D149" s="82"/>
      <c r="E149" s="82"/>
      <c r="F149" s="82"/>
      <c r="G149" s="82"/>
      <c r="H149" s="82"/>
      <c r="I149" s="82"/>
      <c r="J149" s="82"/>
      <c r="K149" s="82"/>
      <c r="L149" s="82"/>
      <c r="U149" s="43"/>
      <c r="V149" s="84"/>
      <c r="W149" s="84"/>
      <c r="X149" s="84"/>
      <c r="Y149" s="84"/>
    </row>
    <row r="150" spans="2:25" x14ac:dyDescent="0.25">
      <c r="B150" s="83">
        <v>57</v>
      </c>
      <c r="C150" s="83"/>
      <c r="D150" s="83"/>
      <c r="E150" s="83"/>
      <c r="F150" s="83"/>
      <c r="G150" s="83"/>
      <c r="H150" s="83"/>
      <c r="I150" s="83"/>
      <c r="J150" s="83"/>
      <c r="K150" s="83"/>
      <c r="L150" s="83"/>
      <c r="U150" s="43"/>
      <c r="V150" s="84"/>
      <c r="W150" s="84"/>
      <c r="X150" s="84"/>
      <c r="Y150" s="84"/>
    </row>
    <row r="151" spans="2:25" x14ac:dyDescent="0.25">
      <c r="B151" s="82">
        <v>58</v>
      </c>
      <c r="C151" s="82"/>
      <c r="D151" s="82"/>
      <c r="E151" s="82"/>
      <c r="F151" s="82"/>
      <c r="G151" s="82"/>
      <c r="H151" s="82"/>
      <c r="I151" s="82"/>
      <c r="J151" s="82"/>
      <c r="K151" s="82"/>
      <c r="L151" s="82"/>
      <c r="U151" s="43"/>
      <c r="V151" s="84"/>
      <c r="W151" s="84"/>
      <c r="X151" s="84"/>
      <c r="Y151" s="84"/>
    </row>
    <row r="152" spans="2:25" x14ac:dyDescent="0.25">
      <c r="B152" s="83">
        <v>59</v>
      </c>
      <c r="C152" s="83"/>
      <c r="D152" s="83"/>
      <c r="E152" s="83"/>
      <c r="F152" s="83"/>
      <c r="G152" s="83"/>
      <c r="H152" s="83"/>
      <c r="I152" s="83"/>
      <c r="J152" s="83"/>
      <c r="K152" s="83"/>
      <c r="L152" s="83"/>
      <c r="U152" s="43"/>
      <c r="V152" s="84"/>
      <c r="W152" s="84"/>
      <c r="X152" s="84"/>
      <c r="Y152" s="84"/>
    </row>
    <row r="153" spans="2:25" x14ac:dyDescent="0.25">
      <c r="B153" s="82">
        <v>60</v>
      </c>
      <c r="C153" s="82"/>
      <c r="D153" s="82"/>
      <c r="E153" s="82"/>
      <c r="F153" s="82"/>
      <c r="G153" s="82"/>
      <c r="H153" s="82"/>
      <c r="I153" s="82"/>
      <c r="J153" s="82"/>
      <c r="K153" s="82"/>
      <c r="L153" s="82"/>
      <c r="U153" s="43"/>
      <c r="V153" s="84"/>
      <c r="W153" s="84"/>
      <c r="X153" s="84"/>
      <c r="Y153" s="84"/>
    </row>
    <row r="154" spans="2:25" x14ac:dyDescent="0.25">
      <c r="B154" s="83">
        <v>61</v>
      </c>
      <c r="C154" s="83"/>
      <c r="D154" s="83"/>
      <c r="E154" s="83"/>
      <c r="F154" s="83"/>
      <c r="G154" s="83"/>
      <c r="H154" s="83"/>
      <c r="I154" s="83"/>
      <c r="J154" s="83"/>
      <c r="K154" s="83"/>
      <c r="L154" s="83"/>
      <c r="U154" s="43"/>
      <c r="V154" s="84"/>
      <c r="W154" s="84"/>
      <c r="X154" s="84"/>
      <c r="Y154" s="84"/>
    </row>
    <row r="155" spans="2:25" x14ac:dyDescent="0.25">
      <c r="B155" s="82">
        <v>62</v>
      </c>
      <c r="C155" s="82"/>
      <c r="D155" s="82"/>
      <c r="E155" s="82"/>
      <c r="F155" s="82"/>
      <c r="G155" s="82"/>
      <c r="H155" s="82"/>
      <c r="I155" s="82"/>
      <c r="J155" s="82"/>
      <c r="K155" s="82"/>
      <c r="L155" s="82"/>
      <c r="U155" s="43"/>
      <c r="V155" s="84"/>
      <c r="W155" s="84"/>
      <c r="X155" s="84"/>
      <c r="Y155" s="84"/>
    </row>
    <row r="156" spans="2:25" x14ac:dyDescent="0.25">
      <c r="B156" s="83">
        <v>63</v>
      </c>
      <c r="C156" s="83"/>
      <c r="D156" s="83"/>
      <c r="E156" s="83"/>
      <c r="F156" s="83"/>
      <c r="G156" s="83"/>
      <c r="H156" s="83"/>
      <c r="I156" s="83"/>
      <c r="J156" s="83"/>
      <c r="K156" s="83"/>
      <c r="L156" s="83"/>
      <c r="U156" s="43"/>
      <c r="V156" s="84"/>
      <c r="W156" s="84"/>
      <c r="X156" s="84"/>
      <c r="Y156" s="84"/>
    </row>
    <row r="157" spans="2:25" x14ac:dyDescent="0.25">
      <c r="B157" s="82">
        <v>64</v>
      </c>
      <c r="C157" s="82"/>
      <c r="D157" s="82"/>
      <c r="E157" s="82"/>
      <c r="F157" s="82"/>
      <c r="G157" s="82"/>
      <c r="H157" s="82"/>
      <c r="I157" s="82"/>
      <c r="J157" s="82"/>
      <c r="K157" s="82"/>
      <c r="L157" s="82"/>
      <c r="U157" s="43"/>
      <c r="V157" s="84"/>
      <c r="W157" s="84"/>
      <c r="X157" s="84"/>
      <c r="Y157" s="84"/>
    </row>
    <row r="158" spans="2:25" x14ac:dyDescent="0.25">
      <c r="B158" s="83">
        <v>65</v>
      </c>
      <c r="C158" s="83"/>
      <c r="D158" s="83"/>
      <c r="E158" s="83"/>
      <c r="F158" s="83"/>
      <c r="G158" s="83"/>
      <c r="H158" s="83"/>
      <c r="I158" s="83"/>
      <c r="J158" s="83"/>
      <c r="K158" s="83"/>
      <c r="L158" s="83"/>
      <c r="U158" s="43"/>
      <c r="V158" s="84"/>
      <c r="W158" s="84"/>
      <c r="X158" s="84"/>
      <c r="Y158" s="84"/>
    </row>
    <row r="159" spans="2:25" x14ac:dyDescent="0.25">
      <c r="B159" s="82">
        <v>66</v>
      </c>
      <c r="C159" s="82"/>
      <c r="D159" s="82"/>
      <c r="E159" s="82"/>
      <c r="F159" s="82"/>
      <c r="G159" s="82"/>
      <c r="H159" s="82"/>
      <c r="I159" s="82"/>
      <c r="J159" s="82"/>
      <c r="K159" s="82"/>
      <c r="L159" s="82"/>
      <c r="U159" s="43"/>
      <c r="V159" s="84"/>
      <c r="W159" s="84"/>
      <c r="X159" s="84"/>
      <c r="Y159" s="84"/>
    </row>
    <row r="160" spans="2:25" x14ac:dyDescent="0.25">
      <c r="B160" s="83">
        <v>67</v>
      </c>
      <c r="C160" s="83"/>
      <c r="D160" s="83"/>
      <c r="E160" s="83"/>
      <c r="F160" s="83"/>
      <c r="G160" s="83"/>
      <c r="H160" s="83"/>
      <c r="I160" s="83"/>
      <c r="J160" s="83"/>
      <c r="K160" s="83"/>
      <c r="L160" s="83"/>
      <c r="U160" s="43"/>
      <c r="V160" s="84"/>
      <c r="W160" s="84"/>
      <c r="X160" s="84"/>
      <c r="Y160" s="84"/>
    </row>
    <row r="161" spans="2:25" x14ac:dyDescent="0.25">
      <c r="B161" s="82">
        <v>68</v>
      </c>
      <c r="C161" s="82"/>
      <c r="D161" s="82"/>
      <c r="E161" s="82"/>
      <c r="F161" s="82"/>
      <c r="G161" s="82"/>
      <c r="H161" s="82"/>
      <c r="I161" s="82"/>
      <c r="J161" s="82"/>
      <c r="K161" s="82"/>
      <c r="L161" s="82"/>
      <c r="U161" s="43"/>
      <c r="V161" s="84"/>
      <c r="W161" s="84"/>
      <c r="X161" s="84"/>
      <c r="Y161" s="84"/>
    </row>
    <row r="162" spans="2:25" x14ac:dyDescent="0.25">
      <c r="B162" s="83">
        <v>69</v>
      </c>
      <c r="C162" s="83"/>
      <c r="D162" s="83"/>
      <c r="E162" s="83"/>
      <c r="F162" s="83"/>
      <c r="G162" s="83"/>
      <c r="H162" s="83"/>
      <c r="I162" s="83"/>
      <c r="J162" s="83"/>
      <c r="K162" s="83"/>
      <c r="L162" s="83"/>
      <c r="U162" s="43"/>
      <c r="V162" s="84"/>
      <c r="W162" s="84"/>
      <c r="X162" s="84"/>
      <c r="Y162" s="84"/>
    </row>
    <row r="163" spans="2:25" x14ac:dyDescent="0.25">
      <c r="B163" s="82">
        <v>70</v>
      </c>
      <c r="C163" s="82"/>
      <c r="D163" s="82"/>
      <c r="E163" s="82"/>
      <c r="F163" s="82"/>
      <c r="G163" s="82"/>
      <c r="H163" s="82"/>
      <c r="I163" s="82"/>
      <c r="J163" s="82"/>
      <c r="K163" s="82"/>
      <c r="L163" s="82"/>
      <c r="W163" s="84"/>
    </row>
    <row r="164" spans="2:25" x14ac:dyDescent="0.25">
      <c r="B164" s="83">
        <v>71</v>
      </c>
      <c r="C164" s="83"/>
      <c r="D164" s="83"/>
      <c r="E164" s="83"/>
      <c r="F164" s="83"/>
      <c r="G164" s="83"/>
      <c r="H164" s="83"/>
      <c r="I164" s="83"/>
      <c r="J164" s="83"/>
      <c r="K164" s="83"/>
      <c r="L164" s="83"/>
    </row>
    <row r="165" spans="2:25" x14ac:dyDescent="0.25">
      <c r="B165" s="82">
        <v>72</v>
      </c>
      <c r="C165" s="82"/>
      <c r="D165" s="82"/>
      <c r="E165" s="82"/>
      <c r="F165" s="82"/>
      <c r="G165" s="82"/>
      <c r="H165" s="82"/>
      <c r="I165" s="82"/>
      <c r="J165" s="82"/>
      <c r="K165" s="82"/>
      <c r="L165" s="82"/>
    </row>
    <row r="166" spans="2:25" x14ac:dyDescent="0.25">
      <c r="B166" s="83">
        <v>73</v>
      </c>
      <c r="C166" s="83"/>
      <c r="D166" s="83"/>
      <c r="E166" s="83"/>
      <c r="F166" s="83"/>
      <c r="G166" s="83"/>
      <c r="H166" s="83"/>
      <c r="I166" s="83"/>
      <c r="J166" s="83"/>
      <c r="K166" s="83"/>
      <c r="L166" s="83"/>
    </row>
    <row r="167" spans="2:25" x14ac:dyDescent="0.25">
      <c r="B167" s="82">
        <v>74</v>
      </c>
      <c r="C167" s="82"/>
      <c r="D167" s="82"/>
      <c r="E167" s="82"/>
      <c r="F167" s="82"/>
      <c r="G167" s="82"/>
      <c r="H167" s="82"/>
      <c r="I167" s="82"/>
      <c r="J167" s="82"/>
      <c r="K167" s="82"/>
      <c r="L167" s="82"/>
    </row>
    <row r="168" spans="2:25" x14ac:dyDescent="0.25">
      <c r="B168" s="83">
        <v>75</v>
      </c>
      <c r="C168" s="83"/>
      <c r="D168" s="83"/>
      <c r="E168" s="83"/>
      <c r="F168" s="83"/>
      <c r="G168" s="83"/>
      <c r="H168" s="83"/>
      <c r="I168" s="83"/>
      <c r="J168" s="83"/>
      <c r="K168" s="83"/>
      <c r="L168" s="83"/>
    </row>
    <row r="169" spans="2:25" x14ac:dyDescent="0.25">
      <c r="B169" s="82">
        <v>76</v>
      </c>
      <c r="C169" s="82"/>
      <c r="D169" s="82"/>
      <c r="E169" s="82"/>
      <c r="F169" s="82"/>
      <c r="G169" s="82"/>
      <c r="H169" s="82"/>
      <c r="I169" s="82"/>
      <c r="J169" s="82"/>
      <c r="K169" s="82"/>
      <c r="L169" s="82"/>
    </row>
    <row r="170" spans="2:25" x14ac:dyDescent="0.25">
      <c r="B170" s="83">
        <v>77</v>
      </c>
      <c r="C170" s="83"/>
      <c r="D170" s="83"/>
      <c r="E170" s="83"/>
      <c r="F170" s="83"/>
      <c r="G170" s="83"/>
      <c r="H170" s="83"/>
      <c r="I170" s="83"/>
      <c r="J170" s="83"/>
      <c r="K170" s="83"/>
      <c r="L170" s="83"/>
    </row>
    <row r="171" spans="2:25" x14ac:dyDescent="0.25">
      <c r="B171" s="82">
        <v>78</v>
      </c>
      <c r="C171" s="82"/>
      <c r="D171" s="82"/>
      <c r="E171" s="82"/>
      <c r="F171" s="82"/>
      <c r="G171" s="82"/>
      <c r="H171" s="82"/>
      <c r="I171" s="82"/>
      <c r="J171" s="82"/>
      <c r="K171" s="82"/>
      <c r="L171" s="82"/>
    </row>
    <row r="172" spans="2:25" x14ac:dyDescent="0.25">
      <c r="B172" s="83">
        <v>79</v>
      </c>
      <c r="C172" s="83"/>
      <c r="D172" s="83"/>
      <c r="E172" s="83"/>
      <c r="F172" s="83"/>
      <c r="G172" s="83"/>
      <c r="H172" s="83"/>
      <c r="I172" s="83"/>
      <c r="J172" s="83"/>
      <c r="K172" s="83"/>
      <c r="L172" s="83"/>
    </row>
    <row r="173" spans="2:25" x14ac:dyDescent="0.25">
      <c r="B173" s="82">
        <v>80</v>
      </c>
      <c r="C173" s="82"/>
      <c r="D173" s="82"/>
      <c r="E173" s="82"/>
      <c r="F173" s="82"/>
      <c r="G173" s="82"/>
      <c r="H173" s="82"/>
      <c r="I173" s="82"/>
      <c r="J173" s="82"/>
      <c r="K173" s="82"/>
      <c r="L173" s="82"/>
    </row>
    <row r="174" spans="2:25" x14ac:dyDescent="0.25">
      <c r="B174" s="83">
        <v>81</v>
      </c>
      <c r="C174" s="83"/>
      <c r="D174" s="83"/>
      <c r="E174" s="83"/>
      <c r="F174" s="83"/>
      <c r="G174" s="83"/>
      <c r="H174" s="83"/>
      <c r="I174" s="83"/>
      <c r="J174" s="83"/>
      <c r="K174" s="83"/>
      <c r="L174" s="83"/>
    </row>
    <row r="175" spans="2:25" x14ac:dyDescent="0.25">
      <c r="B175" s="82">
        <v>82</v>
      </c>
      <c r="C175" s="82"/>
      <c r="D175" s="82"/>
      <c r="E175" s="82"/>
      <c r="F175" s="82"/>
      <c r="G175" s="82"/>
      <c r="H175" s="82"/>
      <c r="I175" s="82"/>
      <c r="J175" s="82"/>
      <c r="K175" s="82"/>
      <c r="L175" s="82"/>
    </row>
    <row r="176" spans="2:25" x14ac:dyDescent="0.25">
      <c r="B176" s="83">
        <v>83</v>
      </c>
      <c r="C176" s="83"/>
      <c r="D176" s="83"/>
      <c r="E176" s="83"/>
      <c r="F176" s="83"/>
      <c r="G176" s="83"/>
      <c r="H176" s="83"/>
      <c r="I176" s="83"/>
      <c r="J176" s="83"/>
      <c r="K176" s="83"/>
      <c r="L176" s="83"/>
    </row>
    <row r="177" spans="2:12" x14ac:dyDescent="0.25">
      <c r="B177" s="82">
        <v>84</v>
      </c>
      <c r="C177" s="82"/>
      <c r="D177" s="82"/>
      <c r="E177" s="82"/>
      <c r="F177" s="82"/>
      <c r="G177" s="82"/>
      <c r="H177" s="82"/>
      <c r="I177" s="82"/>
      <c r="J177" s="82"/>
      <c r="K177" s="82"/>
      <c r="L177" s="82"/>
    </row>
    <row r="178" spans="2:12" x14ac:dyDescent="0.25">
      <c r="B178" s="83">
        <v>85</v>
      </c>
      <c r="C178" s="83"/>
      <c r="D178" s="83"/>
      <c r="E178" s="83"/>
      <c r="F178" s="83"/>
      <c r="G178" s="83"/>
      <c r="H178" s="83"/>
      <c r="I178" s="83"/>
      <c r="J178" s="83"/>
      <c r="K178" s="83"/>
      <c r="L178" s="83"/>
    </row>
    <row r="179" spans="2:12" x14ac:dyDescent="0.25">
      <c r="B179" s="82">
        <v>86</v>
      </c>
      <c r="C179" s="82"/>
      <c r="D179" s="82"/>
      <c r="E179" s="82"/>
      <c r="F179" s="82"/>
      <c r="G179" s="82"/>
      <c r="H179" s="82"/>
      <c r="I179" s="82"/>
      <c r="J179" s="82"/>
      <c r="K179" s="82"/>
      <c r="L179" s="82"/>
    </row>
    <row r="180" spans="2:12" x14ac:dyDescent="0.25">
      <c r="B180" s="83">
        <v>87</v>
      </c>
      <c r="C180" s="83"/>
      <c r="D180" s="83"/>
      <c r="E180" s="83"/>
      <c r="F180" s="83"/>
      <c r="G180" s="83"/>
      <c r="H180" s="83"/>
      <c r="I180" s="83"/>
      <c r="J180" s="83"/>
      <c r="K180" s="83"/>
      <c r="L180" s="83"/>
    </row>
    <row r="181" spans="2:12" x14ac:dyDescent="0.25">
      <c r="B181" s="82">
        <v>88</v>
      </c>
      <c r="C181" s="82"/>
      <c r="D181" s="82"/>
      <c r="E181" s="82"/>
      <c r="F181" s="82"/>
      <c r="G181" s="82"/>
      <c r="H181" s="82"/>
      <c r="I181" s="82"/>
      <c r="J181" s="82"/>
      <c r="K181" s="82"/>
      <c r="L181" s="82"/>
    </row>
    <row r="182" spans="2:12" x14ac:dyDescent="0.25">
      <c r="B182" s="83">
        <v>89</v>
      </c>
      <c r="C182" s="83"/>
      <c r="D182" s="83"/>
      <c r="E182" s="83"/>
      <c r="F182" s="83"/>
      <c r="G182" s="83"/>
      <c r="H182" s="83"/>
      <c r="I182" s="83"/>
      <c r="J182" s="83"/>
      <c r="K182" s="83"/>
      <c r="L182" s="83"/>
    </row>
    <row r="183" spans="2:12" x14ac:dyDescent="0.25">
      <c r="B183" s="82">
        <v>90</v>
      </c>
      <c r="C183" s="82"/>
      <c r="D183" s="82"/>
      <c r="E183" s="82"/>
      <c r="F183" s="82"/>
      <c r="G183" s="82"/>
      <c r="H183" s="82"/>
      <c r="I183" s="82"/>
      <c r="J183" s="82"/>
      <c r="K183" s="82"/>
      <c r="L183" s="82"/>
    </row>
    <row r="184" spans="2:12" x14ac:dyDescent="0.25">
      <c r="B184" s="83">
        <v>91</v>
      </c>
      <c r="C184" s="83"/>
      <c r="D184" s="83"/>
      <c r="E184" s="83"/>
      <c r="F184" s="83"/>
      <c r="G184" s="83"/>
      <c r="H184" s="83"/>
      <c r="I184" s="83"/>
      <c r="J184" s="83"/>
      <c r="K184" s="83"/>
      <c r="L184" s="83"/>
    </row>
    <row r="185" spans="2:12" x14ac:dyDescent="0.25">
      <c r="B185" s="82">
        <v>92</v>
      </c>
      <c r="C185" s="82"/>
      <c r="D185" s="82"/>
      <c r="E185" s="82"/>
      <c r="F185" s="82"/>
      <c r="G185" s="82"/>
      <c r="H185" s="82"/>
      <c r="I185" s="82"/>
      <c r="J185" s="82"/>
      <c r="K185" s="82"/>
      <c r="L185" s="82"/>
    </row>
    <row r="186" spans="2:12" x14ac:dyDescent="0.25">
      <c r="B186" s="83">
        <v>93</v>
      </c>
      <c r="C186" s="83"/>
      <c r="D186" s="83"/>
      <c r="E186" s="83"/>
      <c r="F186" s="83"/>
      <c r="G186" s="83"/>
      <c r="H186" s="83"/>
      <c r="I186" s="83"/>
      <c r="J186" s="83"/>
      <c r="K186" s="83"/>
      <c r="L186" s="83"/>
    </row>
    <row r="187" spans="2:12" x14ac:dyDescent="0.25">
      <c r="B187" s="82">
        <v>94</v>
      </c>
      <c r="C187" s="82"/>
      <c r="D187" s="82"/>
      <c r="E187" s="82"/>
      <c r="F187" s="82"/>
      <c r="G187" s="82"/>
      <c r="H187" s="82"/>
      <c r="I187" s="82"/>
      <c r="J187" s="82"/>
      <c r="K187" s="82"/>
      <c r="L187" s="82"/>
    </row>
    <row r="188" spans="2:12" x14ac:dyDescent="0.25">
      <c r="B188" s="83">
        <v>95</v>
      </c>
      <c r="C188" s="83"/>
      <c r="D188" s="83"/>
      <c r="E188" s="83"/>
      <c r="F188" s="83"/>
      <c r="G188" s="83"/>
      <c r="H188" s="83"/>
      <c r="I188" s="83"/>
      <c r="J188" s="83"/>
      <c r="K188" s="83"/>
      <c r="L188" s="83"/>
    </row>
    <row r="189" spans="2:12" x14ac:dyDescent="0.25">
      <c r="B189" s="82">
        <v>96</v>
      </c>
      <c r="C189" s="82"/>
      <c r="D189" s="82"/>
      <c r="E189" s="82"/>
      <c r="F189" s="82"/>
      <c r="G189" s="82"/>
      <c r="H189" s="82"/>
      <c r="I189" s="82"/>
      <c r="J189" s="82"/>
      <c r="K189" s="82"/>
      <c r="L189" s="82"/>
    </row>
    <row r="190" spans="2:12" x14ac:dyDescent="0.25">
      <c r="B190" s="83">
        <v>97</v>
      </c>
      <c r="C190" s="83"/>
      <c r="D190" s="83"/>
      <c r="E190" s="83"/>
      <c r="F190" s="83"/>
      <c r="G190" s="83"/>
      <c r="H190" s="83"/>
      <c r="I190" s="83"/>
      <c r="J190" s="83"/>
      <c r="K190" s="83"/>
      <c r="L190" s="83"/>
    </row>
    <row r="191" spans="2:12" x14ac:dyDescent="0.25">
      <c r="B191" s="82">
        <v>98</v>
      </c>
      <c r="C191" s="82"/>
      <c r="D191" s="82"/>
      <c r="E191" s="82"/>
      <c r="F191" s="82"/>
      <c r="G191" s="82"/>
      <c r="H191" s="82"/>
      <c r="I191" s="82"/>
      <c r="J191" s="82"/>
      <c r="K191" s="82"/>
      <c r="L191" s="82"/>
    </row>
    <row r="192" spans="2:12" x14ac:dyDescent="0.25">
      <c r="B192" s="83">
        <v>99</v>
      </c>
      <c r="C192" s="83"/>
      <c r="D192" s="83"/>
      <c r="E192" s="83"/>
      <c r="F192" s="83"/>
      <c r="G192" s="83"/>
      <c r="H192" s="83"/>
      <c r="I192" s="83"/>
      <c r="J192" s="83"/>
      <c r="K192" s="83"/>
      <c r="L192" s="83"/>
    </row>
    <row r="193" spans="2:12" x14ac:dyDescent="0.25">
      <c r="B193" s="82">
        <v>100</v>
      </c>
      <c r="C193" s="82"/>
      <c r="D193" s="82"/>
      <c r="E193" s="82"/>
      <c r="F193" s="82"/>
      <c r="G193" s="82"/>
      <c r="H193" s="82"/>
      <c r="I193" s="82"/>
      <c r="J193" s="82"/>
      <c r="K193" s="82"/>
      <c r="L193" s="82"/>
    </row>
    <row r="194" spans="2:12" x14ac:dyDescent="0.25">
      <c r="B194" s="83">
        <v>101</v>
      </c>
      <c r="C194" s="83"/>
      <c r="D194" s="83"/>
      <c r="E194" s="83"/>
      <c r="F194" s="83"/>
      <c r="G194" s="83"/>
      <c r="H194" s="83"/>
      <c r="I194" s="83"/>
      <c r="J194" s="83"/>
      <c r="K194" s="83"/>
      <c r="L194" s="83"/>
    </row>
    <row r="195" spans="2:12" x14ac:dyDescent="0.25">
      <c r="B195" s="82">
        <v>102</v>
      </c>
      <c r="C195" s="82"/>
      <c r="D195" s="82"/>
      <c r="E195" s="82"/>
      <c r="F195" s="82"/>
      <c r="G195" s="82"/>
      <c r="H195" s="82"/>
      <c r="I195" s="82"/>
      <c r="J195" s="82"/>
      <c r="K195" s="82"/>
      <c r="L195" s="82"/>
    </row>
    <row r="196" spans="2:12" x14ac:dyDescent="0.25">
      <c r="B196" s="83">
        <v>103</v>
      </c>
      <c r="C196" s="83"/>
      <c r="D196" s="83"/>
      <c r="E196" s="83"/>
      <c r="F196" s="83"/>
      <c r="G196" s="83"/>
      <c r="H196" s="83"/>
      <c r="I196" s="83"/>
      <c r="J196" s="83"/>
      <c r="K196" s="83"/>
      <c r="L196" s="83"/>
    </row>
    <row r="197" spans="2:12" x14ac:dyDescent="0.25">
      <c r="B197" s="82">
        <v>104</v>
      </c>
      <c r="C197" s="82"/>
      <c r="D197" s="82"/>
      <c r="E197" s="82"/>
      <c r="F197" s="82"/>
      <c r="G197" s="82"/>
      <c r="H197" s="82"/>
      <c r="I197" s="82"/>
      <c r="J197" s="82"/>
      <c r="K197" s="82"/>
      <c r="L197" s="82"/>
    </row>
    <row r="198" spans="2:12" x14ac:dyDescent="0.25">
      <c r="B198" s="83">
        <v>105</v>
      </c>
      <c r="C198" s="83"/>
      <c r="D198" s="83"/>
      <c r="E198" s="83"/>
      <c r="F198" s="83"/>
      <c r="G198" s="83"/>
      <c r="H198" s="83"/>
      <c r="I198" s="83"/>
      <c r="J198" s="83"/>
      <c r="K198" s="83"/>
      <c r="L198" s="83"/>
    </row>
    <row r="199" spans="2:12" x14ac:dyDescent="0.25">
      <c r="B199" s="82">
        <v>106</v>
      </c>
      <c r="C199" s="82"/>
      <c r="D199" s="82"/>
      <c r="E199" s="82"/>
      <c r="F199" s="82"/>
      <c r="G199" s="82"/>
      <c r="H199" s="82"/>
      <c r="I199" s="82"/>
      <c r="J199" s="82"/>
      <c r="K199" s="82"/>
      <c r="L199" s="82"/>
    </row>
    <row r="200" spans="2:12" x14ac:dyDescent="0.25">
      <c r="B200" s="83">
        <v>107</v>
      </c>
      <c r="C200" s="83"/>
      <c r="D200" s="83"/>
      <c r="E200" s="83"/>
      <c r="F200" s="83"/>
      <c r="G200" s="83"/>
      <c r="H200" s="83"/>
      <c r="I200" s="83"/>
      <c r="J200" s="83"/>
      <c r="K200" s="83"/>
      <c r="L200" s="83"/>
    </row>
    <row r="201" spans="2:12" x14ac:dyDescent="0.25">
      <c r="B201" s="82">
        <v>108</v>
      </c>
      <c r="C201" s="82"/>
      <c r="D201" s="82"/>
      <c r="E201" s="82"/>
      <c r="F201" s="82"/>
      <c r="G201" s="82"/>
      <c r="H201" s="82"/>
      <c r="I201" s="82"/>
      <c r="J201" s="82"/>
      <c r="K201" s="82"/>
      <c r="L201" s="82"/>
    </row>
    <row r="202" spans="2:12" x14ac:dyDescent="0.25">
      <c r="B202" s="83">
        <v>109</v>
      </c>
      <c r="C202" s="83"/>
      <c r="D202" s="83"/>
      <c r="E202" s="83"/>
      <c r="F202" s="83"/>
      <c r="G202" s="83"/>
      <c r="H202" s="83"/>
      <c r="I202" s="83"/>
      <c r="J202" s="83"/>
      <c r="K202" s="83"/>
      <c r="L202" s="83"/>
    </row>
    <row r="203" spans="2:12" x14ac:dyDescent="0.25">
      <c r="B203" s="82">
        <v>110</v>
      </c>
      <c r="C203" s="82"/>
      <c r="D203" s="82"/>
      <c r="E203" s="82"/>
      <c r="F203" s="82"/>
      <c r="G203" s="82"/>
      <c r="H203" s="82"/>
      <c r="I203" s="82"/>
      <c r="J203" s="82"/>
      <c r="K203" s="82"/>
      <c r="L203" s="82"/>
    </row>
    <row r="204" spans="2:12" x14ac:dyDescent="0.25">
      <c r="B204" s="83">
        <v>111</v>
      </c>
      <c r="C204" s="83"/>
      <c r="D204" s="83"/>
      <c r="E204" s="83"/>
      <c r="F204" s="83"/>
      <c r="G204" s="83"/>
      <c r="H204" s="83"/>
      <c r="I204" s="83"/>
      <c r="J204" s="83"/>
      <c r="K204" s="83"/>
      <c r="L204" s="83"/>
    </row>
    <row r="205" spans="2:12" x14ac:dyDescent="0.25">
      <c r="B205" s="82">
        <v>112</v>
      </c>
      <c r="C205" s="82"/>
      <c r="D205" s="82"/>
      <c r="E205" s="82"/>
      <c r="F205" s="82"/>
      <c r="G205" s="82"/>
      <c r="H205" s="82"/>
      <c r="I205" s="82"/>
      <c r="J205" s="82"/>
      <c r="K205" s="82"/>
      <c r="L205" s="82"/>
    </row>
    <row r="206" spans="2:12" x14ac:dyDescent="0.25">
      <c r="B206" s="83">
        <v>113</v>
      </c>
      <c r="C206" s="83"/>
      <c r="D206" s="83"/>
      <c r="E206" s="83"/>
      <c r="F206" s="83"/>
      <c r="G206" s="83"/>
      <c r="H206" s="83"/>
      <c r="I206" s="83"/>
      <c r="J206" s="83"/>
      <c r="K206" s="83"/>
      <c r="L206" s="83"/>
    </row>
    <row r="207" spans="2:12" x14ac:dyDescent="0.25">
      <c r="B207" s="82">
        <v>114</v>
      </c>
      <c r="C207" s="82"/>
      <c r="D207" s="82"/>
      <c r="E207" s="82"/>
      <c r="F207" s="82"/>
      <c r="G207" s="82"/>
      <c r="H207" s="82"/>
      <c r="I207" s="82"/>
      <c r="J207" s="82"/>
      <c r="K207" s="82"/>
      <c r="L207" s="82"/>
    </row>
    <row r="208" spans="2:12" x14ac:dyDescent="0.25">
      <c r="B208" s="83">
        <v>115</v>
      </c>
      <c r="C208" s="83"/>
      <c r="D208" s="83"/>
      <c r="E208" s="83"/>
      <c r="F208" s="83"/>
      <c r="G208" s="83"/>
      <c r="H208" s="83"/>
      <c r="I208" s="83"/>
      <c r="J208" s="83"/>
      <c r="K208" s="83"/>
      <c r="L208" s="83"/>
    </row>
    <row r="209" spans="2:12" x14ac:dyDescent="0.25">
      <c r="B209" s="82">
        <v>116</v>
      </c>
      <c r="C209" s="82"/>
      <c r="D209" s="82"/>
      <c r="E209" s="82"/>
      <c r="F209" s="82"/>
      <c r="G209" s="82"/>
      <c r="H209" s="82"/>
      <c r="I209" s="82"/>
      <c r="J209" s="82"/>
      <c r="K209" s="82"/>
      <c r="L209" s="82"/>
    </row>
    <row r="210" spans="2:12" x14ac:dyDescent="0.25">
      <c r="B210" s="83">
        <v>117</v>
      </c>
      <c r="C210" s="83"/>
      <c r="D210" s="83"/>
      <c r="E210" s="83"/>
      <c r="F210" s="83"/>
      <c r="G210" s="83"/>
      <c r="H210" s="83"/>
      <c r="I210" s="83"/>
      <c r="J210" s="83"/>
      <c r="K210" s="83"/>
      <c r="L210" s="83"/>
    </row>
    <row r="211" spans="2:12" x14ac:dyDescent="0.25">
      <c r="B211" s="82">
        <v>118</v>
      </c>
      <c r="C211" s="82"/>
      <c r="D211" s="82"/>
      <c r="E211" s="82"/>
      <c r="F211" s="82"/>
      <c r="G211" s="82"/>
      <c r="H211" s="82"/>
      <c r="I211" s="82"/>
      <c r="J211" s="82"/>
      <c r="K211" s="82"/>
      <c r="L211" s="82"/>
    </row>
    <row r="212" spans="2:12" x14ac:dyDescent="0.25">
      <c r="B212" s="83">
        <v>119</v>
      </c>
      <c r="C212" s="83"/>
      <c r="D212" s="83"/>
      <c r="E212" s="83"/>
      <c r="F212" s="83"/>
      <c r="G212" s="83"/>
      <c r="H212" s="83"/>
      <c r="I212" s="83"/>
      <c r="J212" s="83"/>
      <c r="K212" s="83"/>
      <c r="L212" s="83"/>
    </row>
    <row r="213" spans="2:12" x14ac:dyDescent="0.25">
      <c r="B213" s="82">
        <v>120</v>
      </c>
      <c r="C213" s="82"/>
      <c r="D213" s="82"/>
      <c r="E213" s="82"/>
      <c r="F213" s="82"/>
      <c r="G213" s="82"/>
      <c r="H213" s="82"/>
      <c r="I213" s="82"/>
      <c r="J213" s="82"/>
      <c r="K213" s="82"/>
      <c r="L213" s="82"/>
    </row>
    <row r="214" spans="2:12" x14ac:dyDescent="0.25">
      <c r="B214" s="83">
        <v>121</v>
      </c>
      <c r="C214" s="83"/>
      <c r="D214" s="83"/>
      <c r="E214" s="83"/>
      <c r="F214" s="83"/>
      <c r="G214" s="83"/>
      <c r="H214" s="83"/>
      <c r="I214" s="83"/>
      <c r="J214" s="83"/>
      <c r="K214" s="83"/>
      <c r="L214" s="83"/>
    </row>
    <row r="215" spans="2:12" x14ac:dyDescent="0.25">
      <c r="B215" s="82">
        <v>122</v>
      </c>
      <c r="C215" s="82"/>
      <c r="D215" s="82"/>
      <c r="E215" s="82"/>
      <c r="F215" s="82"/>
      <c r="G215" s="82"/>
      <c r="H215" s="82"/>
      <c r="I215" s="82"/>
      <c r="J215" s="82"/>
      <c r="K215" s="82"/>
      <c r="L215" s="82"/>
    </row>
    <row r="216" spans="2:12" x14ac:dyDescent="0.25">
      <c r="B216" s="83">
        <v>123</v>
      </c>
      <c r="C216" s="83"/>
      <c r="D216" s="83"/>
      <c r="E216" s="83"/>
      <c r="F216" s="83"/>
      <c r="G216" s="83"/>
      <c r="H216" s="83"/>
      <c r="I216" s="83"/>
      <c r="J216" s="83"/>
      <c r="K216" s="83"/>
      <c r="L216" s="83"/>
    </row>
    <row r="217" spans="2:12" x14ac:dyDescent="0.25">
      <c r="B217" s="82">
        <v>124</v>
      </c>
      <c r="C217" s="82"/>
      <c r="D217" s="82"/>
      <c r="E217" s="82"/>
      <c r="F217" s="82"/>
      <c r="G217" s="82"/>
      <c r="H217" s="82"/>
      <c r="I217" s="82"/>
      <c r="J217" s="82"/>
      <c r="K217" s="82"/>
      <c r="L217" s="82"/>
    </row>
    <row r="218" spans="2:12" x14ac:dyDescent="0.25">
      <c r="B218" s="83">
        <v>125</v>
      </c>
      <c r="C218" s="83"/>
      <c r="D218" s="83"/>
      <c r="E218" s="83"/>
      <c r="F218" s="83"/>
      <c r="G218" s="83"/>
      <c r="H218" s="83"/>
      <c r="I218" s="83"/>
      <c r="J218" s="83"/>
      <c r="K218" s="83"/>
      <c r="L218" s="83"/>
    </row>
    <row r="219" spans="2:12" x14ac:dyDescent="0.25">
      <c r="B219" s="82">
        <v>126</v>
      </c>
      <c r="C219" s="82"/>
      <c r="D219" s="82"/>
      <c r="E219" s="82"/>
      <c r="F219" s="82"/>
      <c r="G219" s="82"/>
      <c r="H219" s="82"/>
      <c r="I219" s="82"/>
      <c r="J219" s="82"/>
      <c r="K219" s="82"/>
      <c r="L219" s="82"/>
    </row>
    <row r="220" spans="2:12" x14ac:dyDescent="0.25">
      <c r="B220" s="83">
        <v>127</v>
      </c>
      <c r="C220" s="83"/>
      <c r="D220" s="83"/>
      <c r="E220" s="83"/>
      <c r="F220" s="83"/>
      <c r="G220" s="83"/>
      <c r="H220" s="83"/>
      <c r="I220" s="83"/>
      <c r="J220" s="83"/>
      <c r="K220" s="83"/>
      <c r="L220" s="83"/>
    </row>
    <row r="221" spans="2:12" x14ac:dyDescent="0.25">
      <c r="B221" s="82">
        <v>128</v>
      </c>
      <c r="C221" s="82"/>
      <c r="D221" s="82"/>
      <c r="E221" s="82"/>
      <c r="F221" s="82"/>
      <c r="G221" s="82"/>
      <c r="H221" s="82"/>
      <c r="I221" s="82"/>
      <c r="J221" s="82"/>
      <c r="K221" s="82"/>
      <c r="L221" s="82"/>
    </row>
    <row r="222" spans="2:12" x14ac:dyDescent="0.25">
      <c r="B222" s="83">
        <v>129</v>
      </c>
      <c r="C222" s="83"/>
      <c r="D222" s="83"/>
      <c r="E222" s="83"/>
      <c r="F222" s="83"/>
      <c r="G222" s="83"/>
      <c r="H222" s="83"/>
      <c r="I222" s="83"/>
      <c r="J222" s="83"/>
      <c r="K222" s="83"/>
      <c r="L222" s="83"/>
    </row>
    <row r="223" spans="2:12" x14ac:dyDescent="0.25">
      <c r="B223" s="82">
        <v>130</v>
      </c>
      <c r="C223" s="82"/>
      <c r="D223" s="82"/>
      <c r="E223" s="82"/>
      <c r="F223" s="82"/>
      <c r="G223" s="82"/>
      <c r="H223" s="82"/>
      <c r="I223" s="82"/>
      <c r="J223" s="82"/>
      <c r="K223" s="82"/>
      <c r="L223" s="82"/>
    </row>
    <row r="224" spans="2:12" x14ac:dyDescent="0.25">
      <c r="B224" s="83">
        <v>131</v>
      </c>
      <c r="C224" s="83"/>
      <c r="D224" s="83"/>
      <c r="E224" s="83"/>
      <c r="F224" s="83"/>
      <c r="G224" s="83"/>
      <c r="H224" s="83"/>
      <c r="I224" s="83"/>
      <c r="J224" s="83"/>
      <c r="K224" s="83"/>
      <c r="L224" s="83"/>
    </row>
    <row r="225" spans="2:12" x14ac:dyDescent="0.25">
      <c r="B225" s="82">
        <v>132</v>
      </c>
      <c r="C225" s="82"/>
      <c r="D225" s="82"/>
      <c r="E225" s="82"/>
      <c r="F225" s="82"/>
      <c r="G225" s="82"/>
      <c r="H225" s="82"/>
      <c r="I225" s="82"/>
      <c r="J225" s="82"/>
      <c r="K225" s="82"/>
      <c r="L225" s="82"/>
    </row>
    <row r="226" spans="2:12" x14ac:dyDescent="0.25">
      <c r="B226" s="83">
        <v>133</v>
      </c>
      <c r="C226" s="83"/>
      <c r="D226" s="83"/>
      <c r="E226" s="83"/>
      <c r="F226" s="83"/>
      <c r="G226" s="83"/>
      <c r="H226" s="83"/>
      <c r="I226" s="83"/>
      <c r="J226" s="83"/>
      <c r="K226" s="83"/>
      <c r="L226" s="83"/>
    </row>
    <row r="227" spans="2:12" x14ac:dyDescent="0.25">
      <c r="B227" s="82">
        <v>134</v>
      </c>
      <c r="C227" s="82"/>
      <c r="D227" s="82"/>
      <c r="E227" s="82"/>
      <c r="F227" s="82"/>
      <c r="G227" s="82"/>
      <c r="H227" s="82"/>
      <c r="I227" s="82"/>
      <c r="J227" s="82"/>
      <c r="K227" s="82"/>
      <c r="L227" s="82"/>
    </row>
    <row r="228" spans="2:12" x14ac:dyDescent="0.25">
      <c r="B228" s="83">
        <v>135</v>
      </c>
      <c r="C228" s="83"/>
      <c r="D228" s="83"/>
      <c r="E228" s="83"/>
      <c r="F228" s="83"/>
      <c r="G228" s="83"/>
      <c r="H228" s="83"/>
      <c r="I228" s="83"/>
      <c r="J228" s="83"/>
      <c r="K228" s="83"/>
      <c r="L228" s="83"/>
    </row>
    <row r="229" spans="2:12" x14ac:dyDescent="0.25">
      <c r="B229" s="82">
        <v>136</v>
      </c>
      <c r="C229" s="82"/>
      <c r="D229" s="82"/>
      <c r="E229" s="82"/>
      <c r="F229" s="82"/>
      <c r="G229" s="82"/>
      <c r="H229" s="82"/>
      <c r="I229" s="82"/>
      <c r="J229" s="82"/>
      <c r="K229" s="82"/>
      <c r="L229" s="82"/>
    </row>
    <row r="230" spans="2:12" x14ac:dyDescent="0.25">
      <c r="B230" s="83">
        <v>137</v>
      </c>
      <c r="C230" s="83"/>
      <c r="D230" s="83"/>
      <c r="E230" s="83"/>
      <c r="F230" s="83"/>
      <c r="G230" s="83"/>
      <c r="H230" s="83"/>
      <c r="I230" s="83"/>
      <c r="J230" s="83"/>
      <c r="K230" s="83"/>
      <c r="L230" s="83"/>
    </row>
    <row r="231" spans="2:12" x14ac:dyDescent="0.25">
      <c r="B231" s="82">
        <v>138</v>
      </c>
      <c r="C231" s="82"/>
      <c r="D231" s="82"/>
      <c r="E231" s="82"/>
      <c r="F231" s="82"/>
      <c r="G231" s="82"/>
      <c r="H231" s="82"/>
      <c r="I231" s="82"/>
      <c r="J231" s="82"/>
      <c r="K231" s="82"/>
      <c r="L231" s="82"/>
    </row>
    <row r="232" spans="2:12" x14ac:dyDescent="0.25">
      <c r="B232" s="83">
        <v>139</v>
      </c>
      <c r="C232" s="83"/>
      <c r="D232" s="83"/>
      <c r="E232" s="83"/>
      <c r="F232" s="83"/>
      <c r="G232" s="83"/>
      <c r="H232" s="83"/>
      <c r="I232" s="83"/>
      <c r="J232" s="83"/>
      <c r="K232" s="83"/>
      <c r="L232" s="83"/>
    </row>
    <row r="233" spans="2:12" x14ac:dyDescent="0.25">
      <c r="B233" s="82">
        <v>140</v>
      </c>
      <c r="C233" s="82"/>
      <c r="D233" s="82"/>
      <c r="E233" s="82"/>
      <c r="F233" s="82"/>
      <c r="G233" s="82"/>
      <c r="H233" s="82"/>
      <c r="I233" s="82"/>
      <c r="J233" s="82"/>
      <c r="K233" s="82"/>
      <c r="L233" s="82"/>
    </row>
    <row r="234" spans="2:12" x14ac:dyDescent="0.25">
      <c r="B234" s="83">
        <v>141</v>
      </c>
      <c r="C234" s="83"/>
      <c r="D234" s="83"/>
      <c r="E234" s="83"/>
      <c r="F234" s="83"/>
      <c r="G234" s="83"/>
      <c r="H234" s="83"/>
      <c r="I234" s="83"/>
      <c r="J234" s="83"/>
      <c r="K234" s="83"/>
      <c r="L234" s="83"/>
    </row>
    <row r="235" spans="2:12" x14ac:dyDescent="0.25">
      <c r="B235" s="82">
        <v>142</v>
      </c>
      <c r="C235" s="82"/>
      <c r="D235" s="82"/>
      <c r="E235" s="82"/>
      <c r="F235" s="82"/>
      <c r="G235" s="82"/>
      <c r="H235" s="82"/>
      <c r="I235" s="82"/>
      <c r="J235" s="82"/>
      <c r="K235" s="82"/>
      <c r="L235" s="82"/>
    </row>
    <row r="236" spans="2:12" x14ac:dyDescent="0.25">
      <c r="B236" s="83">
        <v>143</v>
      </c>
      <c r="C236" s="83"/>
      <c r="D236" s="83"/>
      <c r="E236" s="83"/>
      <c r="F236" s="83"/>
      <c r="G236" s="83"/>
      <c r="H236" s="83"/>
      <c r="I236" s="83"/>
      <c r="J236" s="83"/>
      <c r="K236" s="83"/>
      <c r="L236" s="83"/>
    </row>
    <row r="237" spans="2:12" x14ac:dyDescent="0.25">
      <c r="B237" s="82">
        <v>144</v>
      </c>
      <c r="C237" s="82"/>
      <c r="D237" s="82"/>
      <c r="E237" s="82"/>
      <c r="F237" s="82"/>
      <c r="G237" s="82"/>
      <c r="H237" s="82"/>
      <c r="I237" s="82"/>
      <c r="J237" s="82"/>
      <c r="K237" s="82"/>
      <c r="L237" s="82"/>
    </row>
    <row r="238" spans="2:12" x14ac:dyDescent="0.25">
      <c r="B238" s="83">
        <v>145</v>
      </c>
      <c r="C238" s="83"/>
      <c r="D238" s="83"/>
      <c r="E238" s="83"/>
      <c r="F238" s="83"/>
      <c r="G238" s="83"/>
      <c r="H238" s="83"/>
      <c r="I238" s="83"/>
      <c r="J238" s="83"/>
      <c r="K238" s="83"/>
      <c r="L238" s="83"/>
    </row>
    <row r="239" spans="2:12" x14ac:dyDescent="0.25">
      <c r="B239" s="82">
        <v>146</v>
      </c>
      <c r="C239" s="82"/>
      <c r="D239" s="82"/>
      <c r="E239" s="82"/>
      <c r="F239" s="82"/>
      <c r="G239" s="82"/>
      <c r="H239" s="82"/>
      <c r="I239" s="82"/>
      <c r="J239" s="82"/>
      <c r="K239" s="82"/>
      <c r="L239" s="82"/>
    </row>
    <row r="240" spans="2:12" x14ac:dyDescent="0.25">
      <c r="B240" s="83">
        <v>147</v>
      </c>
      <c r="C240" s="83"/>
      <c r="D240" s="83"/>
      <c r="E240" s="83"/>
      <c r="F240" s="83"/>
      <c r="G240" s="83"/>
      <c r="H240" s="83"/>
      <c r="I240" s="83"/>
      <c r="J240" s="83"/>
      <c r="K240" s="83"/>
      <c r="L240" s="83"/>
    </row>
    <row r="241" spans="2:12" x14ac:dyDescent="0.25">
      <c r="B241" s="82">
        <v>148</v>
      </c>
      <c r="C241" s="82"/>
      <c r="D241" s="82"/>
      <c r="E241" s="82"/>
      <c r="F241" s="82"/>
      <c r="G241" s="82"/>
      <c r="H241" s="82"/>
      <c r="I241" s="82"/>
      <c r="J241" s="82"/>
      <c r="K241" s="82"/>
      <c r="L241" s="82"/>
    </row>
    <row r="242" spans="2:12" x14ac:dyDescent="0.25">
      <c r="B242" s="83">
        <v>149</v>
      </c>
      <c r="C242" s="83"/>
      <c r="D242" s="83"/>
      <c r="E242" s="83"/>
      <c r="F242" s="83"/>
      <c r="G242" s="83"/>
      <c r="H242" s="83"/>
      <c r="I242" s="83"/>
      <c r="J242" s="83"/>
      <c r="K242" s="83"/>
      <c r="L242" s="83"/>
    </row>
    <row r="243" spans="2:12" x14ac:dyDescent="0.25">
      <c r="B243" s="82">
        <v>150</v>
      </c>
      <c r="C243" s="82"/>
      <c r="D243" s="82"/>
      <c r="E243" s="82"/>
      <c r="F243" s="82"/>
      <c r="G243" s="82"/>
      <c r="H243" s="82"/>
      <c r="I243" s="82"/>
      <c r="J243" s="82"/>
      <c r="K243" s="82"/>
      <c r="L243" s="82"/>
    </row>
    <row r="244" spans="2:12" x14ac:dyDescent="0.25">
      <c r="B244" s="83">
        <v>151</v>
      </c>
      <c r="C244" s="83"/>
      <c r="D244" s="83"/>
      <c r="E244" s="83"/>
      <c r="F244" s="83"/>
      <c r="G244" s="83"/>
      <c r="H244" s="83"/>
      <c r="I244" s="83"/>
      <c r="J244" s="83"/>
      <c r="K244" s="83"/>
      <c r="L244" s="83"/>
    </row>
    <row r="245" spans="2:12" x14ac:dyDescent="0.25">
      <c r="B245" s="82">
        <v>152</v>
      </c>
      <c r="C245" s="82"/>
      <c r="D245" s="82"/>
      <c r="E245" s="82"/>
      <c r="F245" s="82"/>
      <c r="G245" s="82"/>
      <c r="H245" s="82"/>
      <c r="I245" s="82"/>
      <c r="J245" s="82"/>
      <c r="K245" s="82"/>
      <c r="L245" s="82"/>
    </row>
    <row r="246" spans="2:12" x14ac:dyDescent="0.25">
      <c r="B246" s="83">
        <v>153</v>
      </c>
      <c r="C246" s="83"/>
      <c r="D246" s="83"/>
      <c r="E246" s="83"/>
      <c r="F246" s="83"/>
      <c r="G246" s="83"/>
      <c r="H246" s="83"/>
      <c r="I246" s="83"/>
      <c r="J246" s="83"/>
      <c r="K246" s="83"/>
      <c r="L246" s="83"/>
    </row>
    <row r="247" spans="2:12" x14ac:dyDescent="0.25">
      <c r="B247" s="82">
        <v>154</v>
      </c>
      <c r="C247" s="82"/>
      <c r="D247" s="82"/>
      <c r="E247" s="82"/>
      <c r="F247" s="82"/>
      <c r="G247" s="82"/>
      <c r="H247" s="82"/>
      <c r="I247" s="82"/>
      <c r="J247" s="82"/>
      <c r="K247" s="82"/>
      <c r="L247" s="82"/>
    </row>
    <row r="248" spans="2:12" x14ac:dyDescent="0.25">
      <c r="B248" s="83">
        <v>155</v>
      </c>
      <c r="C248" s="83"/>
      <c r="D248" s="83"/>
      <c r="E248" s="83"/>
      <c r="F248" s="83"/>
      <c r="G248" s="83"/>
      <c r="H248" s="83"/>
      <c r="I248" s="83"/>
      <c r="J248" s="83"/>
      <c r="K248" s="83"/>
      <c r="L248" s="83"/>
    </row>
    <row r="249" spans="2:12" x14ac:dyDescent="0.25">
      <c r="B249" s="82">
        <v>156</v>
      </c>
      <c r="C249" s="82"/>
      <c r="D249" s="82"/>
      <c r="E249" s="82"/>
      <c r="F249" s="82"/>
      <c r="G249" s="82"/>
      <c r="H249" s="82"/>
      <c r="I249" s="82"/>
      <c r="J249" s="82"/>
      <c r="K249" s="82"/>
      <c r="L249" s="82"/>
    </row>
    <row r="250" spans="2:12" x14ac:dyDescent="0.25">
      <c r="B250" s="83">
        <v>157</v>
      </c>
      <c r="C250" s="83"/>
      <c r="D250" s="83"/>
      <c r="E250" s="83"/>
      <c r="F250" s="83"/>
      <c r="G250" s="83"/>
      <c r="H250" s="83"/>
      <c r="I250" s="83"/>
      <c r="J250" s="83"/>
      <c r="K250" s="83"/>
      <c r="L250" s="83"/>
    </row>
    <row r="251" spans="2:12" x14ac:dyDescent="0.25">
      <c r="B251" s="82">
        <v>158</v>
      </c>
      <c r="C251" s="82"/>
      <c r="D251" s="82"/>
      <c r="E251" s="82"/>
      <c r="F251" s="82"/>
      <c r="G251" s="82"/>
      <c r="H251" s="82"/>
      <c r="I251" s="82"/>
      <c r="J251" s="82"/>
      <c r="K251" s="82"/>
      <c r="L251" s="82"/>
    </row>
    <row r="252" spans="2:12" x14ac:dyDescent="0.25">
      <c r="B252" s="83">
        <v>159</v>
      </c>
      <c r="C252" s="83"/>
      <c r="D252" s="83"/>
      <c r="E252" s="83"/>
      <c r="F252" s="83"/>
      <c r="G252" s="83"/>
      <c r="H252" s="83"/>
      <c r="I252" s="83"/>
      <c r="J252" s="83"/>
      <c r="K252" s="83"/>
      <c r="L252" s="83"/>
    </row>
    <row r="253" spans="2:12" x14ac:dyDescent="0.25">
      <c r="B253" s="82">
        <v>160</v>
      </c>
      <c r="C253" s="82"/>
      <c r="D253" s="82"/>
      <c r="E253" s="82"/>
      <c r="F253" s="82"/>
      <c r="G253" s="82"/>
      <c r="H253" s="82"/>
      <c r="I253" s="82"/>
      <c r="J253" s="82"/>
      <c r="K253" s="82"/>
      <c r="L253" s="82"/>
    </row>
    <row r="254" spans="2:12" x14ac:dyDescent="0.25">
      <c r="B254" s="83">
        <v>161</v>
      </c>
      <c r="C254" s="83"/>
      <c r="D254" s="83"/>
      <c r="E254" s="83"/>
      <c r="F254" s="83"/>
      <c r="G254" s="83"/>
      <c r="H254" s="83"/>
      <c r="I254" s="83"/>
      <c r="J254" s="83"/>
      <c r="K254" s="83"/>
      <c r="L254" s="83"/>
    </row>
    <row r="255" spans="2:12" x14ac:dyDescent="0.25">
      <c r="B255" s="82">
        <v>162</v>
      </c>
      <c r="C255" s="82"/>
      <c r="D255" s="82"/>
      <c r="E255" s="82"/>
      <c r="F255" s="82"/>
      <c r="G255" s="82"/>
      <c r="H255" s="82"/>
      <c r="I255" s="82"/>
      <c r="J255" s="82"/>
      <c r="K255" s="82"/>
      <c r="L255" s="82"/>
    </row>
    <row r="256" spans="2:12" x14ac:dyDescent="0.25">
      <c r="B256" s="83">
        <v>163</v>
      </c>
      <c r="C256" s="83"/>
      <c r="D256" s="83"/>
      <c r="E256" s="83"/>
      <c r="F256" s="83"/>
      <c r="G256" s="83"/>
      <c r="H256" s="83"/>
      <c r="I256" s="83"/>
      <c r="J256" s="83"/>
      <c r="K256" s="83"/>
      <c r="L256" s="83"/>
    </row>
    <row r="257" spans="2:12" x14ac:dyDescent="0.25">
      <c r="B257" s="82">
        <v>164</v>
      </c>
      <c r="C257" s="82"/>
      <c r="D257" s="82"/>
      <c r="E257" s="82"/>
      <c r="F257" s="82"/>
      <c r="G257" s="82"/>
      <c r="H257" s="82"/>
      <c r="I257" s="82"/>
      <c r="J257" s="82"/>
      <c r="K257" s="82"/>
      <c r="L257" s="82"/>
    </row>
    <row r="258" spans="2:12" x14ac:dyDescent="0.25">
      <c r="B258" s="83">
        <v>165</v>
      </c>
      <c r="C258" s="83"/>
      <c r="D258" s="83"/>
      <c r="E258" s="83"/>
      <c r="F258" s="83"/>
      <c r="G258" s="83"/>
      <c r="H258" s="83"/>
      <c r="I258" s="83"/>
      <c r="J258" s="83"/>
      <c r="K258" s="83"/>
      <c r="L258" s="83"/>
    </row>
    <row r="259" spans="2:12" x14ac:dyDescent="0.25">
      <c r="B259" s="82">
        <v>166</v>
      </c>
      <c r="C259" s="82"/>
      <c r="D259" s="82"/>
      <c r="E259" s="82"/>
      <c r="F259" s="82"/>
      <c r="G259" s="82"/>
      <c r="H259" s="82"/>
      <c r="I259" s="82"/>
      <c r="J259" s="82"/>
      <c r="K259" s="82"/>
      <c r="L259" s="82"/>
    </row>
    <row r="260" spans="2:12" x14ac:dyDescent="0.25">
      <c r="B260" s="83">
        <v>167</v>
      </c>
      <c r="C260" s="83"/>
      <c r="D260" s="83"/>
      <c r="E260" s="83"/>
      <c r="F260" s="83"/>
      <c r="G260" s="83"/>
      <c r="H260" s="83"/>
      <c r="I260" s="83"/>
      <c r="J260" s="83"/>
      <c r="K260" s="83"/>
      <c r="L260" s="83"/>
    </row>
    <row r="261" spans="2:12" x14ac:dyDescent="0.25">
      <c r="B261" s="82">
        <v>168</v>
      </c>
      <c r="C261" s="82"/>
      <c r="D261" s="82"/>
      <c r="E261" s="82"/>
      <c r="F261" s="82"/>
      <c r="G261" s="82"/>
      <c r="H261" s="82"/>
      <c r="I261" s="82"/>
      <c r="J261" s="82"/>
      <c r="K261" s="82"/>
      <c r="L261" s="82"/>
    </row>
    <row r="262" spans="2:12" x14ac:dyDescent="0.25">
      <c r="B262" s="83">
        <v>169</v>
      </c>
      <c r="C262" s="83"/>
      <c r="D262" s="83"/>
      <c r="E262" s="83"/>
      <c r="F262" s="83"/>
      <c r="G262" s="83"/>
      <c r="H262" s="83"/>
      <c r="I262" s="83"/>
      <c r="J262" s="83"/>
      <c r="K262" s="83"/>
      <c r="L262" s="83"/>
    </row>
    <row r="263" spans="2:12" x14ac:dyDescent="0.25">
      <c r="B263" s="82">
        <v>170</v>
      </c>
      <c r="C263" s="82"/>
      <c r="D263" s="82"/>
      <c r="E263" s="82"/>
      <c r="F263" s="82"/>
      <c r="G263" s="82"/>
      <c r="H263" s="82"/>
      <c r="I263" s="82"/>
      <c r="J263" s="82"/>
      <c r="K263" s="82"/>
      <c r="L263" s="82"/>
    </row>
    <row r="264" spans="2:12" x14ac:dyDescent="0.25">
      <c r="B264" s="83">
        <v>171</v>
      </c>
      <c r="C264" s="83"/>
      <c r="D264" s="83"/>
      <c r="E264" s="83"/>
      <c r="F264" s="83"/>
      <c r="G264" s="83"/>
      <c r="H264" s="83"/>
      <c r="I264" s="83"/>
      <c r="J264" s="83"/>
      <c r="K264" s="83"/>
      <c r="L264" s="83"/>
    </row>
    <row r="265" spans="2:12" x14ac:dyDescent="0.25">
      <c r="B265" s="82">
        <v>172</v>
      </c>
      <c r="C265" s="82"/>
      <c r="D265" s="82"/>
      <c r="E265" s="82"/>
      <c r="F265" s="82"/>
      <c r="G265" s="82"/>
      <c r="H265" s="82"/>
      <c r="I265" s="82"/>
      <c r="J265" s="82"/>
      <c r="K265" s="82"/>
      <c r="L265" s="82"/>
    </row>
    <row r="266" spans="2:12" x14ac:dyDescent="0.25">
      <c r="B266" s="83">
        <v>173</v>
      </c>
      <c r="C266" s="83"/>
      <c r="D266" s="83"/>
      <c r="E266" s="83"/>
      <c r="F266" s="83"/>
      <c r="G266" s="83"/>
      <c r="H266" s="83"/>
      <c r="I266" s="83"/>
      <c r="J266" s="83"/>
      <c r="K266" s="83"/>
      <c r="L266" s="83"/>
    </row>
    <row r="267" spans="2:12" x14ac:dyDescent="0.25">
      <c r="B267" s="82">
        <v>174</v>
      </c>
      <c r="C267" s="82"/>
      <c r="D267" s="82"/>
      <c r="E267" s="82"/>
      <c r="F267" s="82"/>
      <c r="G267" s="82"/>
      <c r="H267" s="82"/>
      <c r="I267" s="82"/>
      <c r="J267" s="82"/>
      <c r="K267" s="82"/>
      <c r="L267" s="82"/>
    </row>
    <row r="268" spans="2:12" x14ac:dyDescent="0.25">
      <c r="B268" s="83">
        <v>175</v>
      </c>
      <c r="C268" s="83"/>
      <c r="D268" s="83"/>
      <c r="E268" s="83"/>
      <c r="F268" s="83"/>
      <c r="G268" s="83"/>
      <c r="H268" s="83"/>
      <c r="I268" s="83"/>
      <c r="J268" s="83"/>
      <c r="K268" s="83"/>
      <c r="L268" s="83"/>
    </row>
    <row r="269" spans="2:12" x14ac:dyDescent="0.25">
      <c r="B269" s="82">
        <v>176</v>
      </c>
      <c r="C269" s="82"/>
      <c r="D269" s="82"/>
      <c r="E269" s="82"/>
      <c r="F269" s="82"/>
      <c r="G269" s="82"/>
      <c r="H269" s="82"/>
      <c r="I269" s="82"/>
      <c r="J269" s="82"/>
      <c r="K269" s="82"/>
      <c r="L269" s="82"/>
    </row>
    <row r="270" spans="2:12" x14ac:dyDescent="0.25">
      <c r="B270" s="83">
        <v>177</v>
      </c>
      <c r="C270" s="83"/>
      <c r="D270" s="83"/>
      <c r="E270" s="83"/>
      <c r="F270" s="83"/>
      <c r="G270" s="83"/>
      <c r="H270" s="83"/>
      <c r="I270" s="83"/>
      <c r="J270" s="83"/>
      <c r="K270" s="83"/>
      <c r="L270" s="83"/>
    </row>
    <row r="271" spans="2:12" x14ac:dyDescent="0.25">
      <c r="B271" s="82">
        <v>178</v>
      </c>
      <c r="C271" s="82"/>
      <c r="D271" s="82"/>
      <c r="E271" s="82"/>
      <c r="F271" s="82"/>
      <c r="G271" s="82"/>
      <c r="H271" s="82"/>
      <c r="I271" s="82"/>
      <c r="J271" s="82"/>
      <c r="K271" s="82"/>
      <c r="L271" s="82"/>
    </row>
    <row r="272" spans="2:12" x14ac:dyDescent="0.25">
      <c r="B272" s="83">
        <v>179</v>
      </c>
      <c r="C272" s="83"/>
      <c r="D272" s="83"/>
      <c r="E272" s="83"/>
      <c r="F272" s="83"/>
      <c r="G272" s="83"/>
      <c r="H272" s="83"/>
      <c r="I272" s="83"/>
      <c r="J272" s="83"/>
      <c r="K272" s="83"/>
      <c r="L272" s="83"/>
    </row>
    <row r="273" spans="2:12" x14ac:dyDescent="0.25">
      <c r="B273" s="82">
        <v>180</v>
      </c>
      <c r="C273" s="82"/>
      <c r="D273" s="82"/>
      <c r="E273" s="82"/>
      <c r="F273" s="82"/>
      <c r="G273" s="82"/>
      <c r="H273" s="82"/>
      <c r="I273" s="82"/>
      <c r="J273" s="82"/>
      <c r="K273" s="82"/>
      <c r="L273" s="82"/>
    </row>
    <row r="274" spans="2:12" x14ac:dyDescent="0.25">
      <c r="B274" s="83">
        <v>181</v>
      </c>
      <c r="C274" s="83"/>
      <c r="D274" s="83"/>
      <c r="E274" s="83"/>
      <c r="F274" s="83"/>
      <c r="G274" s="83"/>
      <c r="H274" s="83"/>
      <c r="I274" s="83"/>
      <c r="J274" s="83"/>
      <c r="K274" s="83"/>
      <c r="L274" s="83"/>
    </row>
    <row r="275" spans="2:12" x14ac:dyDescent="0.25">
      <c r="B275" s="82">
        <v>182</v>
      </c>
      <c r="C275" s="82"/>
      <c r="D275" s="82"/>
      <c r="E275" s="82"/>
      <c r="F275" s="82"/>
      <c r="G275" s="82"/>
      <c r="H275" s="82"/>
      <c r="I275" s="82"/>
      <c r="J275" s="82"/>
      <c r="K275" s="82"/>
      <c r="L275" s="82"/>
    </row>
    <row r="276" spans="2:12" x14ac:dyDescent="0.25">
      <c r="B276" s="83">
        <v>183</v>
      </c>
      <c r="C276" s="83"/>
      <c r="D276" s="83"/>
      <c r="E276" s="83"/>
      <c r="F276" s="83"/>
      <c r="G276" s="83"/>
      <c r="H276" s="83"/>
      <c r="I276" s="83"/>
      <c r="J276" s="83"/>
      <c r="K276" s="83"/>
      <c r="L276" s="83"/>
    </row>
    <row r="277" spans="2:12" x14ac:dyDescent="0.25">
      <c r="B277" s="82">
        <v>184</v>
      </c>
      <c r="C277" s="82"/>
      <c r="D277" s="82"/>
      <c r="E277" s="82"/>
      <c r="F277" s="82"/>
      <c r="G277" s="82"/>
      <c r="H277" s="82"/>
      <c r="I277" s="82"/>
      <c r="J277" s="82"/>
      <c r="K277" s="82"/>
      <c r="L277" s="82"/>
    </row>
    <row r="278" spans="2:12" x14ac:dyDescent="0.25">
      <c r="B278" s="83">
        <v>185</v>
      </c>
      <c r="C278" s="83"/>
      <c r="D278" s="83"/>
      <c r="E278" s="83"/>
      <c r="F278" s="83"/>
      <c r="G278" s="83"/>
      <c r="H278" s="83"/>
      <c r="I278" s="83"/>
      <c r="J278" s="83"/>
      <c r="K278" s="83"/>
      <c r="L278" s="83"/>
    </row>
    <row r="279" spans="2:12" x14ac:dyDescent="0.25">
      <c r="B279" s="82">
        <v>186</v>
      </c>
      <c r="C279" s="82"/>
      <c r="D279" s="82"/>
      <c r="E279" s="82"/>
      <c r="F279" s="82"/>
      <c r="G279" s="82"/>
      <c r="H279" s="82"/>
      <c r="I279" s="82"/>
      <c r="J279" s="82"/>
      <c r="K279" s="82"/>
      <c r="L279" s="82"/>
    </row>
    <row r="280" spans="2:12" x14ac:dyDescent="0.25">
      <c r="B280" s="83">
        <v>187</v>
      </c>
      <c r="C280" s="83"/>
      <c r="D280" s="83"/>
      <c r="E280" s="83"/>
      <c r="F280" s="83"/>
      <c r="G280" s="83"/>
      <c r="H280" s="83"/>
      <c r="I280" s="83"/>
      <c r="J280" s="83"/>
      <c r="K280" s="83"/>
      <c r="L280" s="83"/>
    </row>
    <row r="281" spans="2:12" x14ac:dyDescent="0.25">
      <c r="B281" s="82">
        <v>188</v>
      </c>
      <c r="C281" s="82"/>
      <c r="D281" s="82"/>
      <c r="E281" s="82"/>
      <c r="F281" s="82"/>
      <c r="G281" s="82"/>
      <c r="H281" s="82"/>
      <c r="I281" s="82"/>
      <c r="J281" s="82"/>
      <c r="K281" s="82"/>
      <c r="L281" s="82"/>
    </row>
    <row r="282" spans="2:12" x14ac:dyDescent="0.25">
      <c r="B282" s="83">
        <v>189</v>
      </c>
      <c r="C282" s="83"/>
      <c r="D282" s="83"/>
      <c r="E282" s="83"/>
      <c r="F282" s="83"/>
      <c r="G282" s="83"/>
      <c r="H282" s="83"/>
      <c r="I282" s="83"/>
      <c r="J282" s="83"/>
      <c r="K282" s="83"/>
      <c r="L282" s="83"/>
    </row>
    <row r="283" spans="2:12" x14ac:dyDescent="0.25">
      <c r="B283" s="82">
        <v>190</v>
      </c>
      <c r="C283" s="82"/>
      <c r="D283" s="82"/>
      <c r="E283" s="82"/>
      <c r="F283" s="82"/>
      <c r="G283" s="82"/>
      <c r="H283" s="82"/>
      <c r="I283" s="82"/>
      <c r="J283" s="82"/>
      <c r="K283" s="82"/>
      <c r="L283" s="82"/>
    </row>
    <row r="284" spans="2:12" x14ac:dyDescent="0.25">
      <c r="B284" s="83">
        <v>191</v>
      </c>
      <c r="C284" s="83"/>
      <c r="D284" s="83"/>
      <c r="E284" s="83"/>
      <c r="F284" s="83"/>
      <c r="G284" s="83"/>
      <c r="H284" s="83"/>
      <c r="I284" s="83"/>
      <c r="J284" s="83"/>
      <c r="K284" s="83"/>
      <c r="L284" s="83"/>
    </row>
    <row r="285" spans="2:12" x14ac:dyDescent="0.25">
      <c r="B285" s="82">
        <v>192</v>
      </c>
      <c r="C285" s="82"/>
      <c r="D285" s="82"/>
      <c r="E285" s="82"/>
      <c r="F285" s="82"/>
      <c r="G285" s="82"/>
      <c r="H285" s="82"/>
      <c r="I285" s="82"/>
      <c r="J285" s="82"/>
      <c r="K285" s="82"/>
      <c r="L285" s="82"/>
    </row>
    <row r="286" spans="2:12" x14ac:dyDescent="0.25">
      <c r="B286" s="83">
        <v>193</v>
      </c>
      <c r="C286" s="83"/>
      <c r="D286" s="83"/>
      <c r="E286" s="83"/>
      <c r="F286" s="83"/>
      <c r="G286" s="83"/>
      <c r="H286" s="83"/>
      <c r="I286" s="83"/>
      <c r="J286" s="83"/>
      <c r="K286" s="83"/>
      <c r="L286" s="83"/>
    </row>
    <row r="287" spans="2:12" x14ac:dyDescent="0.25">
      <c r="B287" s="82">
        <v>194</v>
      </c>
      <c r="C287" s="82"/>
      <c r="D287" s="82"/>
      <c r="E287" s="82"/>
      <c r="F287" s="82"/>
      <c r="G287" s="82"/>
      <c r="H287" s="82"/>
      <c r="I287" s="82"/>
      <c r="J287" s="82"/>
      <c r="K287" s="82"/>
      <c r="L287" s="82"/>
    </row>
    <row r="288" spans="2:12" x14ac:dyDescent="0.25">
      <c r="B288" s="83">
        <v>195</v>
      </c>
      <c r="C288" s="83"/>
      <c r="D288" s="83"/>
      <c r="E288" s="83"/>
      <c r="F288" s="83"/>
      <c r="G288" s="83"/>
      <c r="H288" s="83"/>
      <c r="I288" s="83"/>
      <c r="J288" s="83"/>
      <c r="K288" s="83"/>
      <c r="L288" s="83"/>
    </row>
    <row r="289" spans="2:12" x14ac:dyDescent="0.25">
      <c r="B289" s="82">
        <v>205</v>
      </c>
      <c r="C289" s="82"/>
      <c r="D289" s="82"/>
      <c r="E289" s="82"/>
      <c r="F289" s="82"/>
      <c r="G289" s="82"/>
      <c r="H289" s="82"/>
      <c r="I289" s="82"/>
      <c r="J289" s="82"/>
      <c r="K289" s="82"/>
      <c r="L289" s="82"/>
    </row>
    <row r="290" spans="2:12" x14ac:dyDescent="0.25">
      <c r="B290" s="83">
        <v>215</v>
      </c>
      <c r="C290" s="83"/>
      <c r="D290" s="83"/>
      <c r="E290" s="83"/>
      <c r="F290" s="83"/>
      <c r="G290" s="83"/>
      <c r="H290" s="83"/>
      <c r="I290" s="83"/>
      <c r="J290" s="83"/>
      <c r="K290" s="83"/>
      <c r="L290" s="83"/>
    </row>
    <row r="291" spans="2:12" x14ac:dyDescent="0.25">
      <c r="B291" s="82">
        <v>225</v>
      </c>
      <c r="C291" s="82"/>
      <c r="D291" s="82"/>
      <c r="E291" s="82"/>
      <c r="F291" s="82"/>
      <c r="G291" s="82"/>
      <c r="H291" s="82"/>
      <c r="I291" s="82"/>
      <c r="J291" s="82"/>
      <c r="K291" s="82"/>
      <c r="L291" s="82"/>
    </row>
    <row r="292" spans="2:12" x14ac:dyDescent="0.25">
      <c r="B292" s="83">
        <v>235</v>
      </c>
      <c r="C292" s="83"/>
      <c r="D292" s="83"/>
      <c r="E292" s="83"/>
      <c r="F292" s="83"/>
      <c r="G292" s="83"/>
      <c r="H292" s="83"/>
      <c r="I292" s="83"/>
      <c r="J292" s="83"/>
      <c r="K292" s="83"/>
      <c r="L292" s="83"/>
    </row>
    <row r="293" spans="2:12" x14ac:dyDescent="0.25">
      <c r="B293" s="82">
        <v>245</v>
      </c>
      <c r="C293" s="82"/>
      <c r="D293" s="82"/>
      <c r="E293" s="82"/>
      <c r="F293" s="82"/>
      <c r="G293" s="82"/>
      <c r="H293" s="82"/>
      <c r="I293" s="82"/>
      <c r="J293" s="82"/>
      <c r="K293" s="82"/>
      <c r="L293" s="82"/>
    </row>
    <row r="294" spans="2:12" x14ac:dyDescent="0.25">
      <c r="B294" s="83">
        <v>255</v>
      </c>
      <c r="C294" s="83"/>
      <c r="D294" s="83"/>
      <c r="E294" s="83"/>
      <c r="F294" s="83"/>
      <c r="G294" s="83"/>
      <c r="H294" s="83"/>
      <c r="I294" s="83"/>
      <c r="J294" s="83"/>
      <c r="K294" s="83"/>
      <c r="L294" s="83"/>
    </row>
    <row r="295" spans="2:12" x14ac:dyDescent="0.25">
      <c r="B295" s="82">
        <v>265</v>
      </c>
      <c r="C295" s="82"/>
      <c r="D295" s="82"/>
      <c r="E295" s="82"/>
      <c r="F295" s="82"/>
      <c r="G295" s="82"/>
      <c r="H295" s="82"/>
      <c r="I295" s="82"/>
      <c r="J295" s="82"/>
      <c r="K295" s="82"/>
      <c r="L295" s="82"/>
    </row>
    <row r="296" spans="2:12" x14ac:dyDescent="0.25">
      <c r="B296" s="83">
        <v>275</v>
      </c>
      <c r="C296" s="83"/>
      <c r="D296" s="83"/>
      <c r="E296" s="83"/>
      <c r="F296" s="83"/>
      <c r="G296" s="83"/>
      <c r="H296" s="83"/>
      <c r="I296" s="83"/>
      <c r="J296" s="83"/>
      <c r="K296" s="83"/>
      <c r="L296" s="83"/>
    </row>
    <row r="297" spans="2:12" x14ac:dyDescent="0.25">
      <c r="B297" s="82">
        <v>285</v>
      </c>
      <c r="C297" s="82"/>
      <c r="D297" s="82"/>
      <c r="E297" s="82"/>
      <c r="F297" s="82"/>
      <c r="G297" s="82"/>
      <c r="H297" s="82"/>
      <c r="I297" s="82"/>
      <c r="J297" s="82"/>
      <c r="K297" s="82"/>
      <c r="L297" s="82"/>
    </row>
    <row r="298" spans="2:12" x14ac:dyDescent="0.25">
      <c r="B298" s="83">
        <v>295</v>
      </c>
      <c r="C298" s="83"/>
      <c r="D298" s="83"/>
      <c r="E298" s="83"/>
      <c r="F298" s="83"/>
      <c r="G298" s="83"/>
      <c r="H298" s="83"/>
      <c r="I298" s="83"/>
      <c r="J298" s="83"/>
      <c r="K298" s="83"/>
      <c r="L298" s="83"/>
    </row>
    <row r="299" spans="2:12" x14ac:dyDescent="0.25">
      <c r="B299" s="82">
        <v>305</v>
      </c>
      <c r="C299" s="82"/>
      <c r="D299" s="82"/>
      <c r="E299" s="82"/>
      <c r="F299" s="82"/>
      <c r="G299" s="82"/>
      <c r="H299" s="82"/>
      <c r="I299" s="82"/>
      <c r="J299" s="82"/>
      <c r="K299" s="82"/>
      <c r="L299" s="82"/>
    </row>
    <row r="300" spans="2:12" x14ac:dyDescent="0.25">
      <c r="B300" s="83">
        <v>315</v>
      </c>
      <c r="C300" s="83"/>
      <c r="D300" s="83"/>
      <c r="E300" s="83"/>
      <c r="F300" s="83"/>
      <c r="G300" s="83"/>
      <c r="H300" s="83"/>
      <c r="I300" s="83"/>
      <c r="J300" s="83"/>
      <c r="K300" s="83"/>
      <c r="L300" s="83"/>
    </row>
    <row r="301" spans="2:12" x14ac:dyDescent="0.25">
      <c r="B301" s="82">
        <v>325</v>
      </c>
      <c r="C301" s="82"/>
      <c r="D301" s="82"/>
      <c r="E301" s="82"/>
      <c r="F301" s="82"/>
      <c r="G301" s="82"/>
      <c r="H301" s="82"/>
      <c r="I301" s="82"/>
      <c r="J301" s="82"/>
      <c r="K301" s="82"/>
      <c r="L301" s="82"/>
    </row>
    <row r="302" spans="2:12" x14ac:dyDescent="0.25">
      <c r="B302" s="83">
        <v>335</v>
      </c>
      <c r="C302" s="83"/>
      <c r="D302" s="83"/>
      <c r="E302" s="83"/>
      <c r="F302" s="83"/>
      <c r="G302" s="83"/>
      <c r="H302" s="83"/>
      <c r="I302" s="83"/>
      <c r="J302" s="83"/>
      <c r="K302" s="83"/>
      <c r="L302" s="83"/>
    </row>
    <row r="303" spans="2:12" x14ac:dyDescent="0.25">
      <c r="B303" s="82">
        <v>345</v>
      </c>
      <c r="C303" s="82"/>
      <c r="D303" s="82"/>
      <c r="E303" s="82"/>
      <c r="F303" s="82"/>
      <c r="G303" s="82"/>
      <c r="H303" s="82"/>
      <c r="I303" s="82"/>
      <c r="J303" s="82"/>
      <c r="K303" s="82"/>
      <c r="L303" s="82"/>
    </row>
    <row r="304" spans="2:12" x14ac:dyDescent="0.25">
      <c r="B304" s="83">
        <v>355</v>
      </c>
      <c r="C304" s="83"/>
      <c r="D304" s="83"/>
      <c r="E304" s="83"/>
      <c r="F304" s="83"/>
      <c r="G304" s="83"/>
      <c r="H304" s="83"/>
      <c r="I304" s="83"/>
      <c r="J304" s="83"/>
      <c r="K304" s="83"/>
      <c r="L304" s="83"/>
    </row>
    <row r="305" spans="2:12" x14ac:dyDescent="0.25">
      <c r="B305" s="82">
        <v>365</v>
      </c>
      <c r="C305" s="82"/>
      <c r="D305" s="82"/>
      <c r="E305" s="82"/>
      <c r="F305" s="82"/>
      <c r="G305" s="82"/>
      <c r="H305" s="82"/>
      <c r="I305" s="82"/>
      <c r="J305" s="82"/>
      <c r="K305" s="82"/>
      <c r="L305" s="82"/>
    </row>
    <row r="306" spans="2:12" x14ac:dyDescent="0.25">
      <c r="B306" s="83">
        <v>375</v>
      </c>
      <c r="C306" s="83"/>
      <c r="D306" s="83"/>
      <c r="E306" s="83"/>
      <c r="F306" s="83"/>
      <c r="G306" s="83"/>
      <c r="H306" s="83"/>
      <c r="I306" s="83"/>
      <c r="J306" s="83"/>
      <c r="K306" s="83"/>
      <c r="L306" s="83"/>
    </row>
    <row r="307" spans="2:12" x14ac:dyDescent="0.25">
      <c r="B307" s="82">
        <v>385</v>
      </c>
      <c r="C307" s="82"/>
      <c r="D307" s="82"/>
      <c r="E307" s="82"/>
      <c r="F307" s="82"/>
      <c r="G307" s="82"/>
      <c r="H307" s="82"/>
      <c r="I307" s="82"/>
      <c r="J307" s="82"/>
      <c r="K307" s="82"/>
      <c r="L307" s="82"/>
    </row>
    <row r="308" spans="2:12" x14ac:dyDescent="0.25">
      <c r="B308" s="83">
        <v>395</v>
      </c>
      <c r="C308" s="83"/>
      <c r="D308" s="83"/>
      <c r="E308" s="83"/>
      <c r="F308" s="83"/>
      <c r="G308" s="83"/>
      <c r="H308" s="83"/>
      <c r="I308" s="83"/>
      <c r="J308" s="83"/>
      <c r="K308" s="83"/>
      <c r="L308" s="83"/>
    </row>
    <row r="309" spans="2:12" x14ac:dyDescent="0.25">
      <c r="B309" s="82">
        <v>405</v>
      </c>
      <c r="C309" s="82"/>
      <c r="D309" s="82"/>
      <c r="E309" s="82"/>
      <c r="F309" s="82"/>
      <c r="G309" s="82"/>
      <c r="H309" s="82"/>
      <c r="I309" s="82"/>
      <c r="J309" s="82"/>
      <c r="K309" s="82"/>
      <c r="L309" s="82"/>
    </row>
    <row r="310" spans="2:12" x14ac:dyDescent="0.25">
      <c r="B310" s="83">
        <v>415</v>
      </c>
      <c r="C310" s="83"/>
      <c r="D310" s="83"/>
      <c r="E310" s="83"/>
      <c r="F310" s="83"/>
      <c r="G310" s="83"/>
      <c r="H310" s="83"/>
      <c r="I310" s="83"/>
      <c r="J310" s="83"/>
      <c r="K310" s="83"/>
      <c r="L310" s="83"/>
    </row>
    <row r="311" spans="2:12" x14ac:dyDescent="0.25">
      <c r="B311" s="82">
        <v>425</v>
      </c>
      <c r="C311" s="82"/>
      <c r="D311" s="82"/>
      <c r="E311" s="82"/>
      <c r="F311" s="82"/>
      <c r="G311" s="82"/>
      <c r="H311" s="82"/>
      <c r="I311" s="82"/>
      <c r="J311" s="82"/>
      <c r="K311" s="82"/>
      <c r="L311" s="82"/>
    </row>
    <row r="312" spans="2:12" x14ac:dyDescent="0.25">
      <c r="B312" s="83">
        <v>435</v>
      </c>
      <c r="C312" s="83"/>
      <c r="D312" s="83"/>
      <c r="E312" s="83"/>
      <c r="F312" s="83"/>
      <c r="G312" s="83"/>
      <c r="H312" s="83"/>
      <c r="I312" s="83"/>
      <c r="J312" s="83"/>
      <c r="K312" s="83"/>
      <c r="L312" s="83"/>
    </row>
    <row r="313" spans="2:12" x14ac:dyDescent="0.25">
      <c r="B313" s="82">
        <v>445</v>
      </c>
      <c r="C313" s="82"/>
      <c r="D313" s="82"/>
      <c r="E313" s="82"/>
      <c r="F313" s="82"/>
      <c r="G313" s="82"/>
      <c r="H313" s="82"/>
      <c r="I313" s="82"/>
      <c r="J313" s="82"/>
      <c r="K313" s="82"/>
      <c r="L313" s="82"/>
    </row>
    <row r="314" spans="2:12" x14ac:dyDescent="0.25">
      <c r="B314" s="83">
        <v>455</v>
      </c>
      <c r="C314" s="83"/>
      <c r="D314" s="83"/>
      <c r="E314" s="83"/>
      <c r="F314" s="83"/>
      <c r="G314" s="83"/>
      <c r="H314" s="83"/>
      <c r="I314" s="83"/>
      <c r="J314" s="83"/>
      <c r="K314" s="83"/>
      <c r="L314" s="83"/>
    </row>
    <row r="315" spans="2:12" x14ac:dyDescent="0.25">
      <c r="B315" s="82">
        <v>465</v>
      </c>
      <c r="C315" s="82"/>
      <c r="D315" s="82"/>
      <c r="E315" s="82"/>
      <c r="F315" s="82"/>
      <c r="G315" s="82"/>
      <c r="H315" s="82"/>
      <c r="I315" s="82"/>
      <c r="J315" s="82"/>
      <c r="K315" s="82"/>
      <c r="L315" s="82"/>
    </row>
    <row r="316" spans="2:12" x14ac:dyDescent="0.25">
      <c r="B316" s="83">
        <v>475</v>
      </c>
      <c r="C316" s="83"/>
      <c r="D316" s="83"/>
      <c r="E316" s="83"/>
      <c r="F316" s="83"/>
      <c r="G316" s="83"/>
      <c r="H316" s="83"/>
      <c r="I316" s="83"/>
      <c r="J316" s="83"/>
      <c r="K316" s="83"/>
      <c r="L316" s="83"/>
    </row>
    <row r="317" spans="2:12" x14ac:dyDescent="0.25">
      <c r="B317" s="82">
        <v>485</v>
      </c>
      <c r="C317" s="82"/>
      <c r="D317" s="82"/>
      <c r="E317" s="82"/>
      <c r="F317" s="82"/>
      <c r="G317" s="82"/>
      <c r="H317" s="82"/>
      <c r="I317" s="82"/>
      <c r="J317" s="82"/>
      <c r="K317" s="82"/>
      <c r="L317" s="82"/>
    </row>
    <row r="318" spans="2:12" x14ac:dyDescent="0.25">
      <c r="B318" s="83">
        <v>495</v>
      </c>
      <c r="C318" s="83"/>
      <c r="D318" s="83"/>
      <c r="E318" s="83"/>
      <c r="F318" s="83"/>
      <c r="G318" s="83"/>
      <c r="H318" s="83"/>
      <c r="I318" s="83"/>
      <c r="J318" s="83"/>
      <c r="K318" s="83"/>
      <c r="L318" s="83"/>
    </row>
    <row r="319" spans="2:12" x14ac:dyDescent="0.25">
      <c r="B319" s="82">
        <v>505</v>
      </c>
      <c r="C319" s="82"/>
      <c r="D319" s="82"/>
      <c r="E319" s="82"/>
      <c r="F319" s="82"/>
      <c r="G319" s="82"/>
      <c r="H319" s="82"/>
      <c r="I319" s="82"/>
      <c r="J319" s="82"/>
      <c r="K319" s="82"/>
      <c r="L319" s="82"/>
    </row>
    <row r="320" spans="2:12" x14ac:dyDescent="0.25">
      <c r="B320" s="83">
        <v>515</v>
      </c>
      <c r="C320" s="83"/>
      <c r="D320" s="83"/>
      <c r="E320" s="83"/>
      <c r="F320" s="83"/>
      <c r="G320" s="83"/>
      <c r="H320" s="83"/>
      <c r="I320" s="83"/>
      <c r="J320" s="83"/>
      <c r="K320" s="83"/>
      <c r="L320" s="83"/>
    </row>
    <row r="321" spans="2:12" x14ac:dyDescent="0.25">
      <c r="B321" s="82">
        <v>525</v>
      </c>
      <c r="C321" s="82"/>
      <c r="D321" s="82"/>
      <c r="E321" s="82"/>
      <c r="F321" s="82"/>
      <c r="G321" s="82"/>
      <c r="H321" s="82"/>
      <c r="I321" s="82"/>
      <c r="J321" s="82"/>
      <c r="K321" s="82"/>
      <c r="L321" s="82"/>
    </row>
    <row r="322" spans="2:12" x14ac:dyDescent="0.25">
      <c r="B322" s="83">
        <v>535</v>
      </c>
      <c r="C322" s="83"/>
      <c r="D322" s="83"/>
      <c r="E322" s="83"/>
      <c r="F322" s="83"/>
      <c r="G322" s="83"/>
      <c r="H322" s="83"/>
      <c r="I322" s="83"/>
      <c r="J322" s="83"/>
      <c r="K322" s="83"/>
      <c r="L322" s="83"/>
    </row>
    <row r="323" spans="2:12" x14ac:dyDescent="0.25">
      <c r="B323" s="82">
        <v>545</v>
      </c>
      <c r="C323" s="82"/>
      <c r="D323" s="82"/>
      <c r="E323" s="82"/>
      <c r="F323" s="82"/>
      <c r="G323" s="82"/>
      <c r="H323" s="82"/>
      <c r="I323" s="82"/>
      <c r="J323" s="82"/>
      <c r="K323" s="82"/>
      <c r="L323" s="82"/>
    </row>
    <row r="324" spans="2:12" x14ac:dyDescent="0.25">
      <c r="B324" s="83">
        <v>555</v>
      </c>
      <c r="C324" s="83"/>
      <c r="D324" s="83"/>
      <c r="E324" s="83"/>
      <c r="F324" s="83"/>
      <c r="G324" s="83"/>
      <c r="H324" s="83"/>
      <c r="I324" s="83"/>
      <c r="J324" s="83"/>
      <c r="K324" s="83"/>
      <c r="L324" s="83"/>
    </row>
    <row r="325" spans="2:12" x14ac:dyDescent="0.25">
      <c r="B325" s="82">
        <v>565</v>
      </c>
      <c r="C325" s="82"/>
      <c r="D325" s="82"/>
      <c r="E325" s="82"/>
      <c r="F325" s="82"/>
      <c r="G325" s="82"/>
      <c r="H325" s="82"/>
      <c r="I325" s="82"/>
      <c r="J325" s="82"/>
      <c r="K325" s="82"/>
      <c r="L325" s="82"/>
    </row>
    <row r="326" spans="2:12" x14ac:dyDescent="0.25">
      <c r="B326" s="83">
        <v>575</v>
      </c>
      <c r="C326" s="83"/>
      <c r="D326" s="83"/>
      <c r="E326" s="83"/>
      <c r="F326" s="83"/>
      <c r="G326" s="83"/>
      <c r="H326" s="83"/>
      <c r="I326" s="83"/>
      <c r="J326" s="83"/>
      <c r="K326" s="83"/>
      <c r="L326" s="83"/>
    </row>
    <row r="327" spans="2:12" x14ac:dyDescent="0.25">
      <c r="B327" s="82">
        <v>585</v>
      </c>
      <c r="C327" s="82"/>
      <c r="D327" s="82"/>
      <c r="E327" s="82"/>
      <c r="F327" s="82"/>
      <c r="G327" s="82"/>
      <c r="H327" s="82"/>
      <c r="I327" s="82"/>
      <c r="J327" s="82"/>
      <c r="K327" s="82"/>
      <c r="L327" s="82"/>
    </row>
    <row r="328" spans="2:12" x14ac:dyDescent="0.25">
      <c r="B328" s="83">
        <v>595</v>
      </c>
      <c r="C328" s="83"/>
      <c r="D328" s="83"/>
      <c r="E328" s="83"/>
      <c r="F328" s="83"/>
      <c r="G328" s="83"/>
      <c r="H328" s="83"/>
      <c r="I328" s="83"/>
      <c r="J328" s="83"/>
      <c r="K328" s="83"/>
      <c r="L328" s="83"/>
    </row>
    <row r="329" spans="2:12" x14ac:dyDescent="0.25">
      <c r="B329" s="82">
        <v>605</v>
      </c>
      <c r="C329" s="82"/>
      <c r="D329" s="82"/>
      <c r="E329" s="82"/>
      <c r="F329" s="82"/>
      <c r="G329" s="82"/>
      <c r="H329" s="82"/>
      <c r="I329" s="82"/>
      <c r="J329" s="82"/>
      <c r="K329" s="82"/>
      <c r="L329" s="82"/>
    </row>
    <row r="330" spans="2:12" x14ac:dyDescent="0.25">
      <c r="B330" s="83">
        <v>615</v>
      </c>
      <c r="C330" s="83"/>
      <c r="D330" s="83"/>
      <c r="E330" s="83"/>
      <c r="F330" s="83"/>
      <c r="G330" s="83"/>
      <c r="H330" s="83"/>
      <c r="I330" s="83"/>
      <c r="J330" s="83"/>
      <c r="K330" s="83"/>
      <c r="L330" s="83"/>
    </row>
    <row r="331" spans="2:12" x14ac:dyDescent="0.25">
      <c r="B331" s="82">
        <v>625</v>
      </c>
      <c r="C331" s="82"/>
      <c r="D331" s="82"/>
      <c r="E331" s="82"/>
      <c r="F331" s="82"/>
      <c r="G331" s="82"/>
      <c r="H331" s="82"/>
      <c r="I331" s="82"/>
      <c r="J331" s="82"/>
      <c r="K331" s="82"/>
      <c r="L331" s="82"/>
    </row>
    <row r="332" spans="2:12" x14ac:dyDescent="0.25">
      <c r="B332" s="83">
        <v>635</v>
      </c>
      <c r="C332" s="83"/>
      <c r="D332" s="83"/>
      <c r="E332" s="83"/>
      <c r="F332" s="83"/>
      <c r="G332" s="83"/>
      <c r="H332" s="83"/>
      <c r="I332" s="83"/>
      <c r="J332" s="83"/>
      <c r="K332" s="83"/>
      <c r="L332" s="83"/>
    </row>
    <row r="333" spans="2:12" x14ac:dyDescent="0.25">
      <c r="B333" s="82">
        <v>645</v>
      </c>
      <c r="C333" s="82"/>
      <c r="D333" s="82"/>
      <c r="E333" s="82"/>
      <c r="F333" s="82"/>
      <c r="G333" s="82"/>
      <c r="H333" s="82"/>
      <c r="I333" s="82"/>
      <c r="J333" s="82"/>
      <c r="K333" s="82"/>
      <c r="L333" s="82"/>
    </row>
    <row r="334" spans="2:12" x14ac:dyDescent="0.25">
      <c r="B334" s="83">
        <v>655</v>
      </c>
      <c r="C334" s="83"/>
      <c r="D334" s="83"/>
      <c r="E334" s="83"/>
      <c r="F334" s="83"/>
      <c r="G334" s="83"/>
      <c r="H334" s="83"/>
      <c r="I334" s="83"/>
      <c r="J334" s="83"/>
      <c r="K334" s="83"/>
      <c r="L334" s="83"/>
    </row>
    <row r="335" spans="2:12" x14ac:dyDescent="0.25">
      <c r="B335" s="82">
        <v>665</v>
      </c>
      <c r="C335" s="82"/>
      <c r="D335" s="82"/>
      <c r="E335" s="82"/>
      <c r="F335" s="82"/>
      <c r="G335" s="82"/>
      <c r="H335" s="82"/>
      <c r="I335" s="82"/>
      <c r="J335" s="82"/>
      <c r="K335" s="82"/>
      <c r="L335" s="82"/>
    </row>
    <row r="336" spans="2:12" x14ac:dyDescent="0.25">
      <c r="B336" s="83">
        <v>675</v>
      </c>
      <c r="C336" s="83"/>
      <c r="D336" s="83"/>
      <c r="E336" s="83"/>
      <c r="F336" s="83"/>
      <c r="G336" s="83"/>
      <c r="H336" s="83"/>
      <c r="I336" s="83"/>
      <c r="J336" s="83"/>
      <c r="K336" s="83"/>
      <c r="L336" s="83"/>
    </row>
    <row r="337" spans="2:12" x14ac:dyDescent="0.25">
      <c r="B337" s="82">
        <v>685</v>
      </c>
      <c r="C337" s="82"/>
      <c r="D337" s="82"/>
      <c r="E337" s="82"/>
      <c r="F337" s="82"/>
      <c r="G337" s="82"/>
      <c r="H337" s="82"/>
      <c r="I337" s="82"/>
      <c r="J337" s="82"/>
      <c r="K337" s="82"/>
      <c r="L337" s="82"/>
    </row>
    <row r="338" spans="2:12" x14ac:dyDescent="0.25">
      <c r="B338" s="83">
        <v>695</v>
      </c>
      <c r="C338" s="83"/>
      <c r="D338" s="83"/>
      <c r="E338" s="83"/>
      <c r="F338" s="83"/>
      <c r="G338" s="83"/>
      <c r="H338" s="83"/>
      <c r="I338" s="83"/>
      <c r="J338" s="83"/>
      <c r="K338" s="83"/>
      <c r="L338" s="83"/>
    </row>
    <row r="339" spans="2:12" x14ac:dyDescent="0.25">
      <c r="B339" s="82">
        <v>705</v>
      </c>
      <c r="C339" s="82"/>
      <c r="D339" s="82"/>
      <c r="E339" s="82"/>
      <c r="F339" s="82"/>
      <c r="G339" s="82"/>
      <c r="H339" s="82"/>
      <c r="I339" s="82"/>
      <c r="J339" s="82"/>
      <c r="K339" s="82"/>
      <c r="L339" s="82"/>
    </row>
    <row r="340" spans="2:12" x14ac:dyDescent="0.25">
      <c r="B340" s="83">
        <v>715</v>
      </c>
      <c r="C340" s="83"/>
      <c r="D340" s="83"/>
      <c r="E340" s="83"/>
      <c r="F340" s="83"/>
      <c r="G340" s="83"/>
      <c r="H340" s="83"/>
      <c r="I340" s="83"/>
      <c r="J340" s="83"/>
      <c r="K340" s="83"/>
      <c r="L340" s="83"/>
    </row>
    <row r="341" spans="2:12" x14ac:dyDescent="0.25">
      <c r="B341" s="82">
        <v>725</v>
      </c>
      <c r="C341" s="82"/>
      <c r="D341" s="82"/>
      <c r="E341" s="82"/>
      <c r="F341" s="82"/>
      <c r="G341" s="82"/>
      <c r="H341" s="82"/>
      <c r="I341" s="82"/>
      <c r="J341" s="82"/>
      <c r="K341" s="82"/>
      <c r="L341" s="82"/>
    </row>
    <row r="342" spans="2:12" x14ac:dyDescent="0.25">
      <c r="B342" s="83">
        <v>735</v>
      </c>
      <c r="C342" s="83"/>
      <c r="D342" s="83"/>
      <c r="E342" s="83"/>
      <c r="F342" s="83"/>
      <c r="G342" s="83"/>
      <c r="H342" s="83"/>
      <c r="I342" s="83"/>
      <c r="J342" s="83"/>
      <c r="K342" s="83"/>
      <c r="L342" s="83"/>
    </row>
    <row r="343" spans="2:12" x14ac:dyDescent="0.25">
      <c r="B343" s="82">
        <v>745</v>
      </c>
      <c r="C343" s="82"/>
      <c r="D343" s="82"/>
      <c r="E343" s="82"/>
      <c r="F343" s="82"/>
      <c r="G343" s="82"/>
      <c r="H343" s="82"/>
      <c r="I343" s="82"/>
      <c r="J343" s="82"/>
      <c r="K343" s="82"/>
      <c r="L343" s="82"/>
    </row>
    <row r="344" spans="2:12" x14ac:dyDescent="0.25">
      <c r="B344" s="83">
        <v>755</v>
      </c>
      <c r="C344" s="83"/>
      <c r="D344" s="83"/>
      <c r="E344" s="83"/>
      <c r="F344" s="83"/>
      <c r="G344" s="83"/>
      <c r="H344" s="83"/>
      <c r="I344" s="83"/>
      <c r="J344" s="83"/>
      <c r="K344" s="83"/>
      <c r="L344" s="83"/>
    </row>
    <row r="345" spans="2:12" x14ac:dyDescent="0.25">
      <c r="B345" s="82">
        <v>765</v>
      </c>
      <c r="C345" s="82"/>
      <c r="D345" s="82"/>
      <c r="E345" s="82"/>
      <c r="F345" s="82"/>
      <c r="G345" s="82"/>
      <c r="H345" s="82"/>
      <c r="I345" s="82"/>
      <c r="J345" s="82"/>
      <c r="K345" s="82"/>
      <c r="L345" s="82"/>
    </row>
    <row r="346" spans="2:12" x14ac:dyDescent="0.25">
      <c r="B346" s="83">
        <v>775</v>
      </c>
      <c r="C346" s="83"/>
      <c r="D346" s="83"/>
      <c r="E346" s="83"/>
      <c r="F346" s="83"/>
      <c r="G346" s="83"/>
      <c r="H346" s="83"/>
      <c r="I346" s="83"/>
      <c r="J346" s="83"/>
      <c r="K346" s="83"/>
      <c r="L346" s="83"/>
    </row>
    <row r="347" spans="2:12" x14ac:dyDescent="0.25">
      <c r="B347" s="82">
        <v>785</v>
      </c>
      <c r="C347" s="82"/>
      <c r="D347" s="82"/>
      <c r="E347" s="82"/>
      <c r="F347" s="82"/>
      <c r="G347" s="82"/>
      <c r="H347" s="82"/>
      <c r="I347" s="82"/>
      <c r="J347" s="82"/>
      <c r="K347" s="82"/>
      <c r="L347" s="82"/>
    </row>
    <row r="348" spans="2:12" x14ac:dyDescent="0.25">
      <c r="B348" s="83">
        <v>795</v>
      </c>
      <c r="C348" s="83"/>
      <c r="D348" s="83"/>
      <c r="E348" s="83"/>
      <c r="F348" s="83"/>
      <c r="G348" s="83"/>
      <c r="H348" s="83"/>
      <c r="I348" s="83"/>
      <c r="J348" s="83"/>
      <c r="K348" s="83"/>
      <c r="L348" s="83"/>
    </row>
    <row r="349" spans="2:12" x14ac:dyDescent="0.25">
      <c r="B349" s="82">
        <v>805</v>
      </c>
      <c r="C349" s="82"/>
      <c r="D349" s="82"/>
      <c r="E349" s="82"/>
      <c r="F349" s="82"/>
      <c r="G349" s="82"/>
      <c r="H349" s="82"/>
      <c r="I349" s="82"/>
      <c r="J349" s="82"/>
      <c r="K349" s="82"/>
      <c r="L349" s="82"/>
    </row>
    <row r="350" spans="2:12" x14ac:dyDescent="0.25">
      <c r="B350" s="83">
        <v>815</v>
      </c>
      <c r="C350" s="83"/>
      <c r="D350" s="83"/>
      <c r="E350" s="83"/>
      <c r="F350" s="83"/>
      <c r="G350" s="83"/>
      <c r="H350" s="83"/>
      <c r="I350" s="83"/>
      <c r="J350" s="83"/>
      <c r="K350" s="83"/>
      <c r="L350" s="83"/>
    </row>
    <row r="351" spans="2:12" x14ac:dyDescent="0.25">
      <c r="B351" s="82">
        <v>825</v>
      </c>
      <c r="C351" s="82"/>
      <c r="D351" s="82"/>
      <c r="E351" s="82"/>
      <c r="F351" s="82"/>
      <c r="G351" s="82"/>
      <c r="H351" s="82"/>
      <c r="I351" s="82"/>
      <c r="J351" s="82"/>
      <c r="K351" s="82"/>
      <c r="L351" s="82"/>
    </row>
    <row r="352" spans="2:12" x14ac:dyDescent="0.25">
      <c r="B352" s="83">
        <v>835</v>
      </c>
      <c r="C352" s="83"/>
      <c r="D352" s="83"/>
      <c r="E352" s="83"/>
      <c r="F352" s="83"/>
      <c r="G352" s="83"/>
      <c r="H352" s="83"/>
      <c r="I352" s="83"/>
      <c r="J352" s="83"/>
      <c r="K352" s="83"/>
      <c r="L352" s="83"/>
    </row>
    <row r="353" spans="2:12" x14ac:dyDescent="0.25">
      <c r="B353" s="82">
        <v>845</v>
      </c>
      <c r="C353" s="82"/>
      <c r="D353" s="82"/>
      <c r="E353" s="82"/>
      <c r="F353" s="82"/>
      <c r="G353" s="82"/>
      <c r="H353" s="82"/>
      <c r="I353" s="82"/>
      <c r="J353" s="82"/>
      <c r="K353" s="82"/>
      <c r="L353" s="82"/>
    </row>
    <row r="354" spans="2:12" x14ac:dyDescent="0.25">
      <c r="B354" s="83">
        <v>855</v>
      </c>
      <c r="C354" s="83"/>
      <c r="D354" s="83"/>
      <c r="E354" s="83"/>
      <c r="F354" s="83"/>
      <c r="G354" s="83"/>
      <c r="H354" s="83"/>
      <c r="I354" s="83"/>
      <c r="J354" s="83"/>
      <c r="K354" s="83"/>
      <c r="L354" s="83"/>
    </row>
    <row r="355" spans="2:12" x14ac:dyDescent="0.25">
      <c r="B355" s="82">
        <v>865</v>
      </c>
      <c r="C355" s="82"/>
      <c r="D355" s="82"/>
      <c r="E355" s="82"/>
      <c r="F355" s="82"/>
      <c r="G355" s="82"/>
      <c r="H355" s="82"/>
      <c r="I355" s="82"/>
      <c r="J355" s="82"/>
      <c r="K355" s="82"/>
      <c r="L355" s="82"/>
    </row>
    <row r="356" spans="2:12" x14ac:dyDescent="0.25">
      <c r="B356" s="83">
        <v>875</v>
      </c>
      <c r="C356" s="83"/>
      <c r="D356" s="83"/>
      <c r="E356" s="83"/>
      <c r="F356" s="83"/>
      <c r="G356" s="83"/>
      <c r="H356" s="83"/>
      <c r="I356" s="83"/>
      <c r="J356" s="83"/>
      <c r="K356" s="83"/>
      <c r="L356" s="83"/>
    </row>
    <row r="357" spans="2:12" x14ac:dyDescent="0.25">
      <c r="B357" s="82">
        <v>885</v>
      </c>
      <c r="C357" s="82"/>
      <c r="D357" s="82"/>
      <c r="E357" s="82"/>
      <c r="F357" s="82"/>
      <c r="G357" s="82"/>
      <c r="H357" s="82"/>
      <c r="I357" s="82"/>
      <c r="J357" s="82"/>
      <c r="K357" s="82"/>
      <c r="L357" s="82"/>
    </row>
    <row r="358" spans="2:12" x14ac:dyDescent="0.25">
      <c r="B358" s="83">
        <v>895</v>
      </c>
      <c r="C358" s="83"/>
      <c r="D358" s="83"/>
      <c r="E358" s="83"/>
      <c r="F358" s="83"/>
      <c r="G358" s="83"/>
      <c r="H358" s="83"/>
      <c r="I358" s="83"/>
      <c r="J358" s="83"/>
      <c r="K358" s="83"/>
      <c r="L358" s="83"/>
    </row>
    <row r="359" spans="2:12" x14ac:dyDescent="0.25">
      <c r="B359" s="82">
        <v>905</v>
      </c>
      <c r="C359" s="82"/>
      <c r="D359" s="82"/>
      <c r="E359" s="82"/>
      <c r="F359" s="82"/>
      <c r="G359" s="82"/>
      <c r="H359" s="82"/>
      <c r="I359" s="82"/>
      <c r="J359" s="82"/>
      <c r="K359" s="82"/>
      <c r="L359" s="82"/>
    </row>
    <row r="360" spans="2:12" x14ac:dyDescent="0.25">
      <c r="B360" s="83">
        <v>915</v>
      </c>
      <c r="C360" s="83"/>
      <c r="D360" s="83"/>
      <c r="E360" s="83"/>
      <c r="F360" s="83"/>
      <c r="G360" s="83"/>
      <c r="H360" s="83"/>
      <c r="I360" s="83"/>
      <c r="J360" s="83"/>
      <c r="K360" s="83"/>
      <c r="L360" s="83"/>
    </row>
    <row r="361" spans="2:12" x14ac:dyDescent="0.25">
      <c r="B361" s="82">
        <v>925</v>
      </c>
      <c r="C361" s="82"/>
      <c r="D361" s="82"/>
      <c r="E361" s="82"/>
      <c r="F361" s="82"/>
      <c r="G361" s="82"/>
      <c r="H361" s="82"/>
      <c r="I361" s="82"/>
      <c r="J361" s="82"/>
      <c r="K361" s="82"/>
      <c r="L361" s="82"/>
    </row>
    <row r="362" spans="2:12" x14ac:dyDescent="0.25">
      <c r="B362" s="83">
        <v>935</v>
      </c>
      <c r="C362" s="83"/>
      <c r="D362" s="83"/>
      <c r="E362" s="83"/>
      <c r="F362" s="83"/>
      <c r="G362" s="83"/>
      <c r="H362" s="83"/>
      <c r="I362" s="83"/>
      <c r="J362" s="83"/>
      <c r="K362" s="83"/>
      <c r="L362" s="83"/>
    </row>
    <row r="363" spans="2:12" x14ac:dyDescent="0.25">
      <c r="B363" s="82">
        <v>945</v>
      </c>
      <c r="C363" s="82"/>
      <c r="D363" s="82"/>
      <c r="E363" s="82"/>
      <c r="F363" s="82"/>
      <c r="G363" s="82"/>
      <c r="H363" s="82"/>
      <c r="I363" s="82"/>
      <c r="J363" s="82"/>
      <c r="K363" s="82"/>
      <c r="L363" s="82"/>
    </row>
    <row r="364" spans="2:12" x14ac:dyDescent="0.25">
      <c r="B364" s="83">
        <v>955</v>
      </c>
      <c r="C364" s="83"/>
      <c r="D364" s="83"/>
      <c r="E364" s="83"/>
      <c r="F364" s="83"/>
      <c r="G364" s="83"/>
      <c r="H364" s="83"/>
      <c r="I364" s="83"/>
      <c r="J364" s="83"/>
      <c r="K364" s="83"/>
      <c r="L364" s="83"/>
    </row>
    <row r="365" spans="2:12" x14ac:dyDescent="0.25">
      <c r="B365" s="82">
        <v>965</v>
      </c>
      <c r="C365" s="82"/>
      <c r="D365" s="82"/>
      <c r="E365" s="82"/>
      <c r="F365" s="82"/>
      <c r="G365" s="82"/>
      <c r="H365" s="82"/>
      <c r="I365" s="82"/>
      <c r="J365" s="82"/>
      <c r="K365" s="82"/>
      <c r="L365" s="82"/>
    </row>
    <row r="366" spans="2:12" x14ac:dyDescent="0.25">
      <c r="B366" s="83">
        <v>975</v>
      </c>
      <c r="C366" s="83"/>
      <c r="D366" s="83"/>
      <c r="E366" s="83"/>
      <c r="F366" s="83"/>
      <c r="G366" s="83"/>
      <c r="H366" s="83"/>
      <c r="I366" s="83"/>
      <c r="J366" s="83"/>
      <c r="K366" s="83"/>
      <c r="L366" s="83"/>
    </row>
    <row r="367" spans="2:12" x14ac:dyDescent="0.25">
      <c r="B367" s="82">
        <v>985</v>
      </c>
      <c r="C367" s="82"/>
      <c r="D367" s="82"/>
      <c r="E367" s="82"/>
      <c r="F367" s="82"/>
      <c r="G367" s="82"/>
      <c r="H367" s="82"/>
      <c r="I367" s="82"/>
      <c r="J367" s="82"/>
      <c r="K367" s="82"/>
      <c r="L367" s="82"/>
    </row>
    <row r="368" spans="2:12" x14ac:dyDescent="0.25">
      <c r="B368" s="83">
        <v>995</v>
      </c>
      <c r="C368" s="83"/>
      <c r="D368" s="83"/>
      <c r="E368" s="83"/>
      <c r="F368" s="83"/>
      <c r="G368" s="83"/>
      <c r="H368" s="83"/>
      <c r="I368" s="83"/>
      <c r="J368" s="83"/>
      <c r="K368" s="83"/>
      <c r="L368" s="83"/>
    </row>
    <row r="369" spans="2:12" x14ac:dyDescent="0.25">
      <c r="B369" s="82">
        <v>1005</v>
      </c>
      <c r="C369" s="82"/>
      <c r="D369" s="82"/>
      <c r="E369" s="82"/>
      <c r="F369" s="82"/>
      <c r="G369" s="82"/>
      <c r="H369" s="82"/>
      <c r="I369" s="82"/>
      <c r="J369" s="82"/>
      <c r="K369" s="82"/>
      <c r="L369" s="82"/>
    </row>
    <row r="370" spans="2:12" x14ac:dyDescent="0.25">
      <c r="B370" s="83">
        <v>1015</v>
      </c>
      <c r="C370" s="83"/>
      <c r="D370" s="83"/>
      <c r="E370" s="83"/>
      <c r="F370" s="83"/>
      <c r="G370" s="83"/>
      <c r="H370" s="83"/>
      <c r="I370" s="83"/>
      <c r="J370" s="83"/>
      <c r="K370" s="83"/>
      <c r="L370" s="83"/>
    </row>
    <row r="371" spans="2:12" x14ac:dyDescent="0.25">
      <c r="B371" s="82">
        <v>1025</v>
      </c>
      <c r="C371" s="82"/>
      <c r="D371" s="82"/>
      <c r="E371" s="82"/>
      <c r="F371" s="82"/>
      <c r="G371" s="82"/>
      <c r="H371" s="82"/>
      <c r="I371" s="82"/>
      <c r="J371" s="82"/>
      <c r="K371" s="82"/>
      <c r="L371" s="82"/>
    </row>
    <row r="372" spans="2:12" x14ac:dyDescent="0.25">
      <c r="B372" s="83">
        <v>1035</v>
      </c>
      <c r="C372" s="83"/>
      <c r="D372" s="83"/>
      <c r="E372" s="83"/>
      <c r="F372" s="83"/>
      <c r="G372" s="83"/>
      <c r="H372" s="83"/>
      <c r="I372" s="83"/>
      <c r="J372" s="83"/>
      <c r="K372" s="83"/>
      <c r="L372" s="83"/>
    </row>
    <row r="373" spans="2:12" x14ac:dyDescent="0.25">
      <c r="B373" s="82">
        <v>1045</v>
      </c>
      <c r="C373" s="82"/>
      <c r="D373" s="82"/>
      <c r="E373" s="82"/>
      <c r="F373" s="82"/>
      <c r="G373" s="82"/>
      <c r="H373" s="82"/>
      <c r="I373" s="82"/>
      <c r="J373" s="82"/>
      <c r="K373" s="82"/>
      <c r="L373" s="82"/>
    </row>
    <row r="374" spans="2:12" x14ac:dyDescent="0.25">
      <c r="B374" s="83">
        <v>1055</v>
      </c>
      <c r="C374" s="83"/>
      <c r="D374" s="83"/>
      <c r="E374" s="83"/>
      <c r="F374" s="83"/>
      <c r="G374" s="83"/>
      <c r="H374" s="83"/>
      <c r="I374" s="83"/>
      <c r="J374" s="83"/>
      <c r="K374" s="83"/>
      <c r="L374" s="83"/>
    </row>
    <row r="375" spans="2:12" x14ac:dyDescent="0.25">
      <c r="B375" s="82">
        <v>1065</v>
      </c>
      <c r="C375" s="82"/>
      <c r="D375" s="82"/>
      <c r="E375" s="82"/>
      <c r="F375" s="82"/>
      <c r="G375" s="82"/>
      <c r="H375" s="82"/>
      <c r="I375" s="82"/>
      <c r="J375" s="82"/>
      <c r="K375" s="82"/>
      <c r="L375" s="82"/>
    </row>
    <row r="376" spans="2:12" x14ac:dyDescent="0.25">
      <c r="B376" s="83">
        <v>1075</v>
      </c>
      <c r="C376" s="83"/>
      <c r="D376" s="83"/>
      <c r="E376" s="83"/>
      <c r="F376" s="83"/>
      <c r="G376" s="83"/>
      <c r="H376" s="83"/>
      <c r="I376" s="83"/>
      <c r="J376" s="83"/>
      <c r="K376" s="83"/>
      <c r="L376" s="83"/>
    </row>
    <row r="377" spans="2:12" x14ac:dyDescent="0.25">
      <c r="B377" s="82">
        <v>1085</v>
      </c>
      <c r="C377" s="82"/>
      <c r="D377" s="82"/>
      <c r="E377" s="82"/>
      <c r="F377" s="82"/>
      <c r="G377" s="82"/>
      <c r="H377" s="82"/>
      <c r="I377" s="82"/>
      <c r="J377" s="82"/>
      <c r="K377" s="82"/>
      <c r="L377" s="82"/>
    </row>
    <row r="378" spans="2:12" x14ac:dyDescent="0.25">
      <c r="B378" s="83">
        <v>1095</v>
      </c>
      <c r="C378" s="83"/>
      <c r="D378" s="83"/>
      <c r="E378" s="83"/>
      <c r="F378" s="83"/>
      <c r="G378" s="83"/>
      <c r="H378" s="83"/>
      <c r="I378" s="83"/>
      <c r="J378" s="83"/>
      <c r="K378" s="83"/>
      <c r="L378" s="83"/>
    </row>
    <row r="379" spans="2:12" x14ac:dyDescent="0.25">
      <c r="B379" s="82">
        <v>1105</v>
      </c>
      <c r="C379" s="82"/>
      <c r="D379" s="82"/>
      <c r="E379" s="82"/>
      <c r="F379" s="82"/>
      <c r="G379" s="82"/>
      <c r="H379" s="82"/>
      <c r="I379" s="82"/>
      <c r="J379" s="82"/>
      <c r="K379" s="82"/>
      <c r="L379" s="82"/>
    </row>
    <row r="380" spans="2:12" x14ac:dyDescent="0.25">
      <c r="B380" s="83">
        <v>1115</v>
      </c>
      <c r="C380" s="83"/>
      <c r="D380" s="83"/>
      <c r="E380" s="83"/>
      <c r="F380" s="83"/>
      <c r="G380" s="83"/>
      <c r="H380" s="83"/>
      <c r="I380" s="83"/>
      <c r="J380" s="83"/>
      <c r="K380" s="83"/>
      <c r="L380" s="83"/>
    </row>
    <row r="381" spans="2:12" x14ac:dyDescent="0.25">
      <c r="B381" s="82">
        <v>1125</v>
      </c>
      <c r="C381" s="82"/>
      <c r="D381" s="82"/>
      <c r="E381" s="82"/>
      <c r="F381" s="82"/>
      <c r="G381" s="82"/>
      <c r="H381" s="82"/>
      <c r="I381" s="82"/>
      <c r="J381" s="82"/>
      <c r="K381" s="82"/>
      <c r="L381" s="82"/>
    </row>
    <row r="382" spans="2:12" x14ac:dyDescent="0.25">
      <c r="B382" s="83">
        <v>1135</v>
      </c>
      <c r="C382" s="83"/>
      <c r="D382" s="83"/>
      <c r="E382" s="83"/>
      <c r="F382" s="83"/>
      <c r="G382" s="83"/>
      <c r="H382" s="83"/>
      <c r="I382" s="83"/>
      <c r="J382" s="83"/>
      <c r="K382" s="83"/>
      <c r="L382" s="83"/>
    </row>
    <row r="383" spans="2:12" x14ac:dyDescent="0.25">
      <c r="B383" s="82">
        <v>1145</v>
      </c>
      <c r="C383" s="82"/>
      <c r="D383" s="82"/>
      <c r="E383" s="82"/>
      <c r="F383" s="82"/>
      <c r="G383" s="82"/>
      <c r="H383" s="82"/>
      <c r="I383" s="82"/>
      <c r="J383" s="82"/>
      <c r="K383" s="82"/>
      <c r="L383" s="82"/>
    </row>
    <row r="384" spans="2:12" x14ac:dyDescent="0.25">
      <c r="B384" s="83">
        <v>1155</v>
      </c>
      <c r="C384" s="83"/>
      <c r="D384" s="83"/>
      <c r="E384" s="83"/>
      <c r="F384" s="83"/>
      <c r="G384" s="83"/>
      <c r="H384" s="83"/>
      <c r="I384" s="83"/>
      <c r="J384" s="83"/>
      <c r="K384" s="83"/>
      <c r="L384" s="83"/>
    </row>
    <row r="385" spans="2:12" x14ac:dyDescent="0.25">
      <c r="B385" s="82">
        <v>1165</v>
      </c>
      <c r="C385" s="82"/>
      <c r="D385" s="82"/>
      <c r="E385" s="82"/>
      <c r="F385" s="82"/>
      <c r="G385" s="82"/>
      <c r="H385" s="82"/>
      <c r="I385" s="82"/>
      <c r="J385" s="82"/>
      <c r="K385" s="82"/>
      <c r="L385" s="82"/>
    </row>
    <row r="386" spans="2:12" x14ac:dyDescent="0.25">
      <c r="B386" s="83">
        <v>1175</v>
      </c>
      <c r="C386" s="83"/>
      <c r="D386" s="83"/>
      <c r="E386" s="83"/>
      <c r="F386" s="83"/>
      <c r="G386" s="83"/>
      <c r="H386" s="83"/>
      <c r="I386" s="83"/>
      <c r="J386" s="83"/>
      <c r="K386" s="83"/>
      <c r="L386" s="83"/>
    </row>
    <row r="387" spans="2:12" x14ac:dyDescent="0.25">
      <c r="B387" s="82">
        <v>1185</v>
      </c>
      <c r="C387" s="82"/>
      <c r="D387" s="82"/>
      <c r="E387" s="82"/>
      <c r="F387" s="82"/>
      <c r="G387" s="82"/>
      <c r="H387" s="82"/>
      <c r="I387" s="82"/>
      <c r="J387" s="82"/>
      <c r="K387" s="82"/>
      <c r="L387" s="82"/>
    </row>
    <row r="388" spans="2:12" x14ac:dyDescent="0.25">
      <c r="B388" s="83">
        <v>1195</v>
      </c>
      <c r="C388" s="83"/>
      <c r="D388" s="83"/>
      <c r="E388" s="83"/>
      <c r="F388" s="83"/>
      <c r="G388" s="83"/>
      <c r="H388" s="83"/>
      <c r="I388" s="83"/>
      <c r="J388" s="83"/>
      <c r="K388" s="83"/>
      <c r="L388" s="83"/>
    </row>
    <row r="389" spans="2:12" x14ac:dyDescent="0.25">
      <c r="B389" s="82">
        <v>1295</v>
      </c>
      <c r="C389" s="82"/>
      <c r="D389" s="82"/>
      <c r="E389" s="82"/>
      <c r="F389" s="82"/>
      <c r="G389" s="82"/>
      <c r="H389" s="82"/>
      <c r="I389" s="82"/>
      <c r="J389" s="82"/>
      <c r="K389" s="82"/>
      <c r="L389" s="82"/>
    </row>
    <row r="390" spans="2:12" x14ac:dyDescent="0.25">
      <c r="B390" s="83">
        <v>1395</v>
      </c>
      <c r="C390" s="83"/>
      <c r="D390" s="83"/>
      <c r="E390" s="83"/>
      <c r="F390" s="83"/>
      <c r="G390" s="83"/>
      <c r="H390" s="83"/>
      <c r="I390" s="83"/>
      <c r="J390" s="83"/>
      <c r="K390" s="83"/>
      <c r="L390" s="83"/>
    </row>
    <row r="391" spans="2:12" x14ac:dyDescent="0.25">
      <c r="B391" s="82">
        <v>1495</v>
      </c>
      <c r="C391" s="82"/>
      <c r="D391" s="82"/>
      <c r="E391" s="82"/>
      <c r="F391" s="82"/>
      <c r="G391" s="82"/>
      <c r="H391" s="82"/>
      <c r="I391" s="82"/>
      <c r="J391" s="82"/>
      <c r="K391" s="82"/>
      <c r="L391" s="82"/>
    </row>
    <row r="392" spans="2:12" x14ac:dyDescent="0.25">
      <c r="B392" s="83">
        <v>1595</v>
      </c>
      <c r="C392" s="83"/>
      <c r="D392" s="83"/>
      <c r="E392" s="83"/>
      <c r="F392" s="83"/>
      <c r="G392" s="83"/>
      <c r="H392" s="83"/>
      <c r="I392" s="83"/>
      <c r="J392" s="83"/>
      <c r="K392" s="83"/>
      <c r="L392" s="83"/>
    </row>
    <row r="393" spans="2:12" x14ac:dyDescent="0.25">
      <c r="B393" s="82">
        <v>1695</v>
      </c>
      <c r="C393" s="82"/>
      <c r="D393" s="82"/>
      <c r="E393" s="82"/>
      <c r="F393" s="82"/>
      <c r="G393" s="82"/>
      <c r="H393" s="82"/>
      <c r="I393" s="82"/>
      <c r="J393" s="82"/>
      <c r="K393" s="82"/>
      <c r="L393" s="82"/>
    </row>
    <row r="394" spans="2:12" x14ac:dyDescent="0.25">
      <c r="B394" s="83">
        <v>1795</v>
      </c>
      <c r="C394" s="83"/>
      <c r="D394" s="83"/>
      <c r="E394" s="83"/>
      <c r="F394" s="83"/>
      <c r="G394" s="83"/>
      <c r="H394" s="83"/>
      <c r="I394" s="83"/>
      <c r="J394" s="83"/>
      <c r="K394" s="83"/>
      <c r="L394" s="83"/>
    </row>
    <row r="395" spans="2:12" x14ac:dyDescent="0.25">
      <c r="B395" s="82">
        <v>1895</v>
      </c>
      <c r="C395" s="82"/>
      <c r="D395" s="82"/>
      <c r="E395" s="82"/>
      <c r="F395" s="82"/>
      <c r="G395" s="82"/>
      <c r="H395" s="82"/>
      <c r="I395" s="82"/>
      <c r="J395" s="82"/>
      <c r="K395" s="82"/>
      <c r="L395" s="82"/>
    </row>
    <row r="396" spans="2:12" x14ac:dyDescent="0.25">
      <c r="B396" s="83">
        <v>1995</v>
      </c>
      <c r="C396" s="83"/>
      <c r="D396" s="83"/>
      <c r="E396" s="83"/>
      <c r="F396" s="83"/>
      <c r="G396" s="83"/>
      <c r="H396" s="83"/>
      <c r="I396" s="83"/>
      <c r="J396" s="83"/>
      <c r="K396" s="83"/>
      <c r="L396" s="83"/>
    </row>
    <row r="397" spans="2:12" x14ac:dyDescent="0.25">
      <c r="B397" s="82">
        <v>2095</v>
      </c>
      <c r="C397" s="82"/>
      <c r="D397" s="82"/>
      <c r="E397" s="82"/>
      <c r="F397" s="82"/>
      <c r="G397" s="82"/>
      <c r="H397" s="82"/>
      <c r="I397" s="82"/>
      <c r="J397" s="82"/>
      <c r="K397" s="82"/>
      <c r="L397" s="82"/>
    </row>
    <row r="398" spans="2:12" x14ac:dyDescent="0.25">
      <c r="B398" s="83">
        <v>2195</v>
      </c>
      <c r="C398" s="83"/>
      <c r="D398" s="83"/>
      <c r="E398" s="83"/>
      <c r="F398" s="83"/>
      <c r="G398" s="83"/>
      <c r="H398" s="83"/>
      <c r="I398" s="83"/>
      <c r="J398" s="83"/>
      <c r="K398" s="83"/>
      <c r="L398" s="83"/>
    </row>
    <row r="399" spans="2:12" x14ac:dyDescent="0.25">
      <c r="B399" s="82">
        <v>2295</v>
      </c>
      <c r="C399" s="82"/>
      <c r="D399" s="82"/>
      <c r="E399" s="82"/>
      <c r="F399" s="82"/>
      <c r="G399" s="82"/>
      <c r="H399" s="82"/>
      <c r="I399" s="82"/>
      <c r="J399" s="82"/>
      <c r="K399" s="82"/>
      <c r="L399" s="82"/>
    </row>
    <row r="400" spans="2:12" x14ac:dyDescent="0.25">
      <c r="B400" s="83">
        <v>2395</v>
      </c>
      <c r="C400" s="83"/>
      <c r="D400" s="83"/>
      <c r="E400" s="83"/>
      <c r="F400" s="83"/>
      <c r="G400" s="83"/>
      <c r="H400" s="83"/>
      <c r="I400" s="83"/>
      <c r="J400" s="83"/>
      <c r="K400" s="83"/>
      <c r="L400" s="83"/>
    </row>
    <row r="401" spans="2:12" x14ac:dyDescent="0.25">
      <c r="B401" s="82">
        <v>2495</v>
      </c>
      <c r="C401" s="82"/>
      <c r="D401" s="82"/>
      <c r="E401" s="82"/>
      <c r="F401" s="82"/>
      <c r="G401" s="82"/>
      <c r="H401" s="82"/>
      <c r="I401" s="82"/>
      <c r="J401" s="82"/>
      <c r="K401" s="82"/>
      <c r="L401" s="82"/>
    </row>
    <row r="402" spans="2:12" x14ac:dyDescent="0.25">
      <c r="B402" s="83">
        <v>2595</v>
      </c>
      <c r="C402" s="83"/>
      <c r="D402" s="83"/>
      <c r="E402" s="83"/>
      <c r="F402" s="83"/>
      <c r="G402" s="83"/>
      <c r="H402" s="83"/>
      <c r="I402" s="83"/>
      <c r="J402" s="83"/>
      <c r="K402" s="83"/>
      <c r="L402" s="83"/>
    </row>
    <row r="403" spans="2:12" x14ac:dyDescent="0.25">
      <c r="B403" s="82">
        <v>2695</v>
      </c>
      <c r="C403" s="82"/>
      <c r="D403" s="82"/>
      <c r="E403" s="82"/>
      <c r="F403" s="82"/>
      <c r="G403" s="82"/>
      <c r="H403" s="82"/>
      <c r="I403" s="82"/>
      <c r="J403" s="82"/>
      <c r="K403" s="82"/>
      <c r="L403" s="82"/>
    </row>
    <row r="404" spans="2:12" x14ac:dyDescent="0.25">
      <c r="B404" s="83">
        <v>2795</v>
      </c>
      <c r="C404" s="83"/>
      <c r="D404" s="83"/>
      <c r="E404" s="83"/>
      <c r="F404" s="83"/>
      <c r="G404" s="83"/>
      <c r="H404" s="83"/>
      <c r="I404" s="83"/>
      <c r="J404" s="83"/>
      <c r="K404" s="83"/>
      <c r="L404" s="83"/>
    </row>
    <row r="405" spans="2:12" x14ac:dyDescent="0.25">
      <c r="B405" s="82">
        <v>2895</v>
      </c>
      <c r="C405" s="82"/>
      <c r="D405" s="82"/>
      <c r="E405" s="82"/>
      <c r="F405" s="82"/>
      <c r="G405" s="82"/>
      <c r="H405" s="82"/>
      <c r="I405" s="82"/>
      <c r="J405" s="82"/>
      <c r="K405" s="82"/>
      <c r="L405" s="82"/>
    </row>
    <row r="406" spans="2:12" x14ac:dyDescent="0.25">
      <c r="B406" s="83">
        <v>2995</v>
      </c>
      <c r="C406" s="83"/>
      <c r="D406" s="83"/>
      <c r="E406" s="83"/>
      <c r="F406" s="83"/>
      <c r="G406" s="83"/>
      <c r="H406" s="83"/>
      <c r="I406" s="83"/>
      <c r="J406" s="83"/>
      <c r="K406" s="83"/>
      <c r="L406" s="83"/>
    </row>
    <row r="407" spans="2:12" x14ac:dyDescent="0.25">
      <c r="B407" s="82">
        <v>3095</v>
      </c>
      <c r="C407" s="82"/>
      <c r="D407" s="82"/>
      <c r="E407" s="82"/>
      <c r="F407" s="82"/>
      <c r="G407" s="82"/>
      <c r="H407" s="82"/>
      <c r="I407" s="82"/>
      <c r="J407" s="82"/>
      <c r="K407" s="82"/>
      <c r="L407" s="82"/>
    </row>
    <row r="408" spans="2:12" x14ac:dyDescent="0.25">
      <c r="B408" s="83">
        <v>3195</v>
      </c>
      <c r="C408" s="83"/>
      <c r="D408" s="83"/>
      <c r="E408" s="83"/>
      <c r="F408" s="83"/>
      <c r="G408" s="83"/>
      <c r="H408" s="83"/>
      <c r="I408" s="83"/>
      <c r="J408" s="83"/>
      <c r="K408" s="83"/>
      <c r="L408" s="83"/>
    </row>
    <row r="409" spans="2:12" x14ac:dyDescent="0.25">
      <c r="B409" s="82">
        <v>3295</v>
      </c>
      <c r="C409" s="82"/>
      <c r="D409" s="82"/>
      <c r="E409" s="82"/>
      <c r="F409" s="82"/>
      <c r="G409" s="82"/>
      <c r="H409" s="82"/>
      <c r="I409" s="82"/>
      <c r="J409" s="82"/>
      <c r="K409" s="82"/>
      <c r="L409" s="82"/>
    </row>
    <row r="410" spans="2:12" x14ac:dyDescent="0.25">
      <c r="B410" s="83">
        <v>3395</v>
      </c>
      <c r="C410" s="83"/>
      <c r="D410" s="83"/>
      <c r="E410" s="83"/>
      <c r="F410" s="83"/>
      <c r="G410" s="83"/>
      <c r="H410" s="83"/>
      <c r="I410" s="83"/>
      <c r="J410" s="83"/>
      <c r="K410" s="83"/>
      <c r="L410" s="83"/>
    </row>
    <row r="411" spans="2:12" x14ac:dyDescent="0.25">
      <c r="B411" s="82">
        <v>3495</v>
      </c>
      <c r="C411" s="82"/>
      <c r="D411" s="82"/>
      <c r="E411" s="82"/>
      <c r="F411" s="82"/>
      <c r="G411" s="82"/>
      <c r="H411" s="82"/>
      <c r="I411" s="82"/>
      <c r="J411" s="82"/>
      <c r="K411" s="82"/>
      <c r="L411" s="82"/>
    </row>
    <row r="412" spans="2:12" x14ac:dyDescent="0.25">
      <c r="B412" s="83">
        <v>3595</v>
      </c>
      <c r="C412" s="83"/>
      <c r="D412" s="83"/>
      <c r="E412" s="83"/>
      <c r="F412" s="83"/>
      <c r="G412" s="83"/>
      <c r="H412" s="83"/>
      <c r="I412" s="83"/>
      <c r="J412" s="83"/>
      <c r="K412" s="83"/>
      <c r="L412" s="83"/>
    </row>
    <row r="413" spans="2:12" x14ac:dyDescent="0.25">
      <c r="B413" s="82">
        <v>3695</v>
      </c>
      <c r="C413" s="82"/>
      <c r="D413" s="82"/>
      <c r="E413" s="82"/>
      <c r="F413" s="82"/>
      <c r="G413" s="82"/>
      <c r="H413" s="82"/>
      <c r="I413" s="82"/>
      <c r="J413" s="82"/>
      <c r="K413" s="82"/>
      <c r="L413" s="82"/>
    </row>
    <row r="414" spans="2:12" x14ac:dyDescent="0.25">
      <c r="B414" s="83">
        <v>3795</v>
      </c>
      <c r="C414" s="83"/>
      <c r="D414" s="83"/>
      <c r="E414" s="83"/>
      <c r="F414" s="83"/>
      <c r="G414" s="83"/>
      <c r="H414" s="83"/>
      <c r="I414" s="83"/>
      <c r="J414" s="83"/>
      <c r="K414" s="83"/>
      <c r="L414" s="83"/>
    </row>
    <row r="415" spans="2:12" x14ac:dyDescent="0.25">
      <c r="B415" s="82">
        <v>3895</v>
      </c>
      <c r="C415" s="82"/>
      <c r="D415" s="82"/>
      <c r="E415" s="82"/>
      <c r="F415" s="82"/>
      <c r="G415" s="82"/>
      <c r="H415" s="82"/>
      <c r="I415" s="82"/>
      <c r="J415" s="82"/>
      <c r="K415" s="82"/>
      <c r="L415" s="82"/>
    </row>
    <row r="416" spans="2:12" x14ac:dyDescent="0.25">
      <c r="B416" s="83">
        <v>3995</v>
      </c>
      <c r="C416" s="83"/>
      <c r="D416" s="83"/>
      <c r="E416" s="83"/>
      <c r="F416" s="83"/>
      <c r="G416" s="83"/>
      <c r="H416" s="83"/>
      <c r="I416" s="83"/>
      <c r="J416" s="83"/>
      <c r="K416" s="83"/>
      <c r="L416" s="83"/>
    </row>
    <row r="417" spans="2:12" x14ac:dyDescent="0.25">
      <c r="B417" s="82">
        <v>4095</v>
      </c>
      <c r="C417" s="82"/>
      <c r="D417" s="82"/>
      <c r="E417" s="82"/>
      <c r="F417" s="82"/>
      <c r="G417" s="82"/>
      <c r="H417" s="82"/>
      <c r="I417" s="82"/>
      <c r="J417" s="82"/>
      <c r="K417" s="82"/>
      <c r="L417" s="82"/>
    </row>
    <row r="418" spans="2:12" x14ac:dyDescent="0.25">
      <c r="B418" s="83">
        <v>4195</v>
      </c>
      <c r="C418" s="83"/>
      <c r="D418" s="83"/>
      <c r="E418" s="83"/>
      <c r="F418" s="83"/>
      <c r="G418" s="83"/>
      <c r="H418" s="83"/>
      <c r="I418" s="83"/>
      <c r="J418" s="83"/>
      <c r="K418" s="83"/>
      <c r="L418" s="83"/>
    </row>
    <row r="419" spans="2:12" x14ac:dyDescent="0.25">
      <c r="B419" s="82">
        <v>4295</v>
      </c>
      <c r="C419" s="82"/>
      <c r="D419" s="82"/>
      <c r="E419" s="82"/>
      <c r="F419" s="82"/>
      <c r="G419" s="82"/>
      <c r="H419" s="82"/>
      <c r="I419" s="82"/>
      <c r="J419" s="82"/>
      <c r="K419" s="82"/>
      <c r="L419" s="82"/>
    </row>
    <row r="420" spans="2:12" x14ac:dyDescent="0.25">
      <c r="B420" s="83">
        <v>4395</v>
      </c>
      <c r="C420" s="83"/>
      <c r="D420" s="83"/>
      <c r="E420" s="83"/>
      <c r="F420" s="83"/>
      <c r="G420" s="83"/>
      <c r="H420" s="83"/>
      <c r="I420" s="83"/>
      <c r="J420" s="83"/>
      <c r="K420" s="83"/>
      <c r="L420" s="83"/>
    </row>
    <row r="421" spans="2:12" x14ac:dyDescent="0.25">
      <c r="B421" s="82">
        <v>4495</v>
      </c>
      <c r="C421" s="82"/>
      <c r="D421" s="82"/>
      <c r="E421" s="82"/>
      <c r="F421" s="82"/>
      <c r="G421" s="82"/>
      <c r="H421" s="82"/>
      <c r="I421" s="82"/>
      <c r="J421" s="82"/>
      <c r="K421" s="82"/>
      <c r="L421" s="82"/>
    </row>
    <row r="422" spans="2:12" x14ac:dyDescent="0.25">
      <c r="B422" s="83">
        <v>4595</v>
      </c>
      <c r="C422" s="83"/>
      <c r="D422" s="83"/>
      <c r="E422" s="83"/>
      <c r="F422" s="83"/>
      <c r="G422" s="83"/>
      <c r="H422" s="83"/>
      <c r="I422" s="83"/>
      <c r="J422" s="83"/>
      <c r="K422" s="83"/>
      <c r="L422" s="83"/>
    </row>
    <row r="423" spans="2:12" x14ac:dyDescent="0.25">
      <c r="B423" s="82">
        <v>4695</v>
      </c>
      <c r="C423" s="82"/>
      <c r="D423" s="82"/>
      <c r="E423" s="82"/>
      <c r="F423" s="82"/>
      <c r="G423" s="82"/>
      <c r="H423" s="82"/>
      <c r="I423" s="82"/>
      <c r="J423" s="82"/>
      <c r="K423" s="82"/>
      <c r="L423" s="82"/>
    </row>
    <row r="424" spans="2:12" x14ac:dyDescent="0.25">
      <c r="B424" s="83">
        <v>4795</v>
      </c>
      <c r="C424" s="83"/>
      <c r="D424" s="83"/>
      <c r="E424" s="83"/>
      <c r="F424" s="83"/>
      <c r="G424" s="83"/>
      <c r="H424" s="83"/>
      <c r="I424" s="83"/>
      <c r="J424" s="83"/>
      <c r="K424" s="83"/>
      <c r="L424" s="83"/>
    </row>
    <row r="425" spans="2:12" x14ac:dyDescent="0.25">
      <c r="B425" s="82">
        <v>4895</v>
      </c>
      <c r="C425" s="82"/>
      <c r="D425" s="82"/>
      <c r="E425" s="82"/>
      <c r="F425" s="82"/>
      <c r="G425" s="82"/>
      <c r="H425" s="82"/>
      <c r="I425" s="82"/>
      <c r="J425" s="82"/>
      <c r="K425" s="82"/>
      <c r="L425" s="82"/>
    </row>
    <row r="426" spans="2:12" x14ac:dyDescent="0.25">
      <c r="B426" s="83">
        <v>4995</v>
      </c>
      <c r="C426" s="83"/>
      <c r="D426" s="83"/>
      <c r="E426" s="83"/>
      <c r="F426" s="83"/>
      <c r="G426" s="83"/>
      <c r="H426" s="83"/>
      <c r="I426" s="83"/>
      <c r="J426" s="83"/>
      <c r="K426" s="83"/>
      <c r="L426" s="83"/>
    </row>
    <row r="427" spans="2:12" x14ac:dyDescent="0.25">
      <c r="B427" s="82">
        <v>5095</v>
      </c>
      <c r="C427" s="82"/>
      <c r="D427" s="82"/>
      <c r="E427" s="82"/>
      <c r="F427" s="82"/>
      <c r="G427" s="82"/>
      <c r="H427" s="82"/>
      <c r="I427" s="82"/>
      <c r="J427" s="82"/>
      <c r="K427" s="82"/>
      <c r="L427" s="82"/>
    </row>
    <row r="428" spans="2:12" x14ac:dyDescent="0.25">
      <c r="B428" s="83">
        <v>5195</v>
      </c>
      <c r="C428" s="83"/>
      <c r="D428" s="83"/>
      <c r="E428" s="83"/>
      <c r="F428" s="83"/>
      <c r="G428" s="83"/>
      <c r="H428" s="83"/>
      <c r="I428" s="83"/>
      <c r="J428" s="83"/>
      <c r="K428" s="83"/>
      <c r="L428" s="83"/>
    </row>
    <row r="429" spans="2:12" x14ac:dyDescent="0.25">
      <c r="B429" s="82">
        <v>5295</v>
      </c>
      <c r="C429" s="82"/>
      <c r="D429" s="82"/>
      <c r="E429" s="82"/>
      <c r="F429" s="82"/>
      <c r="G429" s="82"/>
      <c r="H429" s="82"/>
      <c r="I429" s="82"/>
      <c r="J429" s="82"/>
      <c r="K429" s="82"/>
      <c r="L429" s="82"/>
    </row>
    <row r="430" spans="2:12" x14ac:dyDescent="0.25">
      <c r="B430" s="83">
        <v>5395</v>
      </c>
      <c r="C430" s="83"/>
      <c r="D430" s="83"/>
      <c r="E430" s="83"/>
      <c r="F430" s="83"/>
      <c r="G430" s="83"/>
      <c r="H430" s="83"/>
      <c r="I430" s="83"/>
      <c r="J430" s="83"/>
      <c r="K430" s="83"/>
      <c r="L430" s="83"/>
    </row>
    <row r="431" spans="2:12" x14ac:dyDescent="0.25">
      <c r="B431" s="82">
        <v>5495</v>
      </c>
      <c r="C431" s="82"/>
      <c r="D431" s="82"/>
      <c r="E431" s="82"/>
      <c r="F431" s="82"/>
      <c r="G431" s="82"/>
      <c r="H431" s="82"/>
      <c r="I431" s="82"/>
      <c r="J431" s="82"/>
      <c r="K431" s="82"/>
      <c r="L431" s="82"/>
    </row>
    <row r="432" spans="2:12" x14ac:dyDescent="0.25">
      <c r="B432" s="83">
        <v>5595</v>
      </c>
      <c r="C432" s="83"/>
      <c r="D432" s="83"/>
      <c r="E432" s="83"/>
      <c r="F432" s="83"/>
      <c r="G432" s="83"/>
      <c r="H432" s="83"/>
      <c r="I432" s="83"/>
      <c r="J432" s="83"/>
      <c r="K432" s="83"/>
      <c r="L432" s="83"/>
    </row>
    <row r="433" spans="2:12" x14ac:dyDescent="0.25">
      <c r="B433" s="82">
        <v>5695</v>
      </c>
      <c r="C433" s="82"/>
      <c r="D433" s="82"/>
      <c r="E433" s="82"/>
      <c r="F433" s="82"/>
      <c r="G433" s="82"/>
      <c r="H433" s="82"/>
      <c r="I433" s="82"/>
      <c r="J433" s="82"/>
      <c r="K433" s="82"/>
      <c r="L433" s="82"/>
    </row>
    <row r="434" spans="2:12" x14ac:dyDescent="0.25">
      <c r="B434" s="83">
        <v>5795</v>
      </c>
      <c r="C434" s="83"/>
      <c r="D434" s="83"/>
      <c r="E434" s="83"/>
      <c r="F434" s="83"/>
      <c r="G434" s="83"/>
      <c r="H434" s="83"/>
      <c r="I434" s="83"/>
      <c r="J434" s="83"/>
      <c r="K434" s="83"/>
      <c r="L434" s="83"/>
    </row>
    <row r="435" spans="2:12" x14ac:dyDescent="0.25">
      <c r="B435" s="82">
        <v>5895</v>
      </c>
      <c r="C435" s="82"/>
      <c r="D435" s="82"/>
      <c r="E435" s="82"/>
      <c r="F435" s="82"/>
      <c r="G435" s="82"/>
      <c r="H435" s="82"/>
      <c r="I435" s="82"/>
      <c r="J435" s="82"/>
      <c r="K435" s="82"/>
      <c r="L435" s="82"/>
    </row>
    <row r="436" spans="2:12" x14ac:dyDescent="0.25">
      <c r="B436" s="83">
        <v>5995</v>
      </c>
      <c r="C436" s="83"/>
      <c r="D436" s="83"/>
      <c r="E436" s="83"/>
      <c r="F436" s="83"/>
      <c r="G436" s="83"/>
      <c r="H436" s="83"/>
      <c r="I436" s="83"/>
      <c r="J436" s="83"/>
      <c r="K436" s="83"/>
      <c r="L436" s="83"/>
    </row>
    <row r="437" spans="2:12" x14ac:dyDescent="0.25">
      <c r="B437" s="82">
        <v>6095</v>
      </c>
      <c r="C437" s="82"/>
      <c r="D437" s="82"/>
      <c r="E437" s="82"/>
      <c r="F437" s="82"/>
      <c r="G437" s="82"/>
      <c r="H437" s="82"/>
      <c r="I437" s="82"/>
      <c r="J437" s="82"/>
      <c r="K437" s="82"/>
      <c r="L437" s="82"/>
    </row>
    <row r="438" spans="2:12" x14ac:dyDescent="0.25">
      <c r="B438" s="83">
        <v>6195</v>
      </c>
      <c r="C438" s="83"/>
      <c r="D438" s="83"/>
      <c r="E438" s="83"/>
      <c r="F438" s="83"/>
      <c r="G438" s="83"/>
      <c r="H438" s="83"/>
      <c r="I438" s="83"/>
      <c r="J438" s="83"/>
      <c r="K438" s="83"/>
      <c r="L438" s="83"/>
    </row>
    <row r="439" spans="2:12" x14ac:dyDescent="0.25">
      <c r="B439" s="82">
        <v>6295</v>
      </c>
      <c r="C439" s="82"/>
      <c r="D439" s="82"/>
      <c r="E439" s="82"/>
      <c r="F439" s="82"/>
      <c r="G439" s="82"/>
      <c r="H439" s="82"/>
      <c r="I439" s="82"/>
      <c r="J439" s="82"/>
      <c r="K439" s="82"/>
      <c r="L439" s="82"/>
    </row>
    <row r="440" spans="2:12" x14ac:dyDescent="0.25">
      <c r="B440" s="83">
        <v>6395</v>
      </c>
      <c r="C440" s="83"/>
      <c r="D440" s="83"/>
      <c r="E440" s="83"/>
      <c r="F440" s="83"/>
      <c r="G440" s="83"/>
      <c r="H440" s="83"/>
      <c r="I440" s="83"/>
      <c r="J440" s="83"/>
      <c r="K440" s="83"/>
      <c r="L440" s="83"/>
    </row>
    <row r="441" spans="2:12" x14ac:dyDescent="0.25">
      <c r="B441" s="82">
        <v>6495</v>
      </c>
      <c r="C441" s="82"/>
      <c r="D441" s="82"/>
      <c r="E441" s="82"/>
      <c r="F441" s="82"/>
      <c r="G441" s="82"/>
      <c r="H441" s="82"/>
      <c r="I441" s="82"/>
      <c r="J441" s="82"/>
      <c r="K441" s="82"/>
      <c r="L441" s="82"/>
    </row>
    <row r="442" spans="2:12" x14ac:dyDescent="0.25">
      <c r="B442" s="83">
        <v>6595</v>
      </c>
      <c r="C442" s="83"/>
      <c r="D442" s="83"/>
      <c r="E442" s="83"/>
      <c r="F442" s="83"/>
      <c r="G442" s="83"/>
      <c r="H442" s="83"/>
      <c r="I442" s="83"/>
      <c r="J442" s="83"/>
      <c r="K442" s="83"/>
      <c r="L442" s="83"/>
    </row>
    <row r="443" spans="2:12" x14ac:dyDescent="0.25">
      <c r="B443" s="82">
        <v>6695</v>
      </c>
      <c r="C443" s="82"/>
      <c r="D443" s="82"/>
      <c r="E443" s="82"/>
      <c r="F443" s="82"/>
      <c r="G443" s="82"/>
      <c r="H443" s="82"/>
      <c r="I443" s="82"/>
      <c r="J443" s="82"/>
      <c r="K443" s="82"/>
      <c r="L443" s="82"/>
    </row>
    <row r="444" spans="2:12" x14ac:dyDescent="0.25">
      <c r="B444" s="83">
        <v>6795</v>
      </c>
      <c r="C444" s="83"/>
      <c r="D444" s="83"/>
      <c r="E444" s="83"/>
      <c r="F444" s="83"/>
      <c r="G444" s="83"/>
      <c r="H444" s="83"/>
      <c r="I444" s="83"/>
      <c r="J444" s="83"/>
      <c r="K444" s="83"/>
      <c r="L444" s="83"/>
    </row>
    <row r="445" spans="2:12" x14ac:dyDescent="0.25">
      <c r="B445" s="82">
        <v>6895</v>
      </c>
      <c r="C445" s="82"/>
      <c r="D445" s="82"/>
      <c r="E445" s="82"/>
      <c r="F445" s="82"/>
      <c r="G445" s="82"/>
      <c r="H445" s="82"/>
      <c r="I445" s="82"/>
      <c r="J445" s="82"/>
      <c r="K445" s="82"/>
      <c r="L445" s="82"/>
    </row>
    <row r="446" spans="2:12" x14ac:dyDescent="0.25">
      <c r="B446" s="83">
        <v>6995</v>
      </c>
      <c r="C446" s="83"/>
      <c r="D446" s="83"/>
      <c r="E446" s="83"/>
      <c r="F446" s="83"/>
      <c r="G446" s="83"/>
      <c r="H446" s="83"/>
      <c r="I446" s="83"/>
      <c r="J446" s="83"/>
      <c r="K446" s="83"/>
      <c r="L446" s="83"/>
    </row>
    <row r="447" spans="2:12" x14ac:dyDescent="0.25">
      <c r="B447" s="82">
        <v>7095</v>
      </c>
      <c r="C447" s="82"/>
      <c r="D447" s="82"/>
      <c r="E447" s="82"/>
      <c r="F447" s="82"/>
      <c r="G447" s="82"/>
      <c r="H447" s="82"/>
      <c r="I447" s="82"/>
      <c r="J447" s="82"/>
      <c r="K447" s="82"/>
      <c r="L447" s="82"/>
    </row>
    <row r="448" spans="2:12" x14ac:dyDescent="0.25">
      <c r="B448" s="83">
        <v>7195</v>
      </c>
      <c r="C448" s="83"/>
      <c r="D448" s="83"/>
      <c r="E448" s="83"/>
      <c r="F448" s="83"/>
      <c r="G448" s="83"/>
      <c r="H448" s="83"/>
      <c r="I448" s="83"/>
      <c r="J448" s="83"/>
      <c r="K448" s="83"/>
      <c r="L448" s="83"/>
    </row>
    <row r="449" spans="2:12" x14ac:dyDescent="0.25">
      <c r="B449" s="82">
        <v>7295</v>
      </c>
      <c r="C449" s="82"/>
      <c r="D449" s="82"/>
      <c r="E449" s="82"/>
      <c r="F449" s="82"/>
      <c r="G449" s="82"/>
      <c r="H449" s="82"/>
      <c r="I449" s="82"/>
      <c r="J449" s="82"/>
      <c r="K449" s="82"/>
      <c r="L449" s="82"/>
    </row>
    <row r="450" spans="2:12" x14ac:dyDescent="0.25">
      <c r="B450" s="83">
        <v>7395</v>
      </c>
      <c r="C450" s="83"/>
      <c r="D450" s="83"/>
      <c r="E450" s="83"/>
      <c r="F450" s="83"/>
      <c r="G450" s="83"/>
      <c r="H450" s="83"/>
      <c r="I450" s="83"/>
      <c r="J450" s="83"/>
      <c r="K450" s="83"/>
      <c r="L450" s="83"/>
    </row>
    <row r="451" spans="2:12" x14ac:dyDescent="0.25">
      <c r="B451" s="82">
        <v>7495</v>
      </c>
      <c r="C451" s="82"/>
      <c r="D451" s="82"/>
      <c r="E451" s="82"/>
      <c r="F451" s="82"/>
      <c r="G451" s="82"/>
      <c r="H451" s="82"/>
      <c r="I451" s="82"/>
      <c r="J451" s="82"/>
      <c r="K451" s="82"/>
      <c r="L451" s="82"/>
    </row>
    <row r="452" spans="2:12" x14ac:dyDescent="0.25">
      <c r="B452" s="83">
        <v>7595</v>
      </c>
      <c r="C452" s="83"/>
      <c r="D452" s="83"/>
      <c r="E452" s="83"/>
      <c r="F452" s="83"/>
      <c r="G452" s="83"/>
      <c r="H452" s="83"/>
      <c r="I452" s="83"/>
      <c r="J452" s="83"/>
      <c r="K452" s="83"/>
      <c r="L452" s="83"/>
    </row>
    <row r="453" spans="2:12" x14ac:dyDescent="0.25">
      <c r="B453" s="82">
        <v>7695</v>
      </c>
      <c r="C453" s="82"/>
      <c r="D453" s="82"/>
      <c r="E453" s="82"/>
      <c r="F453" s="82"/>
      <c r="G453" s="82"/>
      <c r="H453" s="82"/>
      <c r="I453" s="82"/>
      <c r="J453" s="82"/>
      <c r="K453" s="82"/>
      <c r="L453" s="82"/>
    </row>
    <row r="454" spans="2:12" x14ac:dyDescent="0.25">
      <c r="B454" s="83">
        <v>7795</v>
      </c>
      <c r="C454" s="83"/>
      <c r="D454" s="83"/>
      <c r="E454" s="83"/>
      <c r="F454" s="83"/>
      <c r="G454" s="83"/>
      <c r="H454" s="83"/>
      <c r="I454" s="83"/>
      <c r="J454" s="83"/>
      <c r="K454" s="83"/>
      <c r="L454" s="83"/>
    </row>
    <row r="455" spans="2:12" x14ac:dyDescent="0.25">
      <c r="B455" s="82">
        <v>7895</v>
      </c>
      <c r="C455" s="82"/>
      <c r="D455" s="82"/>
      <c r="E455" s="82"/>
      <c r="F455" s="82"/>
      <c r="G455" s="82"/>
      <c r="H455" s="82"/>
      <c r="I455" s="82"/>
      <c r="J455" s="82"/>
      <c r="K455" s="82"/>
      <c r="L455" s="82"/>
    </row>
    <row r="456" spans="2:12" x14ac:dyDescent="0.25">
      <c r="B456" s="83">
        <v>7995</v>
      </c>
      <c r="C456" s="83"/>
      <c r="D456" s="83"/>
      <c r="E456" s="83"/>
      <c r="F456" s="83"/>
      <c r="G456" s="83"/>
      <c r="H456" s="83"/>
      <c r="I456" s="83"/>
      <c r="J456" s="83"/>
      <c r="K456" s="83"/>
      <c r="L456" s="83"/>
    </row>
    <row r="457" spans="2:12" x14ac:dyDescent="0.25">
      <c r="B457" s="82">
        <v>8095</v>
      </c>
      <c r="C457" s="82"/>
      <c r="D457" s="82"/>
      <c r="E457" s="82"/>
      <c r="F457" s="82"/>
      <c r="G457" s="82"/>
      <c r="H457" s="82"/>
      <c r="I457" s="82"/>
      <c r="J457" s="82"/>
      <c r="K457" s="82"/>
      <c r="L457" s="82"/>
    </row>
    <row r="458" spans="2:12" x14ac:dyDescent="0.25">
      <c r="B458" s="83">
        <v>8195</v>
      </c>
      <c r="C458" s="83"/>
      <c r="D458" s="83"/>
      <c r="E458" s="83"/>
      <c r="F458" s="83"/>
      <c r="G458" s="83"/>
      <c r="H458" s="83"/>
      <c r="I458" s="83"/>
      <c r="J458" s="83"/>
      <c r="K458" s="83"/>
      <c r="L458" s="83"/>
    </row>
    <row r="459" spans="2:12" x14ac:dyDescent="0.25">
      <c r="B459" s="82">
        <v>8295</v>
      </c>
      <c r="C459" s="82"/>
      <c r="D459" s="82"/>
      <c r="E459" s="82"/>
      <c r="F459" s="82"/>
      <c r="G459" s="82"/>
      <c r="H459" s="82"/>
      <c r="I459" s="82"/>
      <c r="J459" s="82"/>
      <c r="K459" s="82"/>
      <c r="L459" s="82"/>
    </row>
    <row r="460" spans="2:12" x14ac:dyDescent="0.25">
      <c r="B460" s="83">
        <v>8395</v>
      </c>
      <c r="C460" s="83"/>
      <c r="D460" s="83"/>
      <c r="E460" s="83"/>
      <c r="F460" s="83"/>
      <c r="G460" s="83"/>
      <c r="H460" s="83"/>
      <c r="I460" s="83"/>
      <c r="J460" s="83"/>
      <c r="K460" s="83"/>
      <c r="L460" s="83"/>
    </row>
    <row r="461" spans="2:12" x14ac:dyDescent="0.25">
      <c r="B461" s="82">
        <v>8495</v>
      </c>
      <c r="C461" s="82"/>
      <c r="D461" s="82"/>
      <c r="E461" s="82"/>
      <c r="F461" s="82"/>
      <c r="G461" s="82"/>
      <c r="H461" s="82"/>
      <c r="I461" s="82"/>
      <c r="J461" s="82"/>
      <c r="K461" s="82"/>
      <c r="L461" s="82"/>
    </row>
    <row r="462" spans="2:12" x14ac:dyDescent="0.25">
      <c r="B462" s="83">
        <v>8595</v>
      </c>
      <c r="C462" s="83"/>
      <c r="D462" s="83"/>
      <c r="E462" s="83"/>
      <c r="F462" s="83"/>
      <c r="G462" s="83"/>
      <c r="H462" s="83"/>
      <c r="I462" s="83"/>
      <c r="J462" s="83"/>
      <c r="K462" s="83"/>
      <c r="L462" s="83"/>
    </row>
    <row r="463" spans="2:12" x14ac:dyDescent="0.25">
      <c r="B463" s="82">
        <v>8695</v>
      </c>
      <c r="C463" s="82"/>
      <c r="D463" s="82"/>
      <c r="E463" s="82"/>
      <c r="F463" s="82"/>
      <c r="G463" s="82"/>
      <c r="H463" s="82"/>
      <c r="I463" s="82"/>
      <c r="J463" s="82"/>
      <c r="K463" s="82"/>
      <c r="L463" s="82"/>
    </row>
    <row r="464" spans="2:12" x14ac:dyDescent="0.25">
      <c r="B464" s="83">
        <v>8795</v>
      </c>
      <c r="C464" s="83"/>
      <c r="D464" s="83"/>
      <c r="E464" s="83"/>
      <c r="F464" s="83"/>
      <c r="G464" s="83"/>
      <c r="H464" s="83"/>
      <c r="I464" s="83"/>
      <c r="J464" s="83"/>
      <c r="K464" s="83"/>
      <c r="L464" s="83"/>
    </row>
    <row r="465" spans="2:12" x14ac:dyDescent="0.25">
      <c r="B465" s="82">
        <v>8895</v>
      </c>
      <c r="C465" s="82"/>
      <c r="D465" s="82"/>
      <c r="E465" s="82"/>
      <c r="F465" s="82"/>
      <c r="G465" s="82"/>
      <c r="H465" s="82"/>
      <c r="I465" s="82"/>
      <c r="J465" s="82"/>
      <c r="K465" s="82"/>
      <c r="L465" s="82"/>
    </row>
    <row r="466" spans="2:12" x14ac:dyDescent="0.25">
      <c r="B466" s="83">
        <v>8995</v>
      </c>
      <c r="C466" s="83"/>
      <c r="D466" s="83"/>
      <c r="E466" s="83"/>
      <c r="F466" s="83"/>
      <c r="G466" s="83"/>
      <c r="H466" s="83"/>
      <c r="I466" s="83"/>
      <c r="J466" s="83"/>
      <c r="K466" s="83"/>
      <c r="L466" s="83"/>
    </row>
    <row r="467" spans="2:12" x14ac:dyDescent="0.25">
      <c r="B467" s="82">
        <v>9095</v>
      </c>
      <c r="C467" s="82"/>
      <c r="D467" s="82"/>
      <c r="E467" s="82"/>
      <c r="F467" s="82"/>
      <c r="G467" s="82"/>
      <c r="H467" s="82"/>
      <c r="I467" s="82"/>
      <c r="J467" s="82"/>
      <c r="K467" s="82"/>
      <c r="L467" s="82"/>
    </row>
    <row r="468" spans="2:12" x14ac:dyDescent="0.25">
      <c r="B468" s="83">
        <v>9195</v>
      </c>
      <c r="C468" s="83"/>
      <c r="D468" s="83"/>
      <c r="E468" s="83"/>
      <c r="F468" s="83"/>
      <c r="G468" s="83"/>
      <c r="H468" s="83"/>
      <c r="I468" s="83"/>
      <c r="J468" s="83"/>
      <c r="K468" s="83"/>
      <c r="L468" s="83"/>
    </row>
    <row r="469" spans="2:12" x14ac:dyDescent="0.25">
      <c r="B469" s="82">
        <v>9295</v>
      </c>
      <c r="C469" s="82"/>
      <c r="D469" s="82"/>
      <c r="E469" s="82"/>
      <c r="F469" s="82"/>
      <c r="G469" s="82"/>
      <c r="H469" s="82"/>
      <c r="I469" s="82"/>
      <c r="J469" s="82"/>
      <c r="K469" s="82"/>
      <c r="L469" s="82"/>
    </row>
    <row r="470" spans="2:12" x14ac:dyDescent="0.25">
      <c r="B470" s="83">
        <v>9395</v>
      </c>
      <c r="C470" s="83"/>
      <c r="D470" s="83"/>
      <c r="E470" s="83"/>
      <c r="F470" s="83"/>
      <c r="G470" s="83"/>
      <c r="H470" s="83"/>
      <c r="I470" s="83"/>
      <c r="J470" s="83"/>
      <c r="K470" s="83"/>
      <c r="L470" s="83"/>
    </row>
    <row r="471" spans="2:12" x14ac:dyDescent="0.25">
      <c r="B471" s="82">
        <v>9495</v>
      </c>
      <c r="C471" s="82"/>
      <c r="D471" s="82"/>
      <c r="E471" s="82"/>
      <c r="F471" s="82"/>
      <c r="G471" s="82"/>
      <c r="H471" s="82"/>
      <c r="I471" s="82"/>
      <c r="J471" s="82"/>
      <c r="K471" s="82"/>
      <c r="L471" s="82"/>
    </row>
    <row r="472" spans="2:12" x14ac:dyDescent="0.25">
      <c r="B472" s="83">
        <v>9595</v>
      </c>
      <c r="C472" s="83"/>
      <c r="D472" s="83"/>
      <c r="E472" s="83"/>
      <c r="F472" s="83"/>
      <c r="G472" s="83"/>
      <c r="H472" s="83"/>
      <c r="I472" s="83"/>
      <c r="J472" s="83"/>
      <c r="K472" s="83"/>
      <c r="L472" s="83"/>
    </row>
    <row r="473" spans="2:12" x14ac:dyDescent="0.25">
      <c r="B473" s="82">
        <v>9695</v>
      </c>
      <c r="C473" s="82"/>
      <c r="D473" s="82"/>
      <c r="E473" s="82"/>
      <c r="F473" s="82"/>
      <c r="G473" s="82"/>
      <c r="H473" s="82"/>
      <c r="I473" s="82"/>
      <c r="J473" s="82"/>
      <c r="K473" s="82"/>
      <c r="L473" s="82"/>
    </row>
    <row r="474" spans="2:12" x14ac:dyDescent="0.25">
      <c r="B474" s="83">
        <v>9795</v>
      </c>
      <c r="C474" s="83"/>
      <c r="D474" s="83"/>
      <c r="E474" s="83"/>
      <c r="F474" s="83"/>
      <c r="G474" s="83"/>
      <c r="H474" s="83"/>
      <c r="I474" s="83"/>
      <c r="J474" s="83"/>
      <c r="K474" s="83"/>
      <c r="L474" s="83"/>
    </row>
    <row r="475" spans="2:12" x14ac:dyDescent="0.25">
      <c r="B475" s="82">
        <v>9895</v>
      </c>
      <c r="C475" s="82"/>
      <c r="D475" s="82"/>
      <c r="E475" s="82"/>
      <c r="F475" s="82"/>
      <c r="G475" s="82"/>
      <c r="H475" s="82"/>
      <c r="I475" s="82"/>
      <c r="J475" s="82"/>
      <c r="K475" s="82"/>
      <c r="L475" s="82"/>
    </row>
    <row r="476" spans="2:12" x14ac:dyDescent="0.25">
      <c r="B476" s="83">
        <v>9995</v>
      </c>
      <c r="C476" s="83"/>
      <c r="D476" s="83"/>
      <c r="E476" s="83"/>
      <c r="F476" s="83"/>
      <c r="G476" s="83"/>
      <c r="H476" s="83"/>
      <c r="I476" s="83"/>
      <c r="J476" s="83"/>
      <c r="K476" s="83"/>
      <c r="L476" s="83"/>
    </row>
    <row r="477" spans="2:12" x14ac:dyDescent="0.25">
      <c r="B477" s="82">
        <v>10095</v>
      </c>
      <c r="C477" s="82"/>
      <c r="D477" s="82"/>
      <c r="E477" s="82"/>
      <c r="F477" s="82"/>
      <c r="G477" s="82"/>
      <c r="H477" s="82"/>
      <c r="I477" s="82"/>
      <c r="J477" s="82"/>
      <c r="K477" s="82"/>
      <c r="L477" s="82"/>
    </row>
    <row r="478" spans="2:12" x14ac:dyDescent="0.25">
      <c r="B478" s="83">
        <v>10195</v>
      </c>
      <c r="C478" s="83"/>
      <c r="D478" s="83"/>
      <c r="E478" s="83"/>
      <c r="F478" s="83"/>
      <c r="G478" s="83"/>
      <c r="H478" s="83"/>
      <c r="I478" s="83"/>
      <c r="J478" s="83"/>
      <c r="K478" s="83"/>
      <c r="L478" s="83"/>
    </row>
    <row r="479" spans="2:12" x14ac:dyDescent="0.25">
      <c r="B479" s="82">
        <v>10295</v>
      </c>
      <c r="C479" s="82"/>
      <c r="D479" s="82"/>
      <c r="E479" s="82"/>
      <c r="F479" s="82"/>
      <c r="G479" s="82"/>
      <c r="H479" s="82"/>
      <c r="I479" s="82"/>
      <c r="J479" s="82"/>
      <c r="K479" s="82"/>
      <c r="L479" s="82"/>
    </row>
    <row r="480" spans="2:12" x14ac:dyDescent="0.25">
      <c r="B480" s="83">
        <v>10395</v>
      </c>
      <c r="C480" s="83"/>
      <c r="D480" s="83"/>
      <c r="E480" s="83"/>
      <c r="F480" s="83"/>
      <c r="G480" s="83"/>
      <c r="H480" s="83"/>
      <c r="I480" s="83"/>
      <c r="J480" s="83"/>
      <c r="K480" s="83"/>
      <c r="L480" s="83"/>
    </row>
    <row r="481" spans="2:12" x14ac:dyDescent="0.25">
      <c r="B481" s="82">
        <v>10495</v>
      </c>
      <c r="C481" s="82"/>
      <c r="D481" s="82"/>
      <c r="E481" s="82"/>
      <c r="F481" s="82"/>
      <c r="G481" s="82"/>
      <c r="H481" s="82"/>
      <c r="I481" s="82"/>
      <c r="J481" s="82"/>
      <c r="K481" s="82"/>
      <c r="L481" s="82"/>
    </row>
    <row r="482" spans="2:12" x14ac:dyDescent="0.25">
      <c r="B482" s="83">
        <v>10595</v>
      </c>
      <c r="C482" s="83"/>
      <c r="D482" s="83"/>
      <c r="E482" s="83"/>
      <c r="F482" s="83"/>
      <c r="G482" s="83"/>
      <c r="H482" s="83"/>
      <c r="I482" s="83"/>
      <c r="J482" s="83"/>
      <c r="K482" s="83"/>
      <c r="L482" s="83"/>
    </row>
    <row r="483" spans="2:12" x14ac:dyDescent="0.25">
      <c r="B483" s="82">
        <v>10695</v>
      </c>
      <c r="C483" s="82"/>
      <c r="D483" s="82"/>
      <c r="E483" s="82"/>
      <c r="F483" s="82"/>
      <c r="G483" s="82"/>
      <c r="H483" s="82"/>
      <c r="I483" s="82"/>
      <c r="J483" s="82"/>
      <c r="K483" s="82"/>
      <c r="L483" s="82"/>
    </row>
    <row r="484" spans="2:12" x14ac:dyDescent="0.25">
      <c r="B484" s="83">
        <v>10795</v>
      </c>
      <c r="C484" s="83"/>
      <c r="D484" s="83"/>
      <c r="E484" s="83"/>
      <c r="F484" s="83"/>
      <c r="G484" s="83"/>
      <c r="H484" s="83"/>
      <c r="I484" s="83"/>
      <c r="J484" s="83"/>
      <c r="K484" s="83"/>
      <c r="L484" s="83"/>
    </row>
    <row r="485" spans="2:12" x14ac:dyDescent="0.25">
      <c r="B485" s="82">
        <v>10895</v>
      </c>
      <c r="C485" s="82"/>
      <c r="D485" s="82"/>
      <c r="E485" s="82"/>
      <c r="F485" s="82"/>
      <c r="G485" s="82"/>
      <c r="H485" s="82"/>
      <c r="I485" s="82"/>
      <c r="J485" s="82"/>
      <c r="K485" s="82"/>
      <c r="L485" s="82"/>
    </row>
    <row r="486" spans="2:12" x14ac:dyDescent="0.25">
      <c r="B486" s="83">
        <v>10995</v>
      </c>
      <c r="C486" s="83"/>
      <c r="D486" s="83"/>
      <c r="E486" s="83"/>
      <c r="F486" s="83"/>
      <c r="G486" s="83"/>
      <c r="H486" s="83"/>
      <c r="I486" s="83"/>
      <c r="J486" s="83"/>
      <c r="K486" s="83"/>
      <c r="L486" s="83"/>
    </row>
    <row r="487" spans="2:12" x14ac:dyDescent="0.25">
      <c r="B487" s="82">
        <v>11095</v>
      </c>
      <c r="C487" s="82"/>
      <c r="D487" s="82"/>
      <c r="E487" s="82"/>
      <c r="F487" s="82"/>
      <c r="G487" s="82"/>
      <c r="H487" s="82"/>
      <c r="I487" s="82"/>
      <c r="J487" s="82"/>
      <c r="K487" s="82"/>
      <c r="L487" s="82"/>
    </row>
    <row r="488" spans="2:12" x14ac:dyDescent="0.25">
      <c r="B488" s="83">
        <v>11195</v>
      </c>
      <c r="C488" s="83"/>
      <c r="D488" s="83"/>
      <c r="E488" s="83"/>
      <c r="F488" s="83"/>
      <c r="G488" s="83"/>
      <c r="H488" s="83"/>
      <c r="I488" s="83"/>
      <c r="J488" s="83"/>
      <c r="K488" s="83"/>
      <c r="L488" s="83"/>
    </row>
    <row r="489" spans="2:12" x14ac:dyDescent="0.25">
      <c r="B489" s="82">
        <v>11295</v>
      </c>
      <c r="C489" s="82"/>
      <c r="D489" s="82"/>
      <c r="E489" s="82"/>
      <c r="F489" s="82"/>
      <c r="G489" s="82"/>
      <c r="H489" s="82"/>
      <c r="I489" s="82"/>
      <c r="J489" s="82"/>
      <c r="K489" s="82"/>
      <c r="L489" s="82"/>
    </row>
    <row r="490" spans="2:12" x14ac:dyDescent="0.25">
      <c r="B490" s="83">
        <v>11395</v>
      </c>
      <c r="C490" s="83"/>
      <c r="D490" s="83"/>
      <c r="E490" s="83"/>
      <c r="F490" s="83"/>
      <c r="G490" s="83"/>
      <c r="H490" s="83"/>
      <c r="I490" s="83"/>
      <c r="J490" s="83"/>
      <c r="K490" s="83"/>
      <c r="L490" s="83"/>
    </row>
    <row r="491" spans="2:12" x14ac:dyDescent="0.25">
      <c r="B491" s="82">
        <v>11495</v>
      </c>
      <c r="C491" s="82"/>
      <c r="D491" s="82"/>
      <c r="E491" s="82"/>
      <c r="F491" s="82"/>
      <c r="G491" s="82"/>
      <c r="H491" s="82"/>
      <c r="I491" s="82"/>
      <c r="J491" s="82"/>
      <c r="K491" s="82"/>
      <c r="L491" s="82"/>
    </row>
    <row r="492" spans="2:12" x14ac:dyDescent="0.25">
      <c r="B492" s="83">
        <v>11595</v>
      </c>
      <c r="C492" s="83"/>
      <c r="D492" s="83"/>
      <c r="E492" s="83"/>
      <c r="F492" s="83"/>
      <c r="G492" s="83"/>
      <c r="H492" s="83"/>
      <c r="I492" s="83"/>
      <c r="J492" s="83"/>
      <c r="K492" s="83"/>
      <c r="L492" s="83"/>
    </row>
    <row r="493" spans="2:12" x14ac:dyDescent="0.25">
      <c r="B493" s="82">
        <v>11695</v>
      </c>
      <c r="C493" s="82"/>
      <c r="D493" s="82"/>
      <c r="E493" s="82"/>
      <c r="F493" s="82"/>
      <c r="G493" s="82"/>
      <c r="H493" s="82"/>
      <c r="I493" s="82"/>
      <c r="J493" s="82"/>
      <c r="K493" s="82"/>
      <c r="L493" s="82"/>
    </row>
    <row r="494" spans="2:12" x14ac:dyDescent="0.25">
      <c r="B494" s="83">
        <v>11795</v>
      </c>
      <c r="C494" s="83"/>
      <c r="D494" s="83"/>
      <c r="E494" s="83"/>
      <c r="F494" s="83"/>
      <c r="G494" s="83"/>
      <c r="H494" s="83"/>
      <c r="I494" s="83"/>
      <c r="J494" s="83"/>
      <c r="K494" s="83"/>
      <c r="L494" s="83"/>
    </row>
    <row r="495" spans="2:12" x14ac:dyDescent="0.25">
      <c r="B495" s="82">
        <v>11895</v>
      </c>
      <c r="C495" s="82"/>
      <c r="D495" s="82"/>
      <c r="E495" s="82"/>
      <c r="F495" s="82"/>
      <c r="G495" s="82"/>
      <c r="H495" s="82"/>
      <c r="I495" s="82"/>
      <c r="J495" s="82"/>
      <c r="K495" s="82"/>
      <c r="L495" s="82"/>
    </row>
    <row r="496" spans="2:12" x14ac:dyDescent="0.25">
      <c r="B496" s="83">
        <v>11995</v>
      </c>
      <c r="C496" s="83"/>
      <c r="D496" s="83"/>
      <c r="E496" s="83"/>
      <c r="F496" s="83"/>
      <c r="G496" s="83"/>
      <c r="H496" s="83"/>
      <c r="I496" s="83"/>
      <c r="J496" s="83"/>
      <c r="K496" s="83"/>
      <c r="L496" s="83"/>
    </row>
    <row r="497" spans="2:12" x14ac:dyDescent="0.25">
      <c r="B497" s="82">
        <v>12095</v>
      </c>
      <c r="C497" s="82"/>
      <c r="D497" s="82"/>
      <c r="E497" s="82"/>
      <c r="F497" s="82"/>
      <c r="G497" s="82"/>
      <c r="H497" s="82"/>
      <c r="I497" s="82"/>
      <c r="J497" s="82"/>
      <c r="K497" s="82"/>
      <c r="L497" s="82"/>
    </row>
    <row r="498" spans="2:12" x14ac:dyDescent="0.25">
      <c r="B498" s="83">
        <v>12195</v>
      </c>
      <c r="C498" s="83"/>
      <c r="D498" s="83"/>
      <c r="E498" s="83"/>
      <c r="F498" s="83"/>
      <c r="G498" s="83"/>
      <c r="H498" s="83"/>
      <c r="I498" s="83"/>
      <c r="J498" s="83"/>
      <c r="K498" s="83"/>
      <c r="L498" s="83"/>
    </row>
    <row r="499" spans="2:12" x14ac:dyDescent="0.25">
      <c r="B499" s="82">
        <v>12295</v>
      </c>
      <c r="C499" s="82"/>
      <c r="D499" s="82"/>
      <c r="E499" s="82"/>
      <c r="F499" s="82"/>
      <c r="G499" s="82"/>
      <c r="H499" s="82"/>
      <c r="I499" s="82"/>
      <c r="J499" s="82"/>
      <c r="K499" s="82"/>
      <c r="L499" s="82"/>
    </row>
    <row r="500" spans="2:12" x14ac:dyDescent="0.25">
      <c r="B500" s="83">
        <v>12395</v>
      </c>
      <c r="C500" s="83"/>
      <c r="D500" s="83"/>
      <c r="E500" s="83"/>
      <c r="F500" s="83"/>
      <c r="G500" s="83"/>
      <c r="H500" s="83"/>
      <c r="I500" s="83"/>
      <c r="J500" s="83"/>
      <c r="K500" s="83"/>
      <c r="L500" s="83"/>
    </row>
    <row r="501" spans="2:12" x14ac:dyDescent="0.25">
      <c r="B501" s="82">
        <v>12495</v>
      </c>
      <c r="C501" s="82"/>
      <c r="D501" s="82"/>
      <c r="E501" s="82"/>
      <c r="F501" s="82"/>
      <c r="G501" s="82"/>
      <c r="H501" s="82"/>
      <c r="I501" s="82"/>
      <c r="J501" s="82"/>
      <c r="K501" s="82"/>
      <c r="L501" s="82"/>
    </row>
    <row r="502" spans="2:12" x14ac:dyDescent="0.25">
      <c r="B502" s="83">
        <v>12595</v>
      </c>
      <c r="C502" s="83"/>
      <c r="D502" s="83"/>
      <c r="E502" s="83"/>
      <c r="F502" s="83"/>
      <c r="G502" s="83"/>
      <c r="H502" s="83"/>
      <c r="I502" s="83"/>
      <c r="J502" s="83"/>
      <c r="K502" s="83"/>
      <c r="L502" s="83"/>
    </row>
    <row r="503" spans="2:12" x14ac:dyDescent="0.25">
      <c r="B503" s="82">
        <v>12695</v>
      </c>
      <c r="C503" s="82"/>
      <c r="D503" s="82"/>
      <c r="E503" s="82"/>
      <c r="F503" s="82"/>
      <c r="G503" s="82"/>
      <c r="H503" s="82"/>
      <c r="I503" s="82"/>
      <c r="J503" s="82"/>
      <c r="K503" s="82"/>
      <c r="L503" s="82"/>
    </row>
    <row r="504" spans="2:12" x14ac:dyDescent="0.25">
      <c r="B504" s="83">
        <v>12795</v>
      </c>
      <c r="C504" s="83"/>
      <c r="D504" s="83"/>
      <c r="E504" s="83"/>
      <c r="F504" s="83"/>
      <c r="G504" s="83"/>
      <c r="H504" s="83"/>
      <c r="I504" s="83"/>
      <c r="J504" s="83"/>
      <c r="K504" s="83"/>
      <c r="L504" s="83"/>
    </row>
    <row r="505" spans="2:12" x14ac:dyDescent="0.25">
      <c r="B505" s="82">
        <v>12895</v>
      </c>
      <c r="C505" s="82"/>
      <c r="D505" s="82"/>
      <c r="E505" s="82"/>
      <c r="F505" s="82"/>
      <c r="G505" s="82"/>
      <c r="H505" s="82"/>
      <c r="I505" s="82"/>
      <c r="J505" s="82"/>
      <c r="K505" s="82"/>
      <c r="L505" s="82"/>
    </row>
    <row r="506" spans="2:12" x14ac:dyDescent="0.25">
      <c r="B506" s="83">
        <v>12995</v>
      </c>
      <c r="C506" s="83"/>
      <c r="D506" s="83"/>
      <c r="E506" s="83"/>
      <c r="F506" s="83"/>
      <c r="G506" s="83"/>
      <c r="H506" s="83"/>
      <c r="I506" s="83"/>
      <c r="J506" s="83"/>
      <c r="K506" s="83"/>
      <c r="L506" s="83"/>
    </row>
    <row r="507" spans="2:12" x14ac:dyDescent="0.25">
      <c r="B507" s="82">
        <v>13095</v>
      </c>
      <c r="C507" s="82"/>
      <c r="D507" s="82"/>
      <c r="E507" s="82"/>
      <c r="F507" s="82"/>
      <c r="G507" s="82"/>
      <c r="H507" s="82"/>
      <c r="I507" s="82"/>
      <c r="J507" s="82"/>
      <c r="K507" s="82"/>
      <c r="L507" s="82"/>
    </row>
    <row r="508" spans="2:12" x14ac:dyDescent="0.25">
      <c r="B508" s="83">
        <v>13195</v>
      </c>
      <c r="C508" s="83"/>
      <c r="D508" s="83"/>
      <c r="E508" s="83"/>
      <c r="F508" s="83"/>
      <c r="G508" s="83"/>
      <c r="H508" s="83"/>
      <c r="I508" s="83"/>
      <c r="J508" s="83"/>
      <c r="K508" s="83"/>
      <c r="L508" s="83"/>
    </row>
    <row r="509" spans="2:12" x14ac:dyDescent="0.25">
      <c r="B509" s="82">
        <v>13295</v>
      </c>
      <c r="C509" s="82"/>
      <c r="D509" s="82"/>
      <c r="E509" s="82"/>
      <c r="F509" s="82"/>
      <c r="G509" s="82"/>
      <c r="H509" s="82"/>
      <c r="I509" s="82"/>
      <c r="J509" s="82"/>
      <c r="K509" s="82"/>
      <c r="L509" s="82"/>
    </row>
    <row r="510" spans="2:12" x14ac:dyDescent="0.25">
      <c r="B510" s="83">
        <v>13395</v>
      </c>
      <c r="C510" s="83"/>
      <c r="D510" s="83"/>
      <c r="E510" s="83"/>
      <c r="F510" s="83"/>
      <c r="G510" s="83"/>
      <c r="H510" s="83"/>
      <c r="I510" s="83"/>
      <c r="J510" s="83"/>
      <c r="K510" s="83"/>
      <c r="L510" s="83"/>
    </row>
    <row r="511" spans="2:12" x14ac:dyDescent="0.25">
      <c r="B511" s="82">
        <v>13495</v>
      </c>
      <c r="C511" s="82"/>
      <c r="D511" s="82"/>
      <c r="E511" s="82"/>
      <c r="F511" s="82"/>
      <c r="G511" s="82"/>
      <c r="H511" s="82"/>
      <c r="I511" s="82"/>
      <c r="J511" s="82"/>
      <c r="K511" s="82"/>
      <c r="L511" s="82"/>
    </row>
    <row r="512" spans="2:12" x14ac:dyDescent="0.25">
      <c r="B512" s="83">
        <v>13595</v>
      </c>
      <c r="C512" s="83"/>
      <c r="D512" s="83"/>
      <c r="E512" s="83"/>
      <c r="F512" s="83"/>
      <c r="G512" s="83"/>
      <c r="H512" s="83"/>
      <c r="I512" s="83"/>
      <c r="J512" s="83"/>
      <c r="K512" s="83"/>
      <c r="L512" s="83"/>
    </row>
    <row r="513" spans="2:12" x14ac:dyDescent="0.25">
      <c r="B513" s="82">
        <v>13695</v>
      </c>
      <c r="C513" s="82"/>
      <c r="D513" s="82"/>
      <c r="E513" s="82"/>
      <c r="F513" s="82"/>
      <c r="G513" s="82"/>
      <c r="H513" s="82"/>
      <c r="I513" s="82"/>
      <c r="J513" s="82"/>
      <c r="K513" s="82"/>
      <c r="L513" s="82"/>
    </row>
    <row r="514" spans="2:12" x14ac:dyDescent="0.25">
      <c r="B514" s="83">
        <v>13795</v>
      </c>
      <c r="C514" s="83"/>
      <c r="D514" s="83"/>
      <c r="E514" s="83"/>
      <c r="F514" s="83"/>
      <c r="G514" s="83"/>
      <c r="H514" s="83"/>
      <c r="I514" s="83"/>
      <c r="J514" s="83"/>
      <c r="K514" s="83"/>
      <c r="L514" s="83"/>
    </row>
    <row r="515" spans="2:12" x14ac:dyDescent="0.25">
      <c r="B515" s="82">
        <v>13895</v>
      </c>
      <c r="C515" s="82"/>
      <c r="D515" s="82"/>
      <c r="E515" s="82"/>
      <c r="F515" s="82"/>
      <c r="G515" s="82"/>
      <c r="H515" s="82"/>
      <c r="I515" s="82"/>
      <c r="J515" s="82"/>
      <c r="K515" s="82"/>
      <c r="L515" s="82"/>
    </row>
    <row r="516" spans="2:12" x14ac:dyDescent="0.25">
      <c r="B516" s="83">
        <v>13995</v>
      </c>
      <c r="C516" s="83"/>
      <c r="D516" s="83"/>
      <c r="E516" s="83"/>
      <c r="F516" s="83"/>
      <c r="G516" s="83"/>
      <c r="H516" s="83"/>
      <c r="I516" s="83"/>
      <c r="J516" s="83"/>
      <c r="K516" s="83"/>
      <c r="L516" s="83"/>
    </row>
    <row r="517" spans="2:12" x14ac:dyDescent="0.25">
      <c r="B517" s="82">
        <v>14095</v>
      </c>
      <c r="C517" s="82"/>
      <c r="D517" s="82"/>
      <c r="E517" s="82"/>
      <c r="F517" s="82"/>
      <c r="G517" s="82"/>
      <c r="H517" s="82"/>
      <c r="I517" s="82"/>
      <c r="J517" s="82"/>
      <c r="K517" s="82"/>
      <c r="L517" s="82"/>
    </row>
    <row r="518" spans="2:12" x14ac:dyDescent="0.25">
      <c r="B518" s="83">
        <v>14195</v>
      </c>
      <c r="C518" s="83"/>
      <c r="D518" s="83"/>
      <c r="E518" s="83"/>
      <c r="F518" s="83"/>
      <c r="G518" s="83"/>
      <c r="H518" s="83"/>
      <c r="I518" s="83"/>
      <c r="J518" s="83"/>
      <c r="K518" s="83"/>
      <c r="L518" s="83"/>
    </row>
    <row r="519" spans="2:12" x14ac:dyDescent="0.25">
      <c r="B519" s="82">
        <v>14295</v>
      </c>
      <c r="C519" s="82"/>
      <c r="D519" s="82"/>
      <c r="E519" s="82"/>
      <c r="F519" s="82"/>
      <c r="G519" s="82"/>
      <c r="H519" s="82"/>
      <c r="I519" s="82"/>
      <c r="J519" s="82"/>
      <c r="K519" s="82"/>
      <c r="L519" s="82"/>
    </row>
    <row r="520" spans="2:12" x14ac:dyDescent="0.25">
      <c r="B520" s="83">
        <v>14395</v>
      </c>
      <c r="C520" s="83"/>
      <c r="D520" s="83"/>
      <c r="E520" s="83"/>
      <c r="F520" s="83"/>
      <c r="G520" s="83"/>
      <c r="H520" s="83"/>
      <c r="I520" s="83"/>
      <c r="J520" s="83"/>
      <c r="K520" s="83"/>
      <c r="L520" s="83"/>
    </row>
    <row r="521" spans="2:12" x14ac:dyDescent="0.25">
      <c r="B521" s="82">
        <v>14495</v>
      </c>
      <c r="C521" s="82"/>
      <c r="D521" s="82"/>
      <c r="E521" s="82"/>
      <c r="F521" s="82"/>
      <c r="G521" s="82"/>
      <c r="H521" s="82"/>
      <c r="I521" s="82"/>
      <c r="J521" s="82"/>
      <c r="K521" s="82"/>
      <c r="L521" s="82"/>
    </row>
    <row r="522" spans="2:12" x14ac:dyDescent="0.25">
      <c r="B522" s="83">
        <v>14595</v>
      </c>
      <c r="C522" s="83"/>
      <c r="D522" s="83"/>
      <c r="E522" s="83"/>
      <c r="F522" s="83"/>
      <c r="G522" s="83"/>
      <c r="H522" s="83"/>
      <c r="I522" s="83"/>
      <c r="J522" s="83"/>
      <c r="K522" s="83"/>
      <c r="L522" s="83"/>
    </row>
    <row r="523" spans="2:12" x14ac:dyDescent="0.25">
      <c r="B523" s="82">
        <v>14695</v>
      </c>
      <c r="C523" s="82"/>
      <c r="D523" s="82"/>
      <c r="E523" s="82"/>
      <c r="F523" s="82"/>
      <c r="G523" s="82"/>
      <c r="H523" s="82"/>
      <c r="I523" s="82"/>
      <c r="J523" s="82"/>
      <c r="K523" s="82"/>
      <c r="L523" s="82"/>
    </row>
    <row r="524" spans="2:12" x14ac:dyDescent="0.25">
      <c r="B524" s="83">
        <v>14795</v>
      </c>
      <c r="C524" s="83"/>
      <c r="D524" s="83"/>
      <c r="E524" s="83"/>
      <c r="F524" s="83"/>
      <c r="G524" s="83"/>
      <c r="H524" s="83"/>
      <c r="I524" s="83"/>
      <c r="J524" s="83"/>
      <c r="K524" s="83"/>
      <c r="L524" s="83"/>
    </row>
    <row r="525" spans="2:12" x14ac:dyDescent="0.25">
      <c r="B525" s="82">
        <v>14895</v>
      </c>
      <c r="C525" s="82"/>
      <c r="D525" s="82"/>
      <c r="E525" s="82"/>
      <c r="F525" s="82"/>
      <c r="G525" s="82"/>
      <c r="H525" s="82"/>
      <c r="I525" s="82"/>
      <c r="J525" s="82"/>
      <c r="K525" s="82"/>
      <c r="L525" s="82"/>
    </row>
    <row r="526" spans="2:12" x14ac:dyDescent="0.25">
      <c r="B526" s="83">
        <v>14995</v>
      </c>
      <c r="C526" s="83"/>
      <c r="D526" s="83"/>
      <c r="E526" s="83"/>
      <c r="F526" s="83"/>
      <c r="G526" s="83"/>
      <c r="H526" s="83"/>
      <c r="I526" s="83"/>
      <c r="J526" s="83"/>
      <c r="K526" s="83"/>
      <c r="L526" s="83"/>
    </row>
    <row r="527" spans="2:12" x14ac:dyDescent="0.25">
      <c r="B527" s="82">
        <v>15095</v>
      </c>
      <c r="C527" s="82"/>
      <c r="D527" s="82"/>
      <c r="E527" s="82"/>
      <c r="F527" s="82"/>
      <c r="G527" s="82"/>
      <c r="H527" s="82"/>
      <c r="I527" s="82"/>
      <c r="J527" s="82"/>
      <c r="K527" s="82"/>
      <c r="L527" s="82"/>
    </row>
    <row r="528" spans="2:12" x14ac:dyDescent="0.25">
      <c r="B528" s="83">
        <v>15195</v>
      </c>
      <c r="C528" s="83"/>
      <c r="D528" s="83"/>
      <c r="E528" s="83"/>
      <c r="F528" s="83"/>
      <c r="G528" s="83"/>
      <c r="H528" s="83"/>
      <c r="I528" s="83"/>
      <c r="J528" s="83"/>
      <c r="K528" s="83"/>
      <c r="L528" s="83"/>
    </row>
    <row r="529" spans="2:12" x14ac:dyDescent="0.25">
      <c r="B529" s="82">
        <v>15295</v>
      </c>
      <c r="C529" s="82"/>
      <c r="D529" s="82"/>
      <c r="E529" s="82"/>
      <c r="F529" s="82"/>
      <c r="G529" s="82"/>
      <c r="H529" s="82"/>
      <c r="I529" s="82"/>
      <c r="J529" s="82"/>
      <c r="K529" s="82"/>
      <c r="L529" s="82"/>
    </row>
    <row r="530" spans="2:12" x14ac:dyDescent="0.25">
      <c r="B530" s="83">
        <v>15395</v>
      </c>
      <c r="C530" s="83"/>
      <c r="D530" s="83"/>
      <c r="E530" s="83"/>
      <c r="F530" s="83"/>
      <c r="G530" s="83"/>
      <c r="H530" s="83"/>
      <c r="I530" s="83"/>
      <c r="J530" s="83"/>
      <c r="K530" s="83"/>
      <c r="L530" s="83"/>
    </row>
    <row r="531" spans="2:12" x14ac:dyDescent="0.25">
      <c r="B531" s="82">
        <v>15495</v>
      </c>
      <c r="C531" s="82"/>
      <c r="D531" s="82"/>
      <c r="E531" s="82"/>
      <c r="F531" s="82"/>
      <c r="G531" s="82"/>
      <c r="H531" s="82"/>
      <c r="I531" s="82"/>
      <c r="J531" s="82"/>
      <c r="K531" s="82"/>
      <c r="L531" s="82"/>
    </row>
    <row r="532" spans="2:12" x14ac:dyDescent="0.25">
      <c r="B532" s="83">
        <v>15595</v>
      </c>
      <c r="C532" s="83"/>
      <c r="D532" s="83"/>
      <c r="E532" s="83"/>
      <c r="F532" s="83"/>
      <c r="G532" s="83"/>
      <c r="H532" s="83"/>
      <c r="I532" s="83"/>
      <c r="J532" s="83"/>
      <c r="K532" s="83"/>
      <c r="L532" s="83"/>
    </row>
    <row r="533" spans="2:12" x14ac:dyDescent="0.25">
      <c r="B533" s="82">
        <v>15695</v>
      </c>
      <c r="C533" s="82"/>
      <c r="D533" s="82"/>
      <c r="E533" s="82"/>
      <c r="F533" s="82"/>
      <c r="G533" s="82"/>
      <c r="H533" s="82"/>
      <c r="I533" s="82"/>
      <c r="J533" s="82"/>
      <c r="K533" s="82"/>
      <c r="L533" s="82"/>
    </row>
    <row r="534" spans="2:12" x14ac:dyDescent="0.25">
      <c r="B534" s="83">
        <v>15795</v>
      </c>
      <c r="C534" s="83"/>
      <c r="D534" s="83"/>
      <c r="E534" s="83"/>
      <c r="F534" s="83"/>
      <c r="G534" s="83"/>
      <c r="H534" s="83"/>
      <c r="I534" s="83"/>
      <c r="J534" s="83"/>
      <c r="K534" s="83"/>
      <c r="L534" s="83"/>
    </row>
    <row r="535" spans="2:12" x14ac:dyDescent="0.25">
      <c r="B535" s="82">
        <v>15895</v>
      </c>
      <c r="C535" s="82"/>
      <c r="D535" s="82"/>
      <c r="E535" s="82"/>
      <c r="F535" s="82"/>
      <c r="G535" s="82"/>
      <c r="H535" s="82"/>
      <c r="I535" s="82"/>
      <c r="J535" s="82"/>
      <c r="K535" s="82"/>
      <c r="L535" s="82"/>
    </row>
    <row r="536" spans="2:12" x14ac:dyDescent="0.25">
      <c r="B536" s="83">
        <v>15995</v>
      </c>
      <c r="C536" s="83"/>
      <c r="D536" s="83"/>
      <c r="E536" s="83"/>
      <c r="F536" s="83"/>
      <c r="G536" s="83"/>
      <c r="H536" s="83"/>
      <c r="I536" s="83"/>
      <c r="J536" s="83"/>
      <c r="K536" s="83"/>
      <c r="L536" s="83"/>
    </row>
    <row r="537" spans="2:12" x14ac:dyDescent="0.25">
      <c r="B537" s="82">
        <v>16095</v>
      </c>
      <c r="C537" s="82"/>
      <c r="D537" s="82"/>
      <c r="E537" s="82"/>
      <c r="F537" s="82"/>
      <c r="G537" s="82"/>
      <c r="H537" s="82"/>
      <c r="I537" s="82"/>
      <c r="J537" s="82"/>
      <c r="K537" s="82"/>
      <c r="L537" s="82"/>
    </row>
    <row r="538" spans="2:12" x14ac:dyDescent="0.25">
      <c r="B538" s="83">
        <v>16195</v>
      </c>
      <c r="C538" s="83"/>
      <c r="D538" s="83"/>
      <c r="E538" s="83"/>
      <c r="F538" s="83"/>
      <c r="G538" s="83"/>
      <c r="H538" s="83"/>
      <c r="I538" s="83"/>
      <c r="J538" s="83"/>
      <c r="K538" s="83"/>
      <c r="L538" s="83"/>
    </row>
    <row r="539" spans="2:12" x14ac:dyDescent="0.25">
      <c r="B539" s="82">
        <v>16295</v>
      </c>
      <c r="C539" s="82"/>
      <c r="D539" s="82"/>
      <c r="E539" s="82"/>
      <c r="F539" s="82"/>
      <c r="G539" s="82"/>
      <c r="H539" s="82"/>
      <c r="I539" s="82"/>
      <c r="J539" s="82"/>
      <c r="K539" s="82"/>
      <c r="L539" s="82"/>
    </row>
    <row r="540" spans="2:12" x14ac:dyDescent="0.25">
      <c r="B540" s="83">
        <v>16395</v>
      </c>
      <c r="C540" s="83"/>
      <c r="D540" s="83"/>
      <c r="E540" s="83"/>
      <c r="F540" s="83"/>
      <c r="G540" s="83"/>
      <c r="H540" s="83"/>
      <c r="I540" s="83"/>
      <c r="J540" s="83"/>
      <c r="K540" s="83"/>
      <c r="L540" s="83"/>
    </row>
    <row r="541" spans="2:12" x14ac:dyDescent="0.25">
      <c r="B541" s="82">
        <v>16495</v>
      </c>
      <c r="C541" s="82"/>
      <c r="D541" s="82"/>
      <c r="E541" s="82"/>
      <c r="F541" s="82"/>
      <c r="G541" s="82"/>
      <c r="H541" s="82"/>
      <c r="I541" s="82"/>
      <c r="J541" s="82"/>
      <c r="K541" s="82"/>
      <c r="L541" s="82"/>
    </row>
    <row r="542" spans="2:12" x14ac:dyDescent="0.25">
      <c r="B542" s="83">
        <v>16595</v>
      </c>
      <c r="C542" s="83"/>
      <c r="D542" s="83"/>
      <c r="E542" s="83"/>
      <c r="F542" s="83"/>
      <c r="G542" s="83"/>
      <c r="H542" s="83"/>
      <c r="I542" s="83"/>
      <c r="J542" s="83"/>
      <c r="K542" s="83"/>
      <c r="L542" s="83"/>
    </row>
    <row r="543" spans="2:12" x14ac:dyDescent="0.25">
      <c r="B543" s="82">
        <v>16695</v>
      </c>
      <c r="C543" s="82"/>
      <c r="D543" s="82"/>
      <c r="E543" s="82"/>
      <c r="F543" s="82"/>
      <c r="G543" s="82"/>
      <c r="H543" s="82"/>
      <c r="I543" s="82"/>
      <c r="J543" s="82"/>
      <c r="K543" s="82"/>
      <c r="L543" s="82"/>
    </row>
    <row r="544" spans="2:12" x14ac:dyDescent="0.25">
      <c r="B544" s="83">
        <v>16795</v>
      </c>
      <c r="C544" s="83"/>
      <c r="D544" s="83"/>
      <c r="E544" s="83"/>
      <c r="F544" s="83"/>
      <c r="G544" s="83"/>
      <c r="H544" s="83"/>
      <c r="I544" s="83"/>
      <c r="J544" s="83"/>
      <c r="K544" s="83"/>
      <c r="L544" s="83"/>
    </row>
    <row r="545" spans="2:12" x14ac:dyDescent="0.25">
      <c r="B545" s="82">
        <v>16895</v>
      </c>
      <c r="C545" s="82"/>
      <c r="D545" s="82"/>
      <c r="E545" s="82"/>
      <c r="F545" s="82"/>
      <c r="G545" s="82"/>
      <c r="H545" s="82"/>
      <c r="I545" s="82"/>
      <c r="J545" s="82"/>
      <c r="K545" s="82"/>
      <c r="L545" s="82"/>
    </row>
    <row r="546" spans="2:12" x14ac:dyDescent="0.25">
      <c r="B546" s="83">
        <v>16995</v>
      </c>
      <c r="C546" s="83"/>
      <c r="D546" s="83"/>
      <c r="E546" s="83"/>
      <c r="F546" s="83"/>
      <c r="G546" s="83"/>
      <c r="H546" s="83"/>
      <c r="I546" s="83"/>
      <c r="J546" s="83"/>
      <c r="K546" s="83"/>
      <c r="L546" s="83"/>
    </row>
    <row r="547" spans="2:12" x14ac:dyDescent="0.25">
      <c r="B547" s="82">
        <v>17095</v>
      </c>
      <c r="C547" s="82"/>
      <c r="D547" s="82"/>
      <c r="E547" s="82"/>
      <c r="F547" s="82"/>
      <c r="G547" s="82"/>
      <c r="H547" s="82"/>
      <c r="I547" s="82"/>
      <c r="J547" s="82"/>
      <c r="K547" s="82"/>
      <c r="L547" s="82"/>
    </row>
    <row r="548" spans="2:12" x14ac:dyDescent="0.25">
      <c r="B548" s="83">
        <v>17195</v>
      </c>
      <c r="C548" s="83"/>
      <c r="D548" s="83"/>
      <c r="E548" s="83"/>
      <c r="F548" s="83"/>
      <c r="G548" s="83"/>
      <c r="H548" s="83"/>
      <c r="I548" s="83"/>
      <c r="J548" s="83"/>
      <c r="K548" s="83"/>
      <c r="L548" s="83"/>
    </row>
    <row r="549" spans="2:12" x14ac:dyDescent="0.25">
      <c r="B549" s="82">
        <v>17295</v>
      </c>
      <c r="C549" s="82"/>
      <c r="D549" s="82"/>
      <c r="E549" s="82"/>
      <c r="F549" s="82"/>
      <c r="G549" s="82"/>
      <c r="H549" s="82"/>
      <c r="I549" s="82"/>
      <c r="J549" s="82"/>
      <c r="K549" s="82"/>
      <c r="L549" s="82"/>
    </row>
    <row r="550" spans="2:12" x14ac:dyDescent="0.25">
      <c r="B550" s="83">
        <v>17395</v>
      </c>
      <c r="C550" s="83"/>
      <c r="D550" s="83"/>
      <c r="E550" s="83"/>
      <c r="F550" s="83"/>
      <c r="G550" s="83"/>
      <c r="H550" s="83"/>
      <c r="I550" s="83"/>
      <c r="J550" s="83"/>
      <c r="K550" s="83"/>
      <c r="L550" s="83"/>
    </row>
    <row r="551" spans="2:12" x14ac:dyDescent="0.25">
      <c r="B551" s="82">
        <v>17495</v>
      </c>
      <c r="C551" s="82"/>
      <c r="D551" s="82"/>
      <c r="E551" s="82"/>
      <c r="F551" s="82"/>
      <c r="G551" s="82"/>
      <c r="H551" s="82"/>
      <c r="I551" s="82"/>
      <c r="J551" s="82"/>
      <c r="K551" s="82"/>
      <c r="L551" s="82"/>
    </row>
    <row r="552" spans="2:12" x14ac:dyDescent="0.25">
      <c r="B552" s="83">
        <v>17595</v>
      </c>
      <c r="C552" s="83"/>
      <c r="D552" s="83"/>
      <c r="E552" s="83"/>
      <c r="F552" s="83"/>
      <c r="G552" s="83"/>
      <c r="H552" s="83"/>
      <c r="I552" s="83"/>
      <c r="J552" s="83"/>
      <c r="K552" s="83"/>
      <c r="L552" s="83"/>
    </row>
    <row r="553" spans="2:12" x14ac:dyDescent="0.25">
      <c r="B553" s="82">
        <v>17695</v>
      </c>
      <c r="C553" s="82"/>
      <c r="D553" s="82"/>
      <c r="E553" s="82"/>
      <c r="F553" s="82"/>
      <c r="G553" s="82"/>
      <c r="H553" s="82"/>
      <c r="I553" s="82"/>
      <c r="J553" s="82"/>
      <c r="K553" s="82"/>
      <c r="L553" s="82"/>
    </row>
    <row r="554" spans="2:12" x14ac:dyDescent="0.25">
      <c r="B554" s="83">
        <v>17795</v>
      </c>
      <c r="C554" s="83"/>
      <c r="D554" s="83"/>
      <c r="E554" s="83"/>
      <c r="F554" s="83"/>
      <c r="G554" s="83"/>
      <c r="H554" s="83"/>
      <c r="I554" s="83"/>
      <c r="J554" s="83"/>
      <c r="K554" s="83"/>
      <c r="L554" s="83"/>
    </row>
    <row r="555" spans="2:12" x14ac:dyDescent="0.25">
      <c r="B555" s="82">
        <v>17895</v>
      </c>
      <c r="C555" s="82"/>
      <c r="D555" s="82"/>
      <c r="E555" s="82"/>
      <c r="F555" s="82"/>
      <c r="G555" s="82"/>
      <c r="H555" s="82"/>
      <c r="I555" s="82"/>
      <c r="J555" s="82"/>
      <c r="K555" s="82"/>
      <c r="L555" s="82"/>
    </row>
    <row r="556" spans="2:12" x14ac:dyDescent="0.25">
      <c r="B556" s="83">
        <v>17995</v>
      </c>
      <c r="C556" s="83"/>
      <c r="D556" s="83"/>
      <c r="E556" s="83"/>
      <c r="F556" s="83"/>
      <c r="G556" s="83"/>
      <c r="H556" s="83"/>
      <c r="I556" s="83"/>
      <c r="J556" s="83"/>
      <c r="K556" s="83"/>
      <c r="L556" s="83"/>
    </row>
    <row r="557" spans="2:12" x14ac:dyDescent="0.25">
      <c r="B557" s="82">
        <v>18095</v>
      </c>
      <c r="C557" s="82"/>
      <c r="D557" s="82"/>
      <c r="E557" s="82"/>
      <c r="F557" s="82"/>
      <c r="G557" s="82"/>
      <c r="H557" s="82"/>
      <c r="I557" s="82"/>
      <c r="J557" s="82"/>
      <c r="K557" s="82"/>
      <c r="L557" s="82"/>
    </row>
    <row r="558" spans="2:12" x14ac:dyDescent="0.25">
      <c r="B558" s="83">
        <v>18195</v>
      </c>
      <c r="C558" s="83"/>
      <c r="D558" s="83"/>
      <c r="E558" s="83"/>
      <c r="F558" s="83"/>
      <c r="G558" s="83"/>
      <c r="H558" s="83"/>
      <c r="I558" s="83"/>
      <c r="J558" s="83"/>
      <c r="K558" s="83"/>
      <c r="L558" s="83"/>
    </row>
    <row r="559" spans="2:12" x14ac:dyDescent="0.25">
      <c r="B559" s="82">
        <v>18295</v>
      </c>
      <c r="C559" s="82"/>
      <c r="D559" s="82"/>
      <c r="E559" s="82"/>
      <c r="F559" s="82"/>
      <c r="G559" s="82"/>
      <c r="H559" s="82"/>
      <c r="I559" s="82"/>
      <c r="J559" s="82"/>
      <c r="K559" s="82"/>
      <c r="L559" s="82"/>
    </row>
    <row r="560" spans="2:12" x14ac:dyDescent="0.25">
      <c r="B560" s="83">
        <v>18395</v>
      </c>
      <c r="C560" s="83"/>
      <c r="D560" s="83"/>
      <c r="E560" s="83"/>
      <c r="F560" s="83"/>
      <c r="G560" s="83"/>
      <c r="H560" s="83"/>
      <c r="I560" s="83"/>
      <c r="J560" s="83"/>
      <c r="K560" s="83"/>
      <c r="L560" s="83"/>
    </row>
    <row r="561" spans="2:12" x14ac:dyDescent="0.25">
      <c r="B561" s="82">
        <v>18495</v>
      </c>
      <c r="C561" s="82"/>
      <c r="D561" s="82"/>
      <c r="E561" s="82"/>
      <c r="F561" s="82"/>
      <c r="G561" s="82"/>
      <c r="H561" s="82"/>
      <c r="I561" s="82"/>
      <c r="J561" s="82"/>
      <c r="K561" s="82"/>
      <c r="L561" s="82"/>
    </row>
    <row r="562" spans="2:12" x14ac:dyDescent="0.25">
      <c r="B562" s="83">
        <v>18595</v>
      </c>
      <c r="C562" s="83"/>
      <c r="D562" s="83"/>
      <c r="E562" s="83"/>
      <c r="F562" s="83"/>
      <c r="G562" s="83"/>
      <c r="H562" s="83"/>
      <c r="I562" s="83"/>
      <c r="J562" s="83"/>
      <c r="K562" s="83"/>
      <c r="L562" s="83"/>
    </row>
    <row r="563" spans="2:12" x14ac:dyDescent="0.25">
      <c r="B563" s="82">
        <v>18695</v>
      </c>
      <c r="C563" s="82"/>
      <c r="D563" s="82"/>
      <c r="E563" s="82"/>
      <c r="F563" s="82"/>
      <c r="G563" s="82"/>
      <c r="H563" s="82"/>
      <c r="I563" s="82"/>
      <c r="J563" s="82"/>
      <c r="K563" s="82"/>
      <c r="L563" s="82"/>
    </row>
    <row r="564" spans="2:12" x14ac:dyDescent="0.25">
      <c r="B564" s="83">
        <v>18795</v>
      </c>
      <c r="C564" s="83"/>
      <c r="D564" s="83"/>
      <c r="E564" s="83"/>
      <c r="F564" s="83"/>
      <c r="G564" s="83"/>
      <c r="H564" s="83"/>
      <c r="I564" s="83"/>
      <c r="J564" s="83"/>
      <c r="K564" s="83"/>
      <c r="L564" s="83"/>
    </row>
    <row r="565" spans="2:12" x14ac:dyDescent="0.25">
      <c r="B565" s="82">
        <v>18895</v>
      </c>
      <c r="C565" s="82"/>
      <c r="D565" s="82"/>
      <c r="E565" s="82"/>
      <c r="F565" s="82"/>
      <c r="G565" s="82"/>
      <c r="H565" s="82"/>
      <c r="I565" s="82"/>
      <c r="J565" s="82"/>
      <c r="K565" s="82"/>
      <c r="L565" s="82"/>
    </row>
    <row r="566" spans="2:12" x14ac:dyDescent="0.25">
      <c r="B566" s="83">
        <v>18995</v>
      </c>
      <c r="C566" s="83"/>
      <c r="D566" s="83"/>
      <c r="E566" s="83"/>
      <c r="F566" s="83"/>
      <c r="G566" s="83"/>
      <c r="H566" s="83"/>
      <c r="I566" s="83"/>
      <c r="J566" s="83"/>
      <c r="K566" s="83"/>
      <c r="L566" s="83"/>
    </row>
    <row r="567" spans="2:12" x14ac:dyDescent="0.25">
      <c r="B567" s="82">
        <v>19095</v>
      </c>
      <c r="C567" s="82"/>
      <c r="D567" s="82"/>
      <c r="E567" s="82"/>
      <c r="F567" s="82"/>
      <c r="G567" s="82"/>
      <c r="H567" s="82"/>
      <c r="I567" s="82"/>
      <c r="J567" s="82"/>
      <c r="K567" s="82"/>
      <c r="L567" s="82"/>
    </row>
    <row r="568" spans="2:12" x14ac:dyDescent="0.25">
      <c r="B568" s="83">
        <v>19195</v>
      </c>
      <c r="C568" s="83"/>
      <c r="D568" s="83"/>
      <c r="E568" s="83"/>
      <c r="F568" s="83"/>
      <c r="G568" s="83"/>
      <c r="H568" s="83"/>
      <c r="I568" s="83"/>
      <c r="J568" s="83"/>
      <c r="K568" s="83"/>
      <c r="L568" s="83"/>
    </row>
    <row r="569" spans="2:12" x14ac:dyDescent="0.25">
      <c r="B569" s="82">
        <v>19295</v>
      </c>
      <c r="C569" s="82"/>
      <c r="D569" s="82"/>
      <c r="E569" s="82"/>
      <c r="F569" s="82"/>
      <c r="G569" s="82"/>
      <c r="H569" s="82"/>
      <c r="I569" s="82"/>
      <c r="J569" s="82"/>
      <c r="K569" s="82"/>
      <c r="L569" s="82"/>
    </row>
    <row r="570" spans="2:12" x14ac:dyDescent="0.25">
      <c r="B570" s="83">
        <v>19395</v>
      </c>
      <c r="C570" s="83"/>
      <c r="D570" s="83"/>
      <c r="E570" s="83"/>
      <c r="F570" s="83"/>
      <c r="G570" s="83"/>
      <c r="H570" s="83"/>
      <c r="I570" s="83"/>
      <c r="J570" s="83"/>
      <c r="K570" s="83"/>
      <c r="L570" s="83"/>
    </row>
    <row r="571" spans="2:12" x14ac:dyDescent="0.25">
      <c r="B571" s="82">
        <v>19495</v>
      </c>
      <c r="C571" s="82"/>
      <c r="D571" s="82"/>
      <c r="E571" s="82"/>
      <c r="F571" s="82"/>
      <c r="G571" s="82"/>
      <c r="H571" s="82"/>
      <c r="I571" s="82"/>
      <c r="J571" s="82"/>
      <c r="K571" s="82"/>
      <c r="L571" s="82"/>
    </row>
    <row r="572" spans="2:12" x14ac:dyDescent="0.25">
      <c r="B572" s="83">
        <v>19595</v>
      </c>
      <c r="C572" s="83"/>
      <c r="D572" s="83"/>
      <c r="E572" s="83"/>
      <c r="F572" s="83"/>
      <c r="G572" s="83"/>
      <c r="H572" s="83"/>
      <c r="I572" s="83"/>
      <c r="J572" s="83"/>
      <c r="K572" s="83"/>
      <c r="L572" s="83"/>
    </row>
    <row r="573" spans="2:12" x14ac:dyDescent="0.25">
      <c r="B573" s="82">
        <v>19695</v>
      </c>
      <c r="C573" s="82"/>
      <c r="D573" s="82"/>
      <c r="E573" s="82"/>
      <c r="F573" s="82"/>
      <c r="G573" s="82"/>
      <c r="H573" s="82"/>
      <c r="I573" s="82"/>
      <c r="J573" s="82"/>
      <c r="K573" s="82"/>
      <c r="L573" s="82"/>
    </row>
    <row r="574" spans="2:12" x14ac:dyDescent="0.25">
      <c r="B574" s="83">
        <v>19795</v>
      </c>
      <c r="C574" s="83"/>
      <c r="D574" s="83"/>
      <c r="E574" s="83"/>
      <c r="F574" s="83"/>
      <c r="G574" s="83"/>
      <c r="H574" s="83"/>
      <c r="I574" s="83"/>
      <c r="J574" s="83"/>
      <c r="K574" s="83"/>
      <c r="L574" s="83"/>
    </row>
    <row r="575" spans="2:12" x14ac:dyDescent="0.25">
      <c r="B575" s="82">
        <v>19895</v>
      </c>
      <c r="C575" s="82"/>
      <c r="D575" s="82"/>
      <c r="E575" s="82"/>
      <c r="F575" s="82"/>
      <c r="G575" s="82"/>
      <c r="H575" s="82"/>
      <c r="I575" s="82"/>
      <c r="J575" s="82"/>
      <c r="K575" s="82"/>
      <c r="L575" s="82"/>
    </row>
    <row r="576" spans="2:12" x14ac:dyDescent="0.25">
      <c r="B576" s="83">
        <v>19995</v>
      </c>
      <c r="C576" s="83"/>
      <c r="D576" s="83"/>
      <c r="E576" s="83"/>
      <c r="F576" s="83"/>
      <c r="G576" s="83"/>
      <c r="H576" s="83"/>
      <c r="I576" s="83"/>
      <c r="J576" s="83"/>
      <c r="K576" s="83"/>
      <c r="L576" s="83"/>
    </row>
    <row r="577" spans="2:12" x14ac:dyDescent="0.25">
      <c r="B577" s="82">
        <v>20095</v>
      </c>
      <c r="C577" s="82"/>
      <c r="D577" s="82"/>
      <c r="E577" s="82"/>
      <c r="F577" s="82"/>
      <c r="G577" s="82"/>
      <c r="H577" s="82"/>
      <c r="I577" s="82"/>
      <c r="J577" s="82"/>
      <c r="K577" s="82"/>
      <c r="L577" s="82"/>
    </row>
    <row r="578" spans="2:12" x14ac:dyDescent="0.25">
      <c r="B578" s="83">
        <v>20195</v>
      </c>
      <c r="C578" s="83"/>
      <c r="D578" s="83"/>
      <c r="E578" s="83"/>
      <c r="F578" s="83"/>
      <c r="G578" s="83"/>
      <c r="H578" s="83"/>
      <c r="I578" s="83"/>
      <c r="J578" s="83"/>
      <c r="K578" s="83"/>
      <c r="L578" s="83"/>
    </row>
    <row r="579" spans="2:12" x14ac:dyDescent="0.25">
      <c r="B579" s="82">
        <v>20295</v>
      </c>
      <c r="C579" s="82"/>
      <c r="D579" s="82"/>
      <c r="E579" s="82"/>
      <c r="F579" s="82"/>
      <c r="G579" s="82"/>
      <c r="H579" s="82"/>
      <c r="I579" s="82"/>
      <c r="J579" s="82"/>
      <c r="K579" s="82"/>
      <c r="L579" s="82"/>
    </row>
    <row r="580" spans="2:12" x14ac:dyDescent="0.25">
      <c r="B580" s="83">
        <v>20395</v>
      </c>
      <c r="C580" s="83"/>
      <c r="D580" s="83"/>
      <c r="E580" s="83"/>
      <c r="F580" s="83"/>
      <c r="G580" s="83"/>
      <c r="H580" s="83"/>
      <c r="I580" s="83"/>
      <c r="J580" s="83"/>
      <c r="K580" s="83"/>
      <c r="L580" s="83"/>
    </row>
    <row r="581" spans="2:12" x14ac:dyDescent="0.25">
      <c r="B581" s="82">
        <v>20495</v>
      </c>
      <c r="C581" s="82"/>
      <c r="D581" s="82"/>
      <c r="E581" s="82"/>
      <c r="F581" s="82"/>
      <c r="G581" s="82"/>
      <c r="H581" s="82"/>
      <c r="I581" s="82"/>
      <c r="J581" s="82"/>
      <c r="K581" s="82"/>
      <c r="L581" s="82"/>
    </row>
    <row r="582" spans="2:12" x14ac:dyDescent="0.25">
      <c r="B582" s="83">
        <v>20595</v>
      </c>
      <c r="C582" s="83"/>
      <c r="D582" s="83"/>
      <c r="E582" s="83"/>
      <c r="F582" s="83"/>
      <c r="G582" s="83"/>
      <c r="H582" s="83"/>
      <c r="I582" s="83"/>
      <c r="J582" s="83"/>
      <c r="K582" s="83"/>
      <c r="L582" s="83"/>
    </row>
    <row r="583" spans="2:12" x14ac:dyDescent="0.25">
      <c r="B583" s="82">
        <v>20695</v>
      </c>
      <c r="C583" s="82"/>
      <c r="D583" s="82"/>
      <c r="E583" s="82"/>
      <c r="F583" s="82"/>
      <c r="G583" s="82"/>
      <c r="H583" s="82"/>
      <c r="I583" s="82"/>
      <c r="J583" s="82"/>
      <c r="K583" s="82"/>
      <c r="L583" s="82"/>
    </row>
    <row r="584" spans="2:12" x14ac:dyDescent="0.25">
      <c r="B584" s="83">
        <v>20795</v>
      </c>
      <c r="C584" s="83"/>
      <c r="D584" s="83"/>
      <c r="E584" s="83"/>
      <c r="F584" s="83"/>
      <c r="G584" s="83"/>
      <c r="H584" s="83"/>
      <c r="I584" s="83"/>
      <c r="J584" s="83"/>
      <c r="K584" s="83"/>
      <c r="L584" s="83"/>
    </row>
    <row r="585" spans="2:12" x14ac:dyDescent="0.25">
      <c r="B585" s="82">
        <v>20895</v>
      </c>
      <c r="C585" s="82"/>
      <c r="D585" s="82"/>
      <c r="E585" s="82"/>
      <c r="F585" s="82"/>
      <c r="G585" s="82"/>
      <c r="H585" s="82"/>
      <c r="I585" s="82"/>
      <c r="J585" s="82"/>
      <c r="K585" s="82"/>
      <c r="L585" s="82"/>
    </row>
    <row r="586" spans="2:12" x14ac:dyDescent="0.25">
      <c r="B586" s="83">
        <v>20995</v>
      </c>
      <c r="C586" s="83"/>
      <c r="D586" s="83"/>
      <c r="E586" s="83"/>
      <c r="F586" s="83"/>
      <c r="G586" s="83"/>
      <c r="H586" s="83"/>
      <c r="I586" s="83"/>
      <c r="J586" s="83"/>
      <c r="K586" s="83"/>
      <c r="L586" s="83"/>
    </row>
    <row r="587" spans="2:12" x14ac:dyDescent="0.25">
      <c r="B587" s="82">
        <v>21095</v>
      </c>
      <c r="C587" s="82"/>
      <c r="D587" s="82"/>
      <c r="E587" s="82"/>
      <c r="F587" s="82"/>
      <c r="G587" s="82"/>
      <c r="H587" s="82"/>
      <c r="I587" s="82"/>
      <c r="J587" s="82"/>
      <c r="K587" s="82"/>
      <c r="L587" s="82"/>
    </row>
    <row r="588" spans="2:12" x14ac:dyDescent="0.25">
      <c r="B588" s="83">
        <v>21195</v>
      </c>
      <c r="C588" s="83"/>
      <c r="D588" s="83"/>
      <c r="E588" s="83"/>
      <c r="F588" s="83"/>
      <c r="G588" s="83"/>
      <c r="H588" s="83"/>
      <c r="I588" s="83"/>
      <c r="J588" s="83"/>
      <c r="K588" s="83"/>
      <c r="L588" s="83"/>
    </row>
    <row r="589" spans="2:12" x14ac:dyDescent="0.25">
      <c r="B589" s="82">
        <v>21295</v>
      </c>
      <c r="C589" s="82"/>
      <c r="D589" s="82"/>
      <c r="E589" s="82"/>
      <c r="F589" s="82"/>
      <c r="G589" s="82"/>
      <c r="H589" s="82"/>
      <c r="I589" s="82"/>
      <c r="J589" s="82"/>
      <c r="K589" s="82"/>
      <c r="L589" s="82"/>
    </row>
    <row r="590" spans="2:12" x14ac:dyDescent="0.25">
      <c r="B590" s="83">
        <v>21395</v>
      </c>
      <c r="C590" s="83"/>
      <c r="D590" s="83"/>
      <c r="E590" s="83"/>
      <c r="F590" s="83"/>
      <c r="G590" s="83"/>
      <c r="H590" s="83"/>
      <c r="I590" s="83"/>
      <c r="J590" s="83"/>
      <c r="K590" s="83"/>
      <c r="L590" s="83"/>
    </row>
    <row r="591" spans="2:12" x14ac:dyDescent="0.25">
      <c r="B591" s="82">
        <v>21495</v>
      </c>
      <c r="C591" s="82"/>
      <c r="D591" s="82"/>
      <c r="E591" s="82"/>
      <c r="F591" s="82"/>
      <c r="G591" s="82"/>
      <c r="H591" s="82"/>
      <c r="I591" s="82"/>
      <c r="J591" s="82"/>
      <c r="K591" s="82"/>
      <c r="L591" s="82"/>
    </row>
    <row r="592" spans="2:12" x14ac:dyDescent="0.25">
      <c r="B592" s="83">
        <v>21595</v>
      </c>
      <c r="C592" s="83"/>
      <c r="D592" s="83"/>
      <c r="E592" s="83"/>
      <c r="F592" s="83"/>
      <c r="G592" s="83"/>
      <c r="H592" s="83"/>
      <c r="I592" s="83"/>
      <c r="J592" s="83"/>
      <c r="K592" s="83"/>
      <c r="L592" s="83"/>
    </row>
    <row r="593" spans="2:12" x14ac:dyDescent="0.25">
      <c r="B593" s="82">
        <v>21695</v>
      </c>
      <c r="C593" s="82"/>
      <c r="D593" s="82"/>
      <c r="E593" s="82"/>
      <c r="F593" s="82"/>
      <c r="G593" s="82"/>
      <c r="H593" s="82"/>
      <c r="I593" s="82"/>
      <c r="J593" s="82"/>
      <c r="K593" s="82"/>
      <c r="L593" s="82"/>
    </row>
    <row r="594" spans="2:12" x14ac:dyDescent="0.25">
      <c r="B594" s="83">
        <v>21795</v>
      </c>
      <c r="C594" s="83"/>
      <c r="D594" s="83"/>
      <c r="E594" s="83"/>
      <c r="F594" s="83"/>
      <c r="G594" s="83"/>
      <c r="H594" s="83"/>
      <c r="I594" s="83"/>
      <c r="J594" s="83"/>
      <c r="K594" s="83"/>
      <c r="L594" s="83"/>
    </row>
    <row r="595" spans="2:12" x14ac:dyDescent="0.25">
      <c r="B595" s="82">
        <v>21895</v>
      </c>
      <c r="C595" s="82"/>
      <c r="D595" s="82"/>
      <c r="E595" s="82"/>
      <c r="F595" s="82"/>
      <c r="G595" s="82"/>
      <c r="H595" s="82"/>
      <c r="I595" s="82"/>
      <c r="J595" s="82"/>
      <c r="K595" s="82"/>
      <c r="L595" s="82"/>
    </row>
    <row r="596" spans="2:12" x14ac:dyDescent="0.25">
      <c r="B596" s="83">
        <v>21995</v>
      </c>
      <c r="C596" s="83"/>
      <c r="D596" s="83"/>
      <c r="E596" s="83"/>
      <c r="F596" s="83"/>
      <c r="G596" s="83"/>
      <c r="H596" s="83"/>
      <c r="I596" s="83"/>
      <c r="J596" s="83"/>
      <c r="K596" s="83"/>
      <c r="L596" s="83"/>
    </row>
    <row r="597" spans="2:12" x14ac:dyDescent="0.25">
      <c r="B597" s="82">
        <v>22095</v>
      </c>
      <c r="C597" s="82"/>
      <c r="D597" s="82"/>
      <c r="E597" s="82"/>
      <c r="F597" s="82"/>
      <c r="G597" s="82"/>
      <c r="H597" s="82"/>
      <c r="I597" s="82"/>
      <c r="J597" s="82"/>
      <c r="K597" s="82"/>
      <c r="L597" s="82"/>
    </row>
    <row r="598" spans="2:12" x14ac:dyDescent="0.25">
      <c r="B598" s="83">
        <v>22195</v>
      </c>
      <c r="C598" s="83"/>
      <c r="D598" s="83"/>
      <c r="E598" s="83"/>
      <c r="F598" s="83"/>
      <c r="G598" s="83"/>
      <c r="H598" s="83"/>
      <c r="I598" s="83"/>
      <c r="J598" s="83"/>
      <c r="K598" s="83"/>
      <c r="L598" s="83"/>
    </row>
    <row r="599" spans="2:12" x14ac:dyDescent="0.25">
      <c r="B599" s="82">
        <v>22295</v>
      </c>
      <c r="C599" s="82"/>
      <c r="D599" s="82"/>
      <c r="E599" s="82"/>
      <c r="F599" s="82"/>
      <c r="G599" s="82"/>
      <c r="H599" s="82"/>
      <c r="I599" s="82"/>
      <c r="J599" s="82"/>
      <c r="K599" s="82"/>
      <c r="L599" s="82"/>
    </row>
    <row r="600" spans="2:12" x14ac:dyDescent="0.25">
      <c r="B600" s="83">
        <v>22395</v>
      </c>
      <c r="C600" s="83"/>
      <c r="D600" s="83"/>
      <c r="E600" s="83"/>
      <c r="F600" s="83"/>
      <c r="G600" s="83"/>
      <c r="H600" s="83"/>
      <c r="I600" s="83"/>
      <c r="J600" s="83"/>
      <c r="K600" s="83"/>
      <c r="L600" s="83"/>
    </row>
    <row r="601" spans="2:12" x14ac:dyDescent="0.25">
      <c r="B601" s="82">
        <v>22495</v>
      </c>
      <c r="C601" s="82"/>
      <c r="D601" s="82"/>
      <c r="E601" s="82"/>
      <c r="F601" s="82"/>
      <c r="G601" s="82"/>
      <c r="H601" s="82"/>
      <c r="I601" s="82"/>
      <c r="J601" s="82"/>
      <c r="K601" s="82"/>
      <c r="L601" s="82"/>
    </row>
    <row r="602" spans="2:12" x14ac:dyDescent="0.25">
      <c r="B602" s="83">
        <v>22595</v>
      </c>
      <c r="C602" s="83"/>
      <c r="D602" s="83"/>
      <c r="E602" s="83"/>
      <c r="F602" s="83"/>
      <c r="G602" s="83"/>
      <c r="H602" s="83"/>
      <c r="I602" s="83"/>
      <c r="J602" s="83"/>
      <c r="K602" s="83"/>
      <c r="L602" s="83"/>
    </row>
    <row r="603" spans="2:12" x14ac:dyDescent="0.25">
      <c r="B603" s="82">
        <v>22695</v>
      </c>
      <c r="C603" s="82"/>
      <c r="D603" s="82"/>
      <c r="E603" s="82"/>
      <c r="F603" s="82"/>
      <c r="G603" s="82"/>
      <c r="H603" s="82"/>
      <c r="I603" s="82"/>
      <c r="J603" s="82"/>
      <c r="K603" s="82"/>
      <c r="L603" s="82"/>
    </row>
    <row r="604" spans="2:12" x14ac:dyDescent="0.25">
      <c r="B604" s="83">
        <v>22795</v>
      </c>
      <c r="C604" s="83"/>
      <c r="D604" s="83"/>
      <c r="E604" s="83"/>
      <c r="F604" s="83"/>
      <c r="G604" s="83"/>
      <c r="H604" s="83"/>
      <c r="I604" s="83"/>
      <c r="J604" s="83"/>
      <c r="K604" s="83"/>
      <c r="L604" s="83"/>
    </row>
    <row r="605" spans="2:12" x14ac:dyDescent="0.25">
      <c r="B605" s="82">
        <v>22895</v>
      </c>
      <c r="C605" s="82"/>
      <c r="D605" s="82"/>
      <c r="E605" s="82"/>
      <c r="F605" s="82"/>
      <c r="G605" s="82"/>
      <c r="H605" s="82"/>
      <c r="I605" s="82"/>
      <c r="J605" s="82"/>
      <c r="K605" s="82"/>
      <c r="L605" s="82"/>
    </row>
    <row r="606" spans="2:12" x14ac:dyDescent="0.25">
      <c r="B606" s="83">
        <v>22995</v>
      </c>
      <c r="C606" s="83"/>
      <c r="D606" s="83"/>
      <c r="E606" s="83"/>
      <c r="F606" s="83"/>
      <c r="G606" s="83"/>
      <c r="H606" s="83"/>
      <c r="I606" s="83"/>
      <c r="J606" s="83"/>
      <c r="K606" s="83"/>
      <c r="L606" s="83"/>
    </row>
    <row r="607" spans="2:12" x14ac:dyDescent="0.25">
      <c r="B607" s="82">
        <v>23095</v>
      </c>
      <c r="C607" s="82"/>
      <c r="D607" s="82"/>
      <c r="E607" s="82"/>
      <c r="F607" s="82"/>
      <c r="G607" s="82"/>
      <c r="H607" s="82"/>
      <c r="I607" s="82"/>
      <c r="J607" s="82"/>
      <c r="K607" s="82"/>
      <c r="L607" s="82"/>
    </row>
    <row r="608" spans="2:12" x14ac:dyDescent="0.25">
      <c r="B608" s="83">
        <v>23195</v>
      </c>
      <c r="C608" s="83"/>
      <c r="D608" s="83"/>
      <c r="E608" s="83"/>
      <c r="F608" s="83"/>
      <c r="G608" s="83"/>
      <c r="H608" s="83"/>
      <c r="I608" s="83"/>
      <c r="J608" s="83"/>
      <c r="K608" s="83"/>
      <c r="L608" s="83"/>
    </row>
    <row r="609" spans="2:12" x14ac:dyDescent="0.25">
      <c r="B609" s="82">
        <v>23295</v>
      </c>
      <c r="C609" s="82"/>
      <c r="D609" s="82"/>
      <c r="E609" s="82"/>
      <c r="F609" s="82"/>
      <c r="G609" s="82"/>
      <c r="H609" s="82"/>
      <c r="I609" s="82"/>
      <c r="J609" s="82"/>
      <c r="K609" s="82"/>
      <c r="L609" s="82"/>
    </row>
    <row r="610" spans="2:12" x14ac:dyDescent="0.25">
      <c r="B610" s="83">
        <v>23395</v>
      </c>
      <c r="C610" s="83"/>
      <c r="D610" s="83"/>
      <c r="E610" s="83"/>
      <c r="F610" s="83"/>
      <c r="G610" s="83"/>
      <c r="H610" s="83"/>
      <c r="I610" s="83"/>
      <c r="J610" s="83"/>
      <c r="K610" s="83"/>
      <c r="L610" s="83"/>
    </row>
    <row r="611" spans="2:12" x14ac:dyDescent="0.25">
      <c r="B611" s="82">
        <v>23495</v>
      </c>
      <c r="C611" s="82"/>
      <c r="D611" s="82"/>
      <c r="E611" s="82"/>
      <c r="F611" s="82"/>
      <c r="G611" s="82"/>
      <c r="H611" s="82"/>
      <c r="I611" s="82"/>
      <c r="J611" s="82"/>
      <c r="K611" s="82"/>
      <c r="L611" s="82"/>
    </row>
    <row r="612" spans="2:12" x14ac:dyDescent="0.25">
      <c r="B612" s="83">
        <v>23595</v>
      </c>
      <c r="C612" s="83"/>
      <c r="D612" s="83"/>
      <c r="E612" s="83"/>
      <c r="F612" s="83"/>
      <c r="G612" s="83"/>
      <c r="H612" s="83"/>
      <c r="I612" s="83"/>
      <c r="J612" s="83"/>
      <c r="K612" s="83"/>
      <c r="L612" s="83"/>
    </row>
    <row r="613" spans="2:12" x14ac:dyDescent="0.25">
      <c r="B613" s="82">
        <v>23695</v>
      </c>
      <c r="C613" s="82"/>
      <c r="D613" s="82"/>
      <c r="E613" s="82"/>
      <c r="F613" s="82"/>
      <c r="G613" s="82"/>
      <c r="H613" s="82"/>
      <c r="I613" s="82"/>
      <c r="J613" s="82"/>
      <c r="K613" s="82"/>
      <c r="L613" s="82"/>
    </row>
    <row r="614" spans="2:12" x14ac:dyDescent="0.25">
      <c r="B614" s="83">
        <v>23795</v>
      </c>
      <c r="C614" s="83"/>
      <c r="D614" s="83"/>
      <c r="E614" s="83"/>
      <c r="F614" s="83"/>
      <c r="G614" s="83"/>
      <c r="H614" s="83"/>
      <c r="I614" s="83"/>
      <c r="J614" s="83"/>
      <c r="K614" s="83"/>
      <c r="L614" s="83"/>
    </row>
    <row r="615" spans="2:12" x14ac:dyDescent="0.25">
      <c r="B615" s="82">
        <v>23895</v>
      </c>
      <c r="C615" s="82"/>
      <c r="D615" s="82"/>
      <c r="E615" s="82"/>
      <c r="F615" s="82"/>
      <c r="G615" s="82"/>
      <c r="H615" s="82"/>
      <c r="I615" s="82"/>
      <c r="J615" s="82"/>
      <c r="K615" s="82"/>
      <c r="L615" s="82"/>
    </row>
    <row r="616" spans="2:12" x14ac:dyDescent="0.25">
      <c r="B616" s="83">
        <v>23995</v>
      </c>
      <c r="C616" s="83"/>
      <c r="D616" s="83"/>
      <c r="E616" s="83"/>
      <c r="F616" s="83"/>
      <c r="G616" s="83"/>
      <c r="H616" s="83"/>
      <c r="I616" s="83"/>
      <c r="J616" s="83"/>
      <c r="K616" s="83"/>
      <c r="L616" s="83"/>
    </row>
    <row r="617" spans="2:12" x14ac:dyDescent="0.25">
      <c r="B617" s="82">
        <v>24095</v>
      </c>
      <c r="C617" s="82"/>
      <c r="D617" s="82"/>
      <c r="E617" s="82"/>
      <c r="F617" s="82"/>
      <c r="G617" s="82"/>
      <c r="H617" s="82"/>
      <c r="I617" s="82"/>
      <c r="J617" s="82"/>
      <c r="K617" s="82"/>
      <c r="L617" s="82"/>
    </row>
    <row r="618" spans="2:12" x14ac:dyDescent="0.25">
      <c r="B618" s="83">
        <v>24195</v>
      </c>
      <c r="C618" s="83"/>
      <c r="D618" s="83"/>
      <c r="E618" s="83"/>
      <c r="F618" s="83"/>
      <c r="G618" s="83"/>
      <c r="H618" s="83"/>
      <c r="I618" s="83"/>
      <c r="J618" s="83"/>
      <c r="K618" s="83"/>
      <c r="L618" s="83"/>
    </row>
    <row r="619" spans="2:12" x14ac:dyDescent="0.25">
      <c r="B619" s="82">
        <v>24295</v>
      </c>
      <c r="C619" s="82"/>
      <c r="D619" s="82"/>
      <c r="E619" s="82"/>
      <c r="F619" s="82"/>
      <c r="G619" s="82"/>
      <c r="H619" s="82"/>
      <c r="I619" s="82"/>
      <c r="J619" s="82"/>
      <c r="K619" s="82"/>
      <c r="L619" s="82"/>
    </row>
    <row r="620" spans="2:12" x14ac:dyDescent="0.25">
      <c r="B620" s="83">
        <v>24395</v>
      </c>
      <c r="C620" s="83"/>
      <c r="D620" s="83"/>
      <c r="E620" s="83"/>
      <c r="F620" s="83"/>
      <c r="G620" s="83"/>
      <c r="H620" s="83"/>
      <c r="I620" s="83"/>
      <c r="J620" s="83"/>
      <c r="K620" s="83"/>
      <c r="L620" s="83"/>
    </row>
    <row r="621" spans="2:12" x14ac:dyDescent="0.25">
      <c r="B621" s="82">
        <v>24495</v>
      </c>
      <c r="C621" s="82"/>
      <c r="D621" s="82"/>
      <c r="E621" s="82"/>
      <c r="F621" s="82"/>
      <c r="G621" s="82"/>
      <c r="H621" s="82"/>
      <c r="I621" s="82"/>
      <c r="J621" s="82"/>
      <c r="K621" s="82"/>
      <c r="L621" s="82"/>
    </row>
    <row r="622" spans="2:12" x14ac:dyDescent="0.25">
      <c r="B622" s="83">
        <v>24595</v>
      </c>
      <c r="C622" s="83"/>
      <c r="D622" s="83"/>
      <c r="E622" s="83"/>
      <c r="F622" s="83"/>
      <c r="G622" s="83"/>
      <c r="H622" s="83"/>
      <c r="I622" s="83"/>
      <c r="J622" s="83"/>
      <c r="K622" s="83"/>
      <c r="L622" s="83"/>
    </row>
    <row r="623" spans="2:12" x14ac:dyDescent="0.25">
      <c r="B623" s="82">
        <v>24695</v>
      </c>
      <c r="C623" s="82"/>
      <c r="D623" s="82"/>
      <c r="E623" s="82"/>
      <c r="F623" s="82"/>
      <c r="G623" s="82"/>
      <c r="H623" s="82"/>
      <c r="I623" s="82"/>
      <c r="J623" s="82"/>
      <c r="K623" s="82"/>
      <c r="L623" s="82"/>
    </row>
    <row r="624" spans="2:12" x14ac:dyDescent="0.25">
      <c r="B624" s="83">
        <v>24795</v>
      </c>
      <c r="C624" s="83"/>
      <c r="D624" s="83"/>
      <c r="E624" s="83"/>
      <c r="F624" s="83"/>
      <c r="G624" s="83"/>
      <c r="H624" s="83"/>
      <c r="I624" s="83"/>
      <c r="J624" s="83"/>
      <c r="K624" s="83"/>
      <c r="L624" s="83"/>
    </row>
    <row r="625" spans="2:12" x14ac:dyDescent="0.25">
      <c r="B625" s="82">
        <v>24895</v>
      </c>
      <c r="C625" s="82"/>
      <c r="D625" s="82"/>
      <c r="E625" s="82"/>
      <c r="F625" s="82"/>
      <c r="G625" s="82"/>
      <c r="H625" s="82"/>
      <c r="I625" s="82"/>
      <c r="J625" s="82"/>
      <c r="K625" s="82"/>
      <c r="L625" s="82"/>
    </row>
    <row r="626" spans="2:12" x14ac:dyDescent="0.25">
      <c r="B626" s="83">
        <v>24995</v>
      </c>
      <c r="C626" s="83"/>
      <c r="D626" s="83"/>
      <c r="E626" s="83"/>
      <c r="F626" s="83"/>
      <c r="G626" s="83"/>
      <c r="H626" s="83"/>
      <c r="I626" s="83"/>
      <c r="J626" s="83"/>
      <c r="K626" s="83"/>
      <c r="L626" s="83"/>
    </row>
    <row r="627" spans="2:12" x14ac:dyDescent="0.25">
      <c r="B627" s="82">
        <v>25095</v>
      </c>
      <c r="C627" s="82"/>
      <c r="D627" s="82"/>
      <c r="E627" s="82"/>
      <c r="F627" s="82"/>
      <c r="G627" s="82"/>
      <c r="H627" s="82"/>
      <c r="I627" s="82"/>
      <c r="J627" s="82"/>
      <c r="K627" s="82"/>
      <c r="L627" s="82"/>
    </row>
    <row r="628" spans="2:12" x14ac:dyDescent="0.25">
      <c r="B628" s="83">
        <v>25195</v>
      </c>
      <c r="C628" s="83"/>
      <c r="D628" s="83"/>
      <c r="E628" s="83"/>
      <c r="F628" s="83"/>
      <c r="G628" s="83"/>
      <c r="H628" s="83"/>
      <c r="I628" s="83"/>
      <c r="J628" s="83"/>
      <c r="K628" s="83"/>
      <c r="L628" s="83"/>
    </row>
    <row r="629" spans="2:12" x14ac:dyDescent="0.25">
      <c r="B629" s="82">
        <v>25295</v>
      </c>
      <c r="C629" s="82"/>
      <c r="D629" s="82"/>
      <c r="E629" s="82"/>
      <c r="F629" s="82"/>
      <c r="G629" s="82"/>
      <c r="H629" s="82"/>
      <c r="I629" s="82"/>
      <c r="J629" s="82"/>
      <c r="K629" s="82"/>
      <c r="L629" s="82"/>
    </row>
    <row r="630" spans="2:12" x14ac:dyDescent="0.25">
      <c r="B630" s="83">
        <v>25395</v>
      </c>
      <c r="C630" s="83"/>
      <c r="D630" s="83"/>
      <c r="E630" s="83"/>
      <c r="F630" s="83"/>
      <c r="G630" s="83"/>
      <c r="H630" s="83"/>
      <c r="I630" s="83"/>
      <c r="J630" s="83"/>
      <c r="K630" s="83"/>
      <c r="L630" s="83"/>
    </row>
    <row r="631" spans="2:12" x14ac:dyDescent="0.25">
      <c r="B631" s="82">
        <v>25495</v>
      </c>
      <c r="C631" s="82"/>
      <c r="D631" s="82"/>
      <c r="E631" s="82"/>
      <c r="F631" s="82"/>
      <c r="G631" s="82"/>
      <c r="H631" s="82"/>
      <c r="I631" s="82"/>
      <c r="J631" s="82"/>
      <c r="K631" s="82"/>
      <c r="L631" s="82"/>
    </row>
    <row r="632" spans="2:12" x14ac:dyDescent="0.25">
      <c r="B632" s="83">
        <v>25595</v>
      </c>
      <c r="C632" s="83"/>
      <c r="D632" s="83"/>
      <c r="E632" s="83"/>
      <c r="F632" s="83"/>
      <c r="G632" s="83"/>
      <c r="H632" s="83"/>
      <c r="I632" s="83"/>
      <c r="J632" s="83"/>
      <c r="K632" s="83"/>
      <c r="L632" s="83"/>
    </row>
    <row r="633" spans="2:12" x14ac:dyDescent="0.25">
      <c r="B633" s="82">
        <v>25695</v>
      </c>
      <c r="C633" s="82"/>
      <c r="D633" s="82"/>
      <c r="E633" s="82"/>
      <c r="F633" s="82"/>
      <c r="G633" s="82"/>
      <c r="H633" s="82"/>
      <c r="I633" s="82"/>
      <c r="J633" s="82"/>
      <c r="K633" s="82"/>
      <c r="L633" s="82"/>
    </row>
    <row r="634" spans="2:12" x14ac:dyDescent="0.25">
      <c r="B634" s="83">
        <v>25795</v>
      </c>
      <c r="C634" s="83"/>
      <c r="D634" s="83"/>
      <c r="E634" s="83"/>
      <c r="F634" s="83"/>
      <c r="G634" s="83"/>
      <c r="H634" s="83"/>
      <c r="I634" s="83"/>
      <c r="J634" s="83"/>
      <c r="K634" s="83"/>
      <c r="L634" s="83"/>
    </row>
    <row r="635" spans="2:12" x14ac:dyDescent="0.25">
      <c r="B635" s="82">
        <v>25895</v>
      </c>
      <c r="C635" s="82"/>
      <c r="D635" s="82"/>
      <c r="E635" s="82"/>
      <c r="F635" s="82"/>
      <c r="G635" s="82"/>
      <c r="H635" s="82"/>
      <c r="I635" s="82"/>
      <c r="J635" s="82"/>
      <c r="K635" s="82"/>
      <c r="L635" s="82"/>
    </row>
    <row r="636" spans="2:12" x14ac:dyDescent="0.25">
      <c r="B636" s="83">
        <v>25995</v>
      </c>
      <c r="C636" s="83"/>
      <c r="D636" s="83"/>
      <c r="E636" s="83"/>
      <c r="F636" s="83"/>
      <c r="G636" s="83"/>
      <c r="H636" s="83"/>
      <c r="I636" s="83"/>
      <c r="J636" s="83"/>
      <c r="K636" s="83"/>
      <c r="L636" s="83"/>
    </row>
    <row r="637" spans="2:12" x14ac:dyDescent="0.25">
      <c r="B637" s="82">
        <v>26095</v>
      </c>
      <c r="C637" s="82"/>
      <c r="D637" s="82"/>
      <c r="E637" s="82"/>
      <c r="F637" s="82"/>
      <c r="G637" s="82"/>
      <c r="H637" s="82"/>
      <c r="I637" s="82"/>
      <c r="J637" s="82"/>
      <c r="K637" s="82"/>
      <c r="L637" s="82"/>
    </row>
    <row r="638" spans="2:12" x14ac:dyDescent="0.25">
      <c r="B638" s="83">
        <v>26195</v>
      </c>
      <c r="C638" s="83"/>
      <c r="D638" s="83"/>
      <c r="E638" s="83"/>
      <c r="F638" s="83"/>
      <c r="G638" s="83"/>
      <c r="H638" s="83"/>
      <c r="I638" s="83"/>
      <c r="J638" s="83"/>
      <c r="K638" s="83"/>
      <c r="L638" s="83"/>
    </row>
    <row r="639" spans="2:12" x14ac:dyDescent="0.25">
      <c r="B639" s="82">
        <v>26295</v>
      </c>
      <c r="C639" s="82"/>
      <c r="D639" s="82"/>
      <c r="E639" s="82"/>
      <c r="F639" s="82"/>
      <c r="G639" s="82"/>
      <c r="H639" s="82"/>
      <c r="I639" s="82"/>
      <c r="J639" s="82"/>
      <c r="K639" s="82"/>
      <c r="L639" s="82"/>
    </row>
    <row r="640" spans="2:12" x14ac:dyDescent="0.25">
      <c r="B640" s="83">
        <v>26395</v>
      </c>
      <c r="C640" s="83"/>
      <c r="D640" s="83"/>
      <c r="E640" s="83"/>
      <c r="F640" s="83"/>
      <c r="G640" s="83"/>
      <c r="H640" s="83"/>
      <c r="I640" s="83"/>
      <c r="J640" s="83"/>
      <c r="K640" s="83"/>
      <c r="L640" s="83"/>
    </row>
    <row r="641" spans="2:12" x14ac:dyDescent="0.25">
      <c r="B641" s="82">
        <v>26495</v>
      </c>
      <c r="C641" s="82"/>
      <c r="D641" s="82"/>
      <c r="E641" s="82"/>
      <c r="F641" s="82"/>
      <c r="G641" s="82"/>
      <c r="H641" s="82"/>
      <c r="I641" s="82"/>
      <c r="J641" s="82"/>
      <c r="K641" s="82"/>
      <c r="L641" s="82"/>
    </row>
    <row r="642" spans="2:12" x14ac:dyDescent="0.25">
      <c r="B642" s="83">
        <v>26595</v>
      </c>
      <c r="C642" s="83"/>
      <c r="D642" s="83"/>
      <c r="E642" s="83"/>
      <c r="F642" s="83"/>
      <c r="G642" s="83"/>
      <c r="H642" s="83"/>
      <c r="I642" s="83"/>
      <c r="J642" s="83"/>
      <c r="K642" s="83"/>
      <c r="L642" s="83"/>
    </row>
    <row r="643" spans="2:12" x14ac:dyDescent="0.25">
      <c r="B643" s="82">
        <v>26695</v>
      </c>
      <c r="C643" s="82"/>
      <c r="D643" s="82"/>
      <c r="E643" s="82"/>
      <c r="F643" s="82"/>
      <c r="G643" s="82"/>
      <c r="H643" s="82"/>
      <c r="I643" s="82"/>
      <c r="J643" s="82"/>
      <c r="K643" s="82"/>
      <c r="L643" s="82"/>
    </row>
    <row r="644" spans="2:12" x14ac:dyDescent="0.25">
      <c r="B644" s="83">
        <v>26795</v>
      </c>
      <c r="C644" s="83"/>
      <c r="D644" s="83"/>
      <c r="E644" s="83"/>
      <c r="F644" s="83"/>
      <c r="G644" s="83"/>
      <c r="H644" s="83"/>
      <c r="I644" s="83"/>
      <c r="J644" s="83"/>
      <c r="K644" s="83"/>
      <c r="L644" s="83"/>
    </row>
    <row r="645" spans="2:12" x14ac:dyDescent="0.25">
      <c r="B645" s="82">
        <v>26895</v>
      </c>
      <c r="C645" s="82"/>
      <c r="D645" s="82"/>
      <c r="E645" s="82"/>
      <c r="F645" s="82"/>
      <c r="G645" s="82"/>
      <c r="H645" s="82"/>
      <c r="I645" s="82"/>
      <c r="J645" s="82"/>
      <c r="K645" s="82"/>
      <c r="L645" s="82"/>
    </row>
    <row r="646" spans="2:12" x14ac:dyDescent="0.25">
      <c r="B646" s="83">
        <v>26995</v>
      </c>
      <c r="C646" s="83"/>
      <c r="D646" s="83"/>
      <c r="E646" s="83"/>
      <c r="F646" s="83"/>
      <c r="G646" s="83"/>
      <c r="H646" s="83"/>
      <c r="I646" s="83"/>
      <c r="J646" s="83"/>
      <c r="K646" s="83"/>
      <c r="L646" s="83"/>
    </row>
    <row r="647" spans="2:12" x14ac:dyDescent="0.25">
      <c r="B647" s="82">
        <v>27095</v>
      </c>
      <c r="C647" s="82"/>
      <c r="D647" s="82"/>
      <c r="E647" s="82"/>
      <c r="F647" s="82"/>
      <c r="G647" s="82"/>
      <c r="H647" s="82"/>
      <c r="I647" s="82"/>
      <c r="J647" s="82"/>
      <c r="K647" s="82"/>
      <c r="L647" s="82"/>
    </row>
    <row r="648" spans="2:12" x14ac:dyDescent="0.25">
      <c r="B648" s="83">
        <v>27195</v>
      </c>
      <c r="C648" s="83"/>
      <c r="D648" s="83"/>
      <c r="E648" s="83"/>
      <c r="F648" s="83"/>
      <c r="G648" s="83"/>
      <c r="H648" s="83"/>
      <c r="I648" s="83"/>
      <c r="J648" s="83"/>
      <c r="K648" s="83"/>
      <c r="L648" s="83"/>
    </row>
    <row r="649" spans="2:12" x14ac:dyDescent="0.25">
      <c r="B649" s="82">
        <v>27295</v>
      </c>
      <c r="C649" s="82"/>
      <c r="D649" s="82"/>
      <c r="E649" s="82"/>
      <c r="F649" s="82"/>
      <c r="G649" s="82"/>
      <c r="H649" s="82"/>
      <c r="I649" s="82"/>
      <c r="J649" s="82"/>
      <c r="K649" s="82"/>
      <c r="L649" s="82"/>
    </row>
    <row r="650" spans="2:12" x14ac:dyDescent="0.25">
      <c r="B650" s="83">
        <v>27395</v>
      </c>
      <c r="C650" s="83"/>
      <c r="D650" s="83"/>
      <c r="E650" s="83"/>
      <c r="F650" s="83"/>
      <c r="G650" s="83"/>
      <c r="H650" s="83"/>
      <c r="I650" s="83"/>
      <c r="J650" s="83"/>
      <c r="K650" s="83"/>
      <c r="L650" s="83"/>
    </row>
    <row r="651" spans="2:12" x14ac:dyDescent="0.25">
      <c r="B651" s="82">
        <v>27495</v>
      </c>
      <c r="C651" s="82"/>
      <c r="D651" s="82"/>
      <c r="E651" s="82"/>
      <c r="F651" s="82"/>
      <c r="G651" s="82"/>
      <c r="H651" s="82"/>
      <c r="I651" s="82"/>
      <c r="J651" s="82"/>
      <c r="K651" s="82"/>
      <c r="L651" s="82"/>
    </row>
    <row r="652" spans="2:12" x14ac:dyDescent="0.25">
      <c r="B652" s="83">
        <v>27595</v>
      </c>
      <c r="C652" s="83"/>
      <c r="D652" s="83"/>
      <c r="E652" s="83"/>
      <c r="F652" s="83"/>
      <c r="G652" s="83"/>
      <c r="H652" s="83"/>
      <c r="I652" s="83"/>
      <c r="J652" s="83"/>
      <c r="K652" s="83"/>
      <c r="L652" s="83"/>
    </row>
    <row r="653" spans="2:12" x14ac:dyDescent="0.25">
      <c r="B653" s="82">
        <v>27695</v>
      </c>
      <c r="C653" s="82"/>
      <c r="D653" s="82"/>
      <c r="E653" s="82"/>
      <c r="F653" s="82"/>
      <c r="G653" s="82"/>
      <c r="H653" s="82"/>
      <c r="I653" s="82"/>
      <c r="J653" s="82"/>
      <c r="K653" s="82"/>
      <c r="L653" s="82"/>
    </row>
    <row r="654" spans="2:12" x14ac:dyDescent="0.25">
      <c r="B654" s="83">
        <v>27795</v>
      </c>
      <c r="C654" s="83"/>
      <c r="D654" s="83"/>
      <c r="E654" s="83"/>
      <c r="F654" s="83"/>
      <c r="G654" s="83"/>
      <c r="H654" s="83"/>
      <c r="I654" s="83"/>
      <c r="J654" s="83"/>
      <c r="K654" s="83"/>
      <c r="L654" s="83"/>
    </row>
    <row r="655" spans="2:12" x14ac:dyDescent="0.25">
      <c r="B655" s="82">
        <v>27895</v>
      </c>
      <c r="C655" s="82"/>
      <c r="D655" s="82"/>
      <c r="E655" s="82"/>
      <c r="F655" s="82"/>
      <c r="G655" s="82"/>
      <c r="H655" s="82"/>
      <c r="I655" s="82"/>
      <c r="J655" s="82"/>
      <c r="K655" s="82"/>
      <c r="L655" s="82"/>
    </row>
    <row r="656" spans="2:12" x14ac:dyDescent="0.25">
      <c r="B656" s="83">
        <v>27995</v>
      </c>
      <c r="C656" s="83"/>
      <c r="D656" s="83"/>
      <c r="E656" s="83"/>
      <c r="F656" s="83"/>
      <c r="G656" s="83"/>
      <c r="H656" s="83"/>
      <c r="I656" s="83"/>
      <c r="J656" s="83"/>
      <c r="K656" s="83"/>
      <c r="L656" s="83"/>
    </row>
    <row r="657" spans="2:12" x14ac:dyDescent="0.25">
      <c r="B657" s="82">
        <v>28095</v>
      </c>
      <c r="C657" s="82"/>
      <c r="D657" s="82"/>
      <c r="E657" s="82"/>
      <c r="F657" s="82"/>
      <c r="G657" s="82"/>
      <c r="H657" s="82"/>
      <c r="I657" s="82"/>
      <c r="J657" s="82"/>
      <c r="K657" s="82"/>
      <c r="L657" s="82"/>
    </row>
    <row r="658" spans="2:12" x14ac:dyDescent="0.25">
      <c r="B658" s="83">
        <v>28195</v>
      </c>
      <c r="C658" s="83"/>
      <c r="D658" s="83"/>
      <c r="E658" s="83"/>
      <c r="F658" s="83"/>
      <c r="G658" s="83"/>
      <c r="H658" s="83"/>
      <c r="I658" s="83"/>
      <c r="J658" s="83"/>
      <c r="K658" s="83"/>
      <c r="L658" s="83"/>
    </row>
    <row r="659" spans="2:12" x14ac:dyDescent="0.25">
      <c r="B659" s="82">
        <v>28295</v>
      </c>
      <c r="C659" s="82"/>
      <c r="D659" s="82"/>
      <c r="E659" s="82"/>
      <c r="F659" s="82"/>
      <c r="G659" s="82"/>
      <c r="H659" s="82"/>
      <c r="I659" s="82"/>
      <c r="J659" s="82"/>
      <c r="K659" s="82"/>
      <c r="L659" s="82"/>
    </row>
    <row r="660" spans="2:12" x14ac:dyDescent="0.25">
      <c r="B660" s="83">
        <v>28395</v>
      </c>
      <c r="C660" s="83"/>
      <c r="D660" s="83"/>
      <c r="E660" s="83"/>
      <c r="F660" s="83"/>
      <c r="G660" s="83"/>
      <c r="H660" s="83"/>
      <c r="I660" s="83"/>
      <c r="J660" s="83"/>
      <c r="K660" s="83"/>
      <c r="L660" s="83"/>
    </row>
    <row r="661" spans="2:12" x14ac:dyDescent="0.25">
      <c r="B661" s="82">
        <v>28495</v>
      </c>
      <c r="C661" s="82"/>
      <c r="D661" s="82"/>
      <c r="E661" s="82"/>
      <c r="F661" s="82"/>
      <c r="G661" s="82"/>
      <c r="H661" s="82"/>
      <c r="I661" s="82"/>
      <c r="J661" s="82"/>
      <c r="K661" s="82"/>
      <c r="L661" s="82"/>
    </row>
    <row r="662" spans="2:12" x14ac:dyDescent="0.25">
      <c r="B662" s="83">
        <v>28595</v>
      </c>
      <c r="C662" s="83"/>
      <c r="D662" s="83"/>
      <c r="E662" s="83"/>
      <c r="F662" s="83"/>
      <c r="G662" s="83"/>
      <c r="H662" s="83"/>
      <c r="I662" s="83"/>
      <c r="J662" s="83"/>
      <c r="K662" s="83"/>
      <c r="L662" s="83"/>
    </row>
    <row r="663" spans="2:12" x14ac:dyDescent="0.25">
      <c r="B663" s="82">
        <v>28695</v>
      </c>
      <c r="C663" s="82"/>
      <c r="D663" s="82"/>
      <c r="E663" s="82"/>
      <c r="F663" s="82"/>
      <c r="G663" s="82"/>
      <c r="H663" s="82"/>
      <c r="I663" s="82"/>
      <c r="J663" s="82"/>
      <c r="K663" s="82"/>
      <c r="L663" s="82"/>
    </row>
    <row r="664" spans="2:12" x14ac:dyDescent="0.25">
      <c r="B664" s="83">
        <v>28795</v>
      </c>
      <c r="C664" s="83"/>
      <c r="D664" s="83"/>
      <c r="E664" s="83"/>
      <c r="F664" s="83"/>
      <c r="G664" s="83"/>
      <c r="H664" s="83"/>
      <c r="I664" s="83"/>
      <c r="J664" s="83"/>
      <c r="K664" s="83"/>
      <c r="L664" s="83"/>
    </row>
    <row r="665" spans="2:12" x14ac:dyDescent="0.25">
      <c r="B665" s="82">
        <v>28895</v>
      </c>
      <c r="C665" s="82"/>
      <c r="D665" s="82"/>
      <c r="E665" s="82"/>
      <c r="F665" s="82"/>
      <c r="G665" s="82"/>
      <c r="H665" s="82"/>
      <c r="I665" s="82"/>
      <c r="J665" s="82"/>
      <c r="K665" s="82"/>
      <c r="L665" s="82"/>
    </row>
    <row r="666" spans="2:12" x14ac:dyDescent="0.25">
      <c r="B666" s="83">
        <v>28995</v>
      </c>
      <c r="C666" s="83"/>
      <c r="D666" s="83"/>
      <c r="E666" s="83"/>
      <c r="F666" s="83"/>
      <c r="G666" s="83"/>
      <c r="H666" s="83"/>
      <c r="I666" s="83"/>
      <c r="J666" s="83"/>
      <c r="K666" s="83"/>
      <c r="L666" s="83"/>
    </row>
    <row r="667" spans="2:12" x14ac:dyDescent="0.25">
      <c r="B667" s="82">
        <v>29095</v>
      </c>
      <c r="C667" s="82"/>
      <c r="D667" s="82"/>
      <c r="E667" s="82"/>
      <c r="F667" s="82"/>
      <c r="G667" s="82"/>
      <c r="H667" s="82"/>
      <c r="I667" s="82"/>
      <c r="J667" s="82"/>
      <c r="K667" s="82"/>
      <c r="L667" s="82"/>
    </row>
    <row r="668" spans="2:12" x14ac:dyDescent="0.25">
      <c r="B668" s="83">
        <v>29195</v>
      </c>
      <c r="C668" s="83"/>
      <c r="D668" s="83"/>
      <c r="E668" s="83"/>
      <c r="F668" s="83"/>
      <c r="G668" s="83"/>
      <c r="H668" s="83"/>
      <c r="I668" s="83"/>
      <c r="J668" s="83"/>
      <c r="K668" s="83"/>
      <c r="L668" s="83"/>
    </row>
    <row r="669" spans="2:12" x14ac:dyDescent="0.25">
      <c r="B669" s="82">
        <v>29295</v>
      </c>
      <c r="C669" s="82"/>
      <c r="D669" s="82"/>
      <c r="E669" s="82"/>
      <c r="F669" s="82"/>
      <c r="G669" s="82"/>
      <c r="H669" s="82"/>
      <c r="I669" s="82"/>
      <c r="J669" s="82"/>
      <c r="K669" s="82"/>
      <c r="L669" s="82"/>
    </row>
    <row r="670" spans="2:12" x14ac:dyDescent="0.25">
      <c r="B670" s="83">
        <v>29395</v>
      </c>
      <c r="C670" s="83"/>
      <c r="D670" s="83"/>
      <c r="E670" s="83"/>
      <c r="F670" s="83"/>
      <c r="G670" s="83"/>
      <c r="H670" s="83"/>
      <c r="I670" s="83"/>
      <c r="J670" s="83"/>
      <c r="K670" s="83"/>
      <c r="L670" s="83"/>
    </row>
    <row r="671" spans="2:12" x14ac:dyDescent="0.25">
      <c r="B671" s="82">
        <v>29495</v>
      </c>
      <c r="C671" s="82"/>
      <c r="D671" s="82"/>
      <c r="E671" s="82"/>
      <c r="F671" s="82"/>
      <c r="G671" s="82"/>
      <c r="H671" s="82"/>
      <c r="I671" s="82"/>
      <c r="J671" s="82"/>
      <c r="K671" s="82"/>
      <c r="L671" s="82"/>
    </row>
    <row r="672" spans="2:12" x14ac:dyDescent="0.25">
      <c r="B672" s="83">
        <v>29595</v>
      </c>
      <c r="C672" s="83"/>
      <c r="D672" s="83"/>
      <c r="E672" s="83"/>
      <c r="F672" s="83"/>
      <c r="G672" s="83"/>
      <c r="H672" s="83"/>
      <c r="I672" s="83"/>
      <c r="J672" s="83"/>
      <c r="K672" s="83"/>
      <c r="L672" s="83"/>
    </row>
    <row r="673" spans="2:12" x14ac:dyDescent="0.25">
      <c r="B673" s="82">
        <v>29695</v>
      </c>
      <c r="C673" s="82"/>
      <c r="D673" s="82"/>
      <c r="E673" s="82"/>
      <c r="F673" s="82"/>
      <c r="G673" s="82"/>
      <c r="H673" s="82"/>
      <c r="I673" s="82"/>
      <c r="J673" s="82"/>
      <c r="K673" s="82"/>
      <c r="L673" s="82"/>
    </row>
    <row r="674" spans="2:12" x14ac:dyDescent="0.25">
      <c r="B674" s="83">
        <v>29795</v>
      </c>
      <c r="C674" s="83"/>
      <c r="D674" s="83"/>
      <c r="E674" s="83"/>
      <c r="F674" s="83"/>
      <c r="G674" s="83"/>
      <c r="H674" s="83"/>
      <c r="I674" s="83"/>
      <c r="J674" s="83"/>
      <c r="K674" s="83"/>
      <c r="L674" s="83"/>
    </row>
    <row r="675" spans="2:12" x14ac:dyDescent="0.25">
      <c r="B675" s="82">
        <v>29895</v>
      </c>
      <c r="C675" s="82"/>
      <c r="D675" s="82"/>
      <c r="E675" s="82"/>
      <c r="F675" s="82"/>
      <c r="G675" s="82"/>
      <c r="H675" s="82"/>
      <c r="I675" s="82"/>
      <c r="J675" s="82"/>
      <c r="K675" s="82"/>
      <c r="L675" s="82"/>
    </row>
    <row r="676" spans="2:12" x14ac:dyDescent="0.25">
      <c r="B676" s="83">
        <v>29995</v>
      </c>
      <c r="C676" s="83"/>
      <c r="D676" s="83"/>
      <c r="E676" s="83"/>
      <c r="F676" s="83"/>
      <c r="G676" s="83"/>
      <c r="H676" s="83"/>
      <c r="I676" s="83"/>
      <c r="J676" s="83"/>
      <c r="K676" s="83"/>
      <c r="L676" s="83"/>
    </row>
    <row r="677" spans="2:12" x14ac:dyDescent="0.25">
      <c r="B677" s="82">
        <v>30095</v>
      </c>
      <c r="C677" s="82"/>
      <c r="D677" s="82"/>
      <c r="E677" s="82"/>
      <c r="F677" s="82"/>
      <c r="G677" s="82"/>
      <c r="H677" s="82"/>
      <c r="I677" s="82"/>
      <c r="J677" s="82"/>
      <c r="K677" s="82"/>
      <c r="L677" s="82"/>
    </row>
    <row r="678" spans="2:12" x14ac:dyDescent="0.25">
      <c r="B678" s="83">
        <v>30195</v>
      </c>
      <c r="C678" s="83"/>
      <c r="D678" s="83"/>
      <c r="E678" s="83"/>
      <c r="F678" s="83"/>
      <c r="G678" s="83"/>
      <c r="H678" s="83"/>
      <c r="I678" s="83"/>
      <c r="J678" s="83"/>
      <c r="K678" s="83"/>
      <c r="L678" s="83"/>
    </row>
    <row r="679" spans="2:12" x14ac:dyDescent="0.25">
      <c r="B679" s="82">
        <v>30295</v>
      </c>
      <c r="C679" s="82"/>
      <c r="D679" s="82"/>
      <c r="E679" s="82"/>
      <c r="F679" s="82"/>
      <c r="G679" s="82"/>
      <c r="H679" s="82"/>
      <c r="I679" s="82"/>
      <c r="J679" s="82"/>
      <c r="K679" s="82"/>
      <c r="L679" s="82"/>
    </row>
    <row r="680" spans="2:12" x14ac:dyDescent="0.25">
      <c r="B680" s="83">
        <v>30395</v>
      </c>
      <c r="C680" s="83"/>
      <c r="D680" s="83"/>
      <c r="E680" s="83"/>
      <c r="F680" s="83"/>
      <c r="G680" s="83"/>
      <c r="H680" s="83"/>
      <c r="I680" s="83"/>
      <c r="J680" s="83"/>
      <c r="K680" s="83"/>
      <c r="L680" s="83"/>
    </row>
    <row r="681" spans="2:12" x14ac:dyDescent="0.25">
      <c r="B681" s="82">
        <v>30495</v>
      </c>
      <c r="C681" s="82"/>
      <c r="D681" s="82"/>
      <c r="E681" s="82"/>
      <c r="F681" s="82"/>
      <c r="G681" s="82"/>
      <c r="H681" s="82"/>
      <c r="I681" s="82"/>
      <c r="J681" s="82"/>
      <c r="K681" s="82"/>
      <c r="L681" s="82"/>
    </row>
    <row r="682" spans="2:12" x14ac:dyDescent="0.25">
      <c r="B682" s="83">
        <v>30595</v>
      </c>
      <c r="C682" s="83"/>
      <c r="D682" s="83"/>
      <c r="E682" s="83"/>
      <c r="F682" s="83"/>
      <c r="G682" s="83"/>
      <c r="H682" s="83"/>
      <c r="I682" s="83"/>
      <c r="J682" s="83"/>
      <c r="K682" s="83"/>
      <c r="L682" s="83"/>
    </row>
    <row r="683" spans="2:12" x14ac:dyDescent="0.25">
      <c r="B683" s="82">
        <v>30695</v>
      </c>
      <c r="C683" s="82"/>
      <c r="D683" s="82"/>
      <c r="E683" s="82"/>
      <c r="F683" s="82"/>
      <c r="G683" s="82"/>
      <c r="H683" s="82"/>
      <c r="I683" s="82"/>
      <c r="J683" s="82"/>
      <c r="K683" s="82"/>
      <c r="L683" s="82"/>
    </row>
    <row r="684" spans="2:12" x14ac:dyDescent="0.25">
      <c r="B684" s="83">
        <v>30795</v>
      </c>
      <c r="C684" s="83"/>
      <c r="D684" s="83"/>
      <c r="E684" s="83"/>
      <c r="F684" s="83"/>
      <c r="G684" s="83"/>
      <c r="H684" s="83"/>
      <c r="I684" s="83"/>
      <c r="J684" s="83"/>
      <c r="K684" s="83"/>
      <c r="L684" s="83"/>
    </row>
    <row r="685" spans="2:12" x14ac:dyDescent="0.25">
      <c r="B685" s="82">
        <v>30895</v>
      </c>
      <c r="C685" s="82"/>
      <c r="D685" s="82"/>
      <c r="E685" s="82"/>
      <c r="F685" s="82"/>
      <c r="G685" s="82"/>
      <c r="H685" s="82"/>
      <c r="I685" s="82"/>
      <c r="J685" s="82"/>
      <c r="K685" s="82"/>
      <c r="L685" s="82"/>
    </row>
    <row r="686" spans="2:12" x14ac:dyDescent="0.25">
      <c r="B686" s="83">
        <v>30995</v>
      </c>
      <c r="C686" s="83"/>
      <c r="D686" s="83"/>
      <c r="E686" s="83"/>
      <c r="F686" s="83"/>
      <c r="G686" s="83"/>
      <c r="H686" s="83"/>
      <c r="I686" s="83"/>
      <c r="J686" s="83"/>
      <c r="K686" s="83"/>
      <c r="L686" s="83"/>
    </row>
    <row r="687" spans="2:12" x14ac:dyDescent="0.25">
      <c r="B687" s="82">
        <v>31095</v>
      </c>
      <c r="C687" s="82"/>
      <c r="D687" s="82"/>
      <c r="E687" s="82"/>
      <c r="F687" s="82"/>
      <c r="G687" s="82"/>
      <c r="H687" s="82"/>
      <c r="I687" s="82"/>
      <c r="J687" s="82"/>
      <c r="K687" s="82"/>
      <c r="L687" s="82"/>
    </row>
    <row r="688" spans="2:12" x14ac:dyDescent="0.25">
      <c r="B688" s="83">
        <v>31195</v>
      </c>
      <c r="C688" s="83"/>
      <c r="D688" s="83"/>
      <c r="E688" s="83"/>
      <c r="F688" s="83"/>
      <c r="G688" s="83"/>
      <c r="H688" s="83"/>
      <c r="I688" s="83"/>
      <c r="J688" s="83"/>
      <c r="K688" s="83"/>
      <c r="L688" s="83"/>
    </row>
    <row r="689" spans="2:12" x14ac:dyDescent="0.25">
      <c r="B689" s="82">
        <v>31295</v>
      </c>
      <c r="C689" s="82"/>
      <c r="D689" s="82"/>
      <c r="E689" s="82"/>
      <c r="F689" s="82"/>
      <c r="G689" s="82"/>
      <c r="H689" s="82"/>
      <c r="I689" s="82"/>
      <c r="J689" s="82"/>
      <c r="K689" s="82"/>
      <c r="L689" s="82"/>
    </row>
    <row r="690" spans="2:12" x14ac:dyDescent="0.25">
      <c r="B690" s="83">
        <v>31395</v>
      </c>
      <c r="C690" s="83"/>
      <c r="D690" s="83"/>
      <c r="E690" s="83"/>
      <c r="F690" s="83"/>
      <c r="G690" s="83"/>
      <c r="H690" s="83"/>
      <c r="I690" s="83"/>
      <c r="J690" s="83"/>
      <c r="K690" s="83"/>
      <c r="L690" s="83"/>
    </row>
    <row r="691" spans="2:12" x14ac:dyDescent="0.25">
      <c r="B691" s="82">
        <v>31495</v>
      </c>
      <c r="C691" s="82"/>
      <c r="D691" s="82"/>
      <c r="E691" s="82"/>
      <c r="F691" s="82"/>
      <c r="G691" s="82"/>
      <c r="H691" s="82"/>
      <c r="I691" s="82"/>
      <c r="J691" s="82"/>
      <c r="K691" s="82"/>
      <c r="L691" s="82"/>
    </row>
    <row r="692" spans="2:12" x14ac:dyDescent="0.25">
      <c r="B692" s="83">
        <v>31595</v>
      </c>
      <c r="C692" s="83"/>
      <c r="D692" s="83"/>
      <c r="E692" s="83"/>
      <c r="F692" s="83"/>
      <c r="G692" s="83"/>
      <c r="H692" s="83"/>
      <c r="I692" s="83"/>
      <c r="J692" s="83"/>
      <c r="K692" s="83"/>
      <c r="L692" s="83"/>
    </row>
    <row r="693" spans="2:12" x14ac:dyDescent="0.25">
      <c r="B693" s="82">
        <v>31695</v>
      </c>
      <c r="C693" s="82"/>
      <c r="D693" s="82"/>
      <c r="E693" s="82"/>
      <c r="F693" s="82"/>
      <c r="G693" s="82"/>
      <c r="H693" s="82"/>
      <c r="I693" s="82"/>
      <c r="J693" s="82"/>
      <c r="K693" s="82"/>
      <c r="L693" s="82"/>
    </row>
    <row r="694" spans="2:12" x14ac:dyDescent="0.25">
      <c r="B694" s="83">
        <v>31795</v>
      </c>
      <c r="C694" s="83"/>
      <c r="D694" s="83"/>
      <c r="E694" s="83"/>
      <c r="F694" s="83"/>
      <c r="G694" s="83"/>
      <c r="H694" s="83"/>
      <c r="I694" s="83"/>
      <c r="J694" s="83"/>
      <c r="K694" s="83"/>
      <c r="L694" s="83"/>
    </row>
    <row r="695" spans="2:12" x14ac:dyDescent="0.25">
      <c r="B695" s="82">
        <v>31895</v>
      </c>
      <c r="C695" s="82"/>
      <c r="D695" s="82"/>
      <c r="E695" s="82"/>
      <c r="F695" s="82"/>
      <c r="G695" s="82"/>
      <c r="H695" s="82"/>
      <c r="I695" s="82"/>
      <c r="J695" s="82"/>
      <c r="K695" s="82"/>
      <c r="L695" s="82"/>
    </row>
    <row r="696" spans="2:12" x14ac:dyDescent="0.25">
      <c r="B696" s="83">
        <v>31995</v>
      </c>
      <c r="C696" s="83"/>
      <c r="D696" s="83"/>
      <c r="E696" s="83"/>
      <c r="F696" s="83"/>
      <c r="G696" s="83"/>
      <c r="H696" s="83"/>
      <c r="I696" s="83"/>
      <c r="J696" s="83"/>
      <c r="K696" s="83"/>
      <c r="L696" s="83"/>
    </row>
    <row r="697" spans="2:12" x14ac:dyDescent="0.25">
      <c r="B697" s="82">
        <v>32095</v>
      </c>
      <c r="C697" s="82"/>
      <c r="D697" s="82"/>
      <c r="E697" s="82"/>
      <c r="F697" s="82"/>
      <c r="G697" s="82"/>
      <c r="H697" s="82"/>
      <c r="I697" s="82"/>
      <c r="J697" s="82"/>
      <c r="K697" s="82"/>
      <c r="L697" s="82"/>
    </row>
    <row r="698" spans="2:12" x14ac:dyDescent="0.25">
      <c r="B698" s="83">
        <v>32195</v>
      </c>
      <c r="C698" s="83"/>
      <c r="D698" s="83"/>
      <c r="E698" s="83"/>
      <c r="F698" s="83"/>
      <c r="G698" s="83"/>
      <c r="H698" s="83"/>
      <c r="I698" s="83"/>
      <c r="J698" s="83"/>
      <c r="K698" s="83"/>
      <c r="L698" s="83"/>
    </row>
    <row r="699" spans="2:12" x14ac:dyDescent="0.25">
      <c r="B699" s="82">
        <v>32295</v>
      </c>
      <c r="C699" s="82"/>
      <c r="D699" s="82"/>
      <c r="E699" s="82"/>
      <c r="F699" s="82"/>
      <c r="G699" s="82"/>
      <c r="H699" s="82"/>
      <c r="I699" s="82"/>
      <c r="J699" s="82"/>
      <c r="K699" s="82"/>
      <c r="L699" s="82"/>
    </row>
    <row r="700" spans="2:12" x14ac:dyDescent="0.25">
      <c r="B700" s="83">
        <v>32395</v>
      </c>
      <c r="C700" s="83"/>
      <c r="D700" s="83"/>
      <c r="E700" s="83"/>
      <c r="F700" s="83"/>
      <c r="G700" s="83"/>
      <c r="H700" s="83"/>
      <c r="I700" s="83"/>
      <c r="J700" s="83"/>
      <c r="K700" s="83"/>
      <c r="L700" s="83"/>
    </row>
    <row r="701" spans="2:12" x14ac:dyDescent="0.25">
      <c r="B701" s="82">
        <v>32495</v>
      </c>
      <c r="C701" s="82"/>
      <c r="D701" s="82"/>
      <c r="E701" s="82"/>
      <c r="F701" s="82"/>
      <c r="G701" s="82"/>
      <c r="H701" s="82"/>
      <c r="I701" s="82"/>
      <c r="J701" s="82"/>
      <c r="K701" s="82"/>
      <c r="L701" s="82"/>
    </row>
    <row r="702" spans="2:12" x14ac:dyDescent="0.25">
      <c r="B702" s="83">
        <v>32595</v>
      </c>
      <c r="C702" s="83"/>
      <c r="D702" s="83"/>
      <c r="E702" s="83"/>
      <c r="F702" s="83"/>
      <c r="G702" s="83"/>
      <c r="H702" s="83"/>
      <c r="I702" s="83"/>
      <c r="J702" s="83"/>
      <c r="K702" s="83"/>
      <c r="L702" s="83"/>
    </row>
    <row r="703" spans="2:12" x14ac:dyDescent="0.25">
      <c r="B703" s="82">
        <v>32695</v>
      </c>
      <c r="C703" s="82"/>
      <c r="D703" s="82"/>
      <c r="E703" s="82"/>
      <c r="F703" s="82"/>
      <c r="G703" s="82"/>
      <c r="H703" s="82"/>
      <c r="I703" s="82"/>
      <c r="J703" s="82"/>
      <c r="K703" s="82"/>
      <c r="L703" s="82"/>
    </row>
    <row r="704" spans="2:12" x14ac:dyDescent="0.25">
      <c r="B704" s="83">
        <v>32795</v>
      </c>
      <c r="C704" s="83"/>
      <c r="D704" s="83"/>
      <c r="E704" s="83"/>
      <c r="F704" s="83"/>
      <c r="G704" s="83"/>
      <c r="H704" s="83"/>
      <c r="I704" s="83"/>
      <c r="J704" s="83"/>
      <c r="K704" s="83"/>
      <c r="L704" s="83"/>
    </row>
    <row r="705" spans="2:12" x14ac:dyDescent="0.25">
      <c r="B705" s="82">
        <v>32895</v>
      </c>
      <c r="C705" s="82"/>
      <c r="D705" s="82"/>
      <c r="E705" s="82"/>
      <c r="F705" s="82"/>
      <c r="G705" s="82"/>
      <c r="H705" s="82"/>
      <c r="I705" s="82"/>
      <c r="J705" s="82"/>
      <c r="K705" s="82"/>
      <c r="L705" s="82"/>
    </row>
    <row r="706" spans="2:12" x14ac:dyDescent="0.25">
      <c r="B706" s="83">
        <v>32995</v>
      </c>
      <c r="C706" s="83"/>
      <c r="D706" s="83"/>
      <c r="E706" s="83"/>
      <c r="F706" s="83"/>
      <c r="G706" s="83"/>
      <c r="H706" s="83"/>
      <c r="I706" s="83"/>
      <c r="J706" s="83"/>
      <c r="K706" s="83"/>
      <c r="L706" s="83"/>
    </row>
    <row r="707" spans="2:12" x14ac:dyDescent="0.25">
      <c r="B707" s="82">
        <v>33095</v>
      </c>
      <c r="C707" s="82"/>
      <c r="D707" s="82"/>
      <c r="E707" s="82"/>
      <c r="F707" s="82"/>
      <c r="G707" s="82"/>
      <c r="H707" s="82"/>
      <c r="I707" s="82"/>
      <c r="J707" s="82"/>
      <c r="K707" s="82"/>
      <c r="L707" s="82"/>
    </row>
    <row r="708" spans="2:12" x14ac:dyDescent="0.25">
      <c r="B708" s="83">
        <v>33195</v>
      </c>
      <c r="C708" s="83"/>
      <c r="D708" s="83"/>
      <c r="E708" s="83"/>
      <c r="F708" s="83"/>
      <c r="G708" s="83"/>
      <c r="H708" s="83"/>
      <c r="I708" s="83"/>
      <c r="J708" s="83"/>
      <c r="K708" s="83"/>
      <c r="L708" s="83"/>
    </row>
    <row r="709" spans="2:12" x14ac:dyDescent="0.25">
      <c r="B709" s="82">
        <v>33295</v>
      </c>
      <c r="C709" s="82"/>
      <c r="D709" s="82"/>
      <c r="E709" s="82"/>
      <c r="F709" s="82"/>
      <c r="G709" s="82"/>
      <c r="H709" s="82"/>
      <c r="I709" s="82"/>
      <c r="J709" s="82"/>
      <c r="K709" s="82"/>
      <c r="L709" s="82"/>
    </row>
    <row r="710" spans="2:12" x14ac:dyDescent="0.25">
      <c r="B710" s="83">
        <v>33395</v>
      </c>
      <c r="C710" s="83"/>
      <c r="D710" s="83"/>
      <c r="E710" s="83"/>
      <c r="F710" s="83"/>
      <c r="G710" s="83"/>
      <c r="H710" s="83"/>
      <c r="I710" s="83"/>
      <c r="J710" s="83"/>
      <c r="K710" s="83"/>
      <c r="L710" s="83"/>
    </row>
    <row r="711" spans="2:12" x14ac:dyDescent="0.25">
      <c r="B711" s="82">
        <v>33495</v>
      </c>
      <c r="C711" s="82"/>
      <c r="D711" s="82"/>
      <c r="E711" s="82"/>
      <c r="F711" s="82"/>
      <c r="G711" s="82"/>
      <c r="H711" s="82"/>
      <c r="I711" s="82"/>
      <c r="J711" s="82"/>
      <c r="K711" s="82"/>
      <c r="L711" s="82"/>
    </row>
    <row r="712" spans="2:12" x14ac:dyDescent="0.25">
      <c r="B712" s="83">
        <v>33595</v>
      </c>
      <c r="C712" s="83"/>
      <c r="D712" s="83"/>
      <c r="E712" s="83"/>
      <c r="F712" s="83"/>
      <c r="G712" s="83"/>
      <c r="H712" s="83"/>
      <c r="I712" s="83"/>
      <c r="J712" s="83"/>
      <c r="K712" s="83"/>
      <c r="L712" s="83"/>
    </row>
    <row r="713" spans="2:12" x14ac:dyDescent="0.25">
      <c r="B713" s="82">
        <v>33695</v>
      </c>
      <c r="C713" s="82"/>
      <c r="D713" s="82"/>
      <c r="E713" s="82"/>
      <c r="F713" s="82"/>
      <c r="G713" s="82"/>
      <c r="H713" s="82"/>
      <c r="I713" s="82"/>
      <c r="J713" s="82"/>
      <c r="K713" s="82"/>
      <c r="L713" s="82"/>
    </row>
    <row r="714" spans="2:12" x14ac:dyDescent="0.25">
      <c r="B714" s="83">
        <v>33795</v>
      </c>
      <c r="C714" s="83"/>
      <c r="D714" s="83"/>
      <c r="E714" s="83"/>
      <c r="F714" s="83"/>
      <c r="G714" s="83"/>
      <c r="H714" s="83"/>
      <c r="I714" s="83"/>
      <c r="J714" s="83"/>
      <c r="K714" s="83"/>
      <c r="L714" s="83"/>
    </row>
    <row r="715" spans="2:12" x14ac:dyDescent="0.25">
      <c r="B715" s="82">
        <v>33895</v>
      </c>
      <c r="C715" s="82"/>
      <c r="D715" s="82"/>
      <c r="E715" s="82"/>
      <c r="F715" s="82"/>
      <c r="G715" s="82"/>
      <c r="H715" s="82"/>
      <c r="I715" s="82"/>
      <c r="J715" s="82"/>
      <c r="K715" s="82"/>
      <c r="L715" s="82"/>
    </row>
    <row r="716" spans="2:12" x14ac:dyDescent="0.25">
      <c r="B716" s="83">
        <v>33995</v>
      </c>
      <c r="C716" s="83"/>
      <c r="D716" s="83"/>
      <c r="E716" s="83"/>
      <c r="F716" s="83"/>
      <c r="G716" s="83"/>
      <c r="H716" s="83"/>
      <c r="I716" s="83"/>
      <c r="J716" s="83"/>
      <c r="K716" s="83"/>
      <c r="L716" s="83"/>
    </row>
    <row r="717" spans="2:12" x14ac:dyDescent="0.25">
      <c r="B717" s="82">
        <v>34095</v>
      </c>
      <c r="C717" s="82"/>
      <c r="D717" s="82"/>
      <c r="E717" s="82"/>
      <c r="F717" s="82"/>
      <c r="G717" s="82"/>
      <c r="H717" s="82"/>
      <c r="I717" s="82"/>
      <c r="J717" s="82"/>
      <c r="K717" s="82"/>
      <c r="L717" s="82"/>
    </row>
    <row r="718" spans="2:12" x14ac:dyDescent="0.25">
      <c r="B718" s="83">
        <v>34195</v>
      </c>
      <c r="C718" s="83"/>
      <c r="D718" s="83"/>
      <c r="E718" s="83"/>
      <c r="F718" s="83"/>
      <c r="G718" s="83"/>
      <c r="H718" s="83"/>
      <c r="I718" s="83"/>
      <c r="J718" s="83"/>
      <c r="K718" s="83"/>
      <c r="L718" s="83"/>
    </row>
    <row r="719" spans="2:12" x14ac:dyDescent="0.25">
      <c r="B719" s="82">
        <v>34295</v>
      </c>
      <c r="C719" s="82"/>
      <c r="D719" s="82"/>
      <c r="E719" s="82"/>
      <c r="F719" s="82"/>
      <c r="G719" s="82"/>
      <c r="H719" s="82"/>
      <c r="I719" s="82"/>
      <c r="J719" s="82"/>
      <c r="K719" s="82"/>
      <c r="L719" s="82"/>
    </row>
    <row r="720" spans="2:12" x14ac:dyDescent="0.25">
      <c r="B720" s="83">
        <v>34395</v>
      </c>
      <c r="C720" s="83"/>
      <c r="D720" s="83"/>
      <c r="E720" s="83"/>
      <c r="F720" s="83"/>
      <c r="G720" s="83"/>
      <c r="H720" s="83"/>
      <c r="I720" s="83"/>
      <c r="J720" s="83"/>
      <c r="K720" s="83"/>
      <c r="L720" s="83"/>
    </row>
    <row r="721" spans="2:12" x14ac:dyDescent="0.25">
      <c r="B721" s="82">
        <v>34495</v>
      </c>
      <c r="C721" s="82"/>
      <c r="D721" s="82"/>
      <c r="E721" s="82"/>
      <c r="F721" s="82"/>
      <c r="G721" s="82"/>
      <c r="H721" s="82"/>
      <c r="I721" s="82"/>
      <c r="J721" s="82"/>
      <c r="K721" s="82"/>
      <c r="L721" s="82"/>
    </row>
    <row r="722" spans="2:12" x14ac:dyDescent="0.25">
      <c r="B722" s="83">
        <v>34595</v>
      </c>
      <c r="C722" s="83"/>
      <c r="D722" s="83"/>
      <c r="E722" s="83"/>
      <c r="F722" s="83"/>
      <c r="G722" s="83"/>
      <c r="H722" s="83"/>
      <c r="I722" s="83"/>
      <c r="J722" s="83"/>
      <c r="K722" s="83"/>
      <c r="L722" s="83"/>
    </row>
    <row r="723" spans="2:12" x14ac:dyDescent="0.25">
      <c r="B723" s="82">
        <v>34695</v>
      </c>
      <c r="C723" s="82"/>
      <c r="D723" s="82"/>
      <c r="E723" s="82"/>
      <c r="F723" s="82"/>
      <c r="G723" s="82"/>
      <c r="H723" s="82"/>
      <c r="I723" s="82"/>
      <c r="J723" s="82"/>
      <c r="K723" s="82"/>
      <c r="L723" s="82"/>
    </row>
    <row r="724" spans="2:12" x14ac:dyDescent="0.25">
      <c r="B724" s="83">
        <v>34795</v>
      </c>
      <c r="C724" s="83"/>
      <c r="D724" s="83"/>
      <c r="E724" s="83"/>
      <c r="F724" s="83"/>
      <c r="G724" s="83"/>
      <c r="H724" s="83"/>
      <c r="I724" s="83"/>
      <c r="J724" s="83"/>
      <c r="K724" s="83"/>
      <c r="L724" s="83"/>
    </row>
    <row r="725" spans="2:12" x14ac:dyDescent="0.25">
      <c r="B725" s="82">
        <v>34895</v>
      </c>
      <c r="C725" s="82"/>
      <c r="D725" s="82"/>
      <c r="E725" s="82"/>
      <c r="F725" s="82"/>
      <c r="G725" s="82"/>
      <c r="H725" s="82"/>
      <c r="I725" s="82"/>
      <c r="J725" s="82"/>
      <c r="K725" s="82"/>
      <c r="L725" s="82"/>
    </row>
    <row r="726" spans="2:12" x14ac:dyDescent="0.25">
      <c r="B726" s="83">
        <v>34995</v>
      </c>
      <c r="C726" s="83"/>
      <c r="D726" s="83"/>
      <c r="E726" s="83"/>
      <c r="F726" s="83"/>
      <c r="G726" s="83"/>
      <c r="H726" s="83"/>
      <c r="I726" s="83"/>
      <c r="J726" s="83"/>
      <c r="K726" s="83"/>
      <c r="L726" s="83"/>
    </row>
    <row r="727" spans="2:12" x14ac:dyDescent="0.25">
      <c r="B727" s="82">
        <v>35095</v>
      </c>
      <c r="C727" s="82"/>
      <c r="D727" s="82"/>
      <c r="E727" s="82"/>
      <c r="F727" s="82"/>
      <c r="G727" s="82"/>
      <c r="H727" s="82"/>
      <c r="I727" s="82"/>
      <c r="J727" s="82"/>
      <c r="K727" s="82"/>
      <c r="L727" s="82"/>
    </row>
    <row r="728" spans="2:12" x14ac:dyDescent="0.25">
      <c r="B728" s="83">
        <v>35195</v>
      </c>
      <c r="C728" s="83"/>
      <c r="D728" s="83"/>
      <c r="E728" s="83"/>
      <c r="F728" s="83"/>
      <c r="G728" s="83"/>
      <c r="H728" s="83"/>
      <c r="I728" s="83"/>
      <c r="J728" s="83"/>
      <c r="K728" s="83"/>
      <c r="L728" s="83"/>
    </row>
    <row r="729" spans="2:12" x14ac:dyDescent="0.25">
      <c r="B729" s="82">
        <v>35295</v>
      </c>
      <c r="C729" s="82"/>
      <c r="D729" s="82"/>
      <c r="E729" s="82"/>
      <c r="F729" s="82"/>
      <c r="G729" s="82"/>
      <c r="H729" s="82"/>
      <c r="I729" s="82"/>
      <c r="J729" s="82"/>
      <c r="K729" s="82"/>
      <c r="L729" s="82"/>
    </row>
    <row r="730" spans="2:12" x14ac:dyDescent="0.25">
      <c r="B730" s="83">
        <v>35395</v>
      </c>
      <c r="C730" s="83"/>
      <c r="D730" s="83"/>
      <c r="E730" s="83"/>
      <c r="F730" s="83"/>
      <c r="G730" s="83"/>
      <c r="H730" s="83"/>
      <c r="I730" s="83"/>
      <c r="J730" s="83"/>
      <c r="K730" s="83"/>
      <c r="L730" s="83"/>
    </row>
    <row r="731" spans="2:12" x14ac:dyDescent="0.25">
      <c r="B731" s="82">
        <v>35495</v>
      </c>
      <c r="C731" s="82"/>
      <c r="D731" s="82"/>
      <c r="E731" s="82"/>
      <c r="F731" s="82"/>
      <c r="G731" s="82"/>
      <c r="H731" s="82"/>
      <c r="I731" s="82"/>
      <c r="J731" s="82"/>
      <c r="K731" s="82"/>
      <c r="L731" s="82"/>
    </row>
    <row r="732" spans="2:12" x14ac:dyDescent="0.25">
      <c r="B732" s="83">
        <v>35595</v>
      </c>
      <c r="C732" s="83"/>
      <c r="D732" s="83"/>
      <c r="E732" s="83"/>
      <c r="F732" s="83"/>
      <c r="G732" s="83"/>
      <c r="H732" s="83"/>
      <c r="I732" s="83"/>
      <c r="J732" s="83"/>
      <c r="K732" s="83"/>
      <c r="L732" s="83"/>
    </row>
    <row r="733" spans="2:12" x14ac:dyDescent="0.25">
      <c r="B733" s="82">
        <v>35695</v>
      </c>
      <c r="C733" s="82"/>
      <c r="D733" s="82"/>
      <c r="E733" s="82"/>
      <c r="F733" s="82"/>
      <c r="G733" s="82"/>
      <c r="H733" s="82"/>
      <c r="I733" s="82"/>
      <c r="J733" s="82"/>
      <c r="K733" s="82"/>
      <c r="L733" s="82"/>
    </row>
    <row r="734" spans="2:12" x14ac:dyDescent="0.25">
      <c r="B734" s="83">
        <v>35795</v>
      </c>
      <c r="C734" s="83"/>
      <c r="D734" s="83"/>
      <c r="E734" s="83"/>
      <c r="F734" s="83"/>
      <c r="G734" s="83"/>
      <c r="H734" s="83"/>
      <c r="I734" s="83"/>
      <c r="J734" s="83"/>
      <c r="K734" s="83"/>
      <c r="L734" s="83"/>
    </row>
    <row r="735" spans="2:12" x14ac:dyDescent="0.25">
      <c r="B735" s="82">
        <v>35895</v>
      </c>
      <c r="C735" s="82"/>
      <c r="D735" s="82"/>
      <c r="E735" s="82"/>
      <c r="F735" s="82"/>
      <c r="G735" s="82"/>
      <c r="H735" s="82"/>
      <c r="I735" s="82"/>
      <c r="J735" s="82"/>
      <c r="K735" s="82"/>
      <c r="L735" s="82"/>
    </row>
    <row r="736" spans="2:12" x14ac:dyDescent="0.25">
      <c r="B736" s="83">
        <v>35995</v>
      </c>
      <c r="C736" s="83"/>
      <c r="D736" s="83"/>
      <c r="E736" s="83"/>
      <c r="F736" s="83"/>
      <c r="G736" s="83"/>
      <c r="H736" s="83"/>
      <c r="I736" s="83"/>
      <c r="J736" s="83"/>
      <c r="K736" s="83"/>
      <c r="L736" s="83"/>
    </row>
    <row r="737" spans="2:12" x14ac:dyDescent="0.25">
      <c r="B737" s="82">
        <v>36095</v>
      </c>
      <c r="C737" s="82"/>
      <c r="D737" s="82"/>
      <c r="E737" s="82"/>
      <c r="F737" s="82"/>
      <c r="G737" s="82"/>
      <c r="H737" s="82"/>
      <c r="I737" s="82"/>
      <c r="J737" s="82"/>
      <c r="K737" s="82"/>
      <c r="L737" s="82"/>
    </row>
    <row r="738" spans="2:12" x14ac:dyDescent="0.25">
      <c r="B738" s="83">
        <v>36195</v>
      </c>
      <c r="C738" s="83"/>
      <c r="D738" s="83"/>
      <c r="E738" s="83"/>
      <c r="F738" s="83"/>
      <c r="G738" s="83"/>
      <c r="H738" s="83"/>
      <c r="I738" s="83"/>
      <c r="J738" s="83"/>
      <c r="K738" s="83"/>
      <c r="L738" s="83"/>
    </row>
    <row r="739" spans="2:12" x14ac:dyDescent="0.25">
      <c r="B739" s="82">
        <v>36295</v>
      </c>
      <c r="C739" s="82"/>
      <c r="D739" s="82"/>
      <c r="E739" s="82"/>
      <c r="F739" s="82"/>
      <c r="G739" s="82"/>
      <c r="H739" s="82"/>
      <c r="I739" s="82"/>
      <c r="J739" s="82"/>
      <c r="K739" s="82"/>
      <c r="L739" s="82"/>
    </row>
    <row r="740" spans="2:12" x14ac:dyDescent="0.25">
      <c r="B740" s="83">
        <v>36395</v>
      </c>
      <c r="C740" s="83"/>
      <c r="D740" s="83"/>
      <c r="E740" s="83"/>
      <c r="F740" s="83"/>
      <c r="G740" s="83"/>
      <c r="H740" s="83"/>
      <c r="I740" s="83"/>
      <c r="J740" s="83"/>
      <c r="K740" s="83"/>
      <c r="L740" s="83"/>
    </row>
    <row r="741" spans="2:12" x14ac:dyDescent="0.25">
      <c r="B741" s="82">
        <v>36495</v>
      </c>
      <c r="C741" s="82"/>
      <c r="D741" s="82"/>
      <c r="E741" s="82"/>
      <c r="F741" s="82"/>
      <c r="G741" s="82"/>
      <c r="H741" s="82"/>
      <c r="I741" s="82"/>
      <c r="J741" s="82"/>
      <c r="K741" s="82"/>
      <c r="L741" s="82"/>
    </row>
    <row r="742" spans="2:12" x14ac:dyDescent="0.25">
      <c r="B742" s="83">
        <v>36595</v>
      </c>
      <c r="C742" s="83"/>
      <c r="D742" s="83"/>
      <c r="E742" s="83"/>
      <c r="F742" s="83"/>
      <c r="G742" s="83"/>
      <c r="H742" s="83"/>
      <c r="I742" s="83"/>
      <c r="J742" s="83"/>
      <c r="K742" s="83"/>
      <c r="L742" s="83"/>
    </row>
    <row r="743" spans="2:12" x14ac:dyDescent="0.25">
      <c r="B743" s="82">
        <v>36695</v>
      </c>
      <c r="C743" s="82"/>
      <c r="D743" s="82"/>
      <c r="E743" s="82"/>
      <c r="F743" s="82"/>
      <c r="G743" s="82"/>
      <c r="H743" s="82"/>
      <c r="I743" s="82"/>
      <c r="J743" s="82"/>
      <c r="K743" s="82"/>
      <c r="L743" s="82"/>
    </row>
    <row r="744" spans="2:12" x14ac:dyDescent="0.25">
      <c r="B744" s="83">
        <v>36795</v>
      </c>
      <c r="C744" s="83"/>
      <c r="D744" s="83"/>
      <c r="E744" s="83"/>
      <c r="F744" s="83"/>
      <c r="G744" s="83"/>
      <c r="H744" s="83"/>
      <c r="I744" s="83"/>
      <c r="J744" s="83"/>
      <c r="K744" s="83"/>
      <c r="L744" s="83"/>
    </row>
    <row r="745" spans="2:12" x14ac:dyDescent="0.25">
      <c r="B745" s="82">
        <v>36895</v>
      </c>
      <c r="C745" s="82"/>
      <c r="D745" s="82"/>
      <c r="E745" s="82"/>
      <c r="F745" s="82"/>
      <c r="G745" s="82"/>
      <c r="H745" s="82"/>
      <c r="I745" s="82"/>
      <c r="J745" s="82"/>
      <c r="K745" s="82"/>
      <c r="L745" s="82"/>
    </row>
    <row r="746" spans="2:12" x14ac:dyDescent="0.25">
      <c r="B746" s="83">
        <v>36995</v>
      </c>
      <c r="C746" s="83"/>
      <c r="D746" s="83"/>
      <c r="E746" s="83"/>
      <c r="F746" s="83"/>
      <c r="G746" s="83"/>
      <c r="H746" s="83"/>
      <c r="I746" s="83"/>
      <c r="J746" s="83"/>
      <c r="K746" s="83"/>
      <c r="L746" s="83"/>
    </row>
    <row r="747" spans="2:12" x14ac:dyDescent="0.25">
      <c r="B747" s="82">
        <v>37095</v>
      </c>
      <c r="C747" s="82"/>
      <c r="D747" s="82"/>
      <c r="E747" s="82"/>
      <c r="F747" s="82"/>
      <c r="G747" s="82"/>
      <c r="H747" s="82"/>
      <c r="I747" s="82"/>
      <c r="J747" s="82"/>
      <c r="K747" s="82"/>
      <c r="L747" s="82"/>
    </row>
    <row r="748" spans="2:12" x14ac:dyDescent="0.25">
      <c r="B748" s="83">
        <v>37195</v>
      </c>
      <c r="C748" s="83"/>
      <c r="D748" s="83"/>
      <c r="E748" s="83"/>
      <c r="F748" s="83"/>
      <c r="G748" s="83"/>
      <c r="H748" s="83"/>
      <c r="I748" s="83"/>
      <c r="J748" s="83"/>
      <c r="K748" s="83"/>
      <c r="L748" s="83"/>
    </row>
    <row r="749" spans="2:12" x14ac:dyDescent="0.25">
      <c r="B749" s="82">
        <v>37295</v>
      </c>
      <c r="C749" s="82"/>
      <c r="D749" s="82"/>
      <c r="E749" s="82"/>
      <c r="F749" s="82"/>
      <c r="G749" s="82"/>
      <c r="H749" s="82"/>
      <c r="I749" s="82"/>
      <c r="J749" s="82"/>
      <c r="K749" s="82"/>
      <c r="L749" s="82"/>
    </row>
    <row r="750" spans="2:12" x14ac:dyDescent="0.25">
      <c r="B750" s="83">
        <v>37395</v>
      </c>
      <c r="C750" s="83"/>
      <c r="D750" s="83"/>
      <c r="E750" s="83"/>
      <c r="F750" s="83"/>
      <c r="G750" s="83"/>
      <c r="H750" s="83"/>
      <c r="I750" s="83"/>
      <c r="J750" s="83"/>
      <c r="K750" s="83"/>
      <c r="L750" s="83"/>
    </row>
    <row r="751" spans="2:12" x14ac:dyDescent="0.25">
      <c r="B751" s="82">
        <v>37495</v>
      </c>
      <c r="C751" s="82"/>
      <c r="D751" s="82"/>
      <c r="E751" s="82"/>
      <c r="F751" s="82"/>
      <c r="G751" s="82"/>
      <c r="H751" s="82"/>
      <c r="I751" s="82"/>
      <c r="J751" s="82"/>
      <c r="K751" s="82"/>
      <c r="L751" s="82"/>
    </row>
    <row r="752" spans="2:12" x14ac:dyDescent="0.25">
      <c r="B752" s="83">
        <v>37595</v>
      </c>
      <c r="C752" s="83"/>
      <c r="D752" s="83"/>
      <c r="E752" s="83"/>
      <c r="F752" s="83"/>
      <c r="G752" s="83"/>
      <c r="H752" s="83"/>
      <c r="I752" s="83"/>
      <c r="J752" s="83"/>
      <c r="K752" s="83"/>
      <c r="L752" s="83"/>
    </row>
    <row r="753" spans="2:12" x14ac:dyDescent="0.25">
      <c r="B753" s="82">
        <v>37695</v>
      </c>
      <c r="C753" s="82"/>
      <c r="D753" s="82"/>
      <c r="E753" s="82"/>
      <c r="F753" s="82"/>
      <c r="G753" s="82"/>
      <c r="H753" s="82"/>
      <c r="I753" s="82"/>
      <c r="J753" s="82"/>
      <c r="K753" s="82"/>
      <c r="L753" s="82"/>
    </row>
    <row r="754" spans="2:12" x14ac:dyDescent="0.25">
      <c r="B754" s="83">
        <v>37795</v>
      </c>
      <c r="C754" s="83"/>
      <c r="D754" s="83"/>
      <c r="E754" s="83"/>
      <c r="F754" s="83"/>
      <c r="G754" s="83"/>
      <c r="H754" s="83"/>
      <c r="I754" s="83"/>
      <c r="J754" s="83"/>
      <c r="K754" s="83"/>
      <c r="L754" s="83"/>
    </row>
    <row r="755" spans="2:12" x14ac:dyDescent="0.25">
      <c r="B755" s="82">
        <v>37895</v>
      </c>
      <c r="C755" s="82"/>
      <c r="D755" s="82"/>
      <c r="E755" s="82"/>
      <c r="F755" s="82"/>
      <c r="G755" s="82"/>
      <c r="H755" s="82"/>
      <c r="I755" s="82"/>
      <c r="J755" s="82"/>
      <c r="K755" s="82"/>
      <c r="L755" s="82"/>
    </row>
    <row r="756" spans="2:12" x14ac:dyDescent="0.25">
      <c r="B756" s="83">
        <v>37995</v>
      </c>
      <c r="C756" s="83"/>
      <c r="D756" s="83"/>
      <c r="E756" s="83"/>
      <c r="F756" s="83"/>
      <c r="G756" s="83"/>
      <c r="H756" s="83"/>
      <c r="I756" s="83"/>
      <c r="J756" s="83"/>
      <c r="K756" s="83"/>
      <c r="L756" s="83"/>
    </row>
    <row r="757" spans="2:12" x14ac:dyDescent="0.25">
      <c r="B757" s="82">
        <v>38095</v>
      </c>
      <c r="C757" s="82"/>
      <c r="D757" s="82"/>
      <c r="E757" s="82"/>
      <c r="F757" s="82"/>
      <c r="G757" s="82"/>
      <c r="H757" s="82"/>
      <c r="I757" s="82"/>
      <c r="J757" s="82"/>
      <c r="K757" s="82"/>
      <c r="L757" s="82"/>
    </row>
    <row r="758" spans="2:12" x14ac:dyDescent="0.25">
      <c r="B758" s="83">
        <v>38195</v>
      </c>
      <c r="C758" s="83"/>
      <c r="D758" s="83"/>
      <c r="E758" s="83"/>
      <c r="F758" s="83"/>
      <c r="G758" s="83"/>
      <c r="H758" s="83"/>
      <c r="I758" s="83"/>
      <c r="J758" s="83"/>
      <c r="K758" s="83"/>
      <c r="L758" s="83"/>
    </row>
    <row r="759" spans="2:12" x14ac:dyDescent="0.25">
      <c r="B759" s="82">
        <v>38295</v>
      </c>
      <c r="C759" s="82"/>
      <c r="D759" s="82"/>
      <c r="E759" s="82"/>
      <c r="F759" s="82"/>
      <c r="G759" s="82"/>
      <c r="H759" s="82"/>
      <c r="I759" s="82"/>
      <c r="J759" s="82"/>
      <c r="K759" s="82"/>
      <c r="L759" s="82"/>
    </row>
    <row r="760" spans="2:12" x14ac:dyDescent="0.25">
      <c r="B760" s="83">
        <v>38395</v>
      </c>
      <c r="C760" s="83"/>
      <c r="D760" s="83"/>
      <c r="E760" s="83"/>
      <c r="F760" s="83"/>
      <c r="G760" s="83"/>
      <c r="H760" s="83"/>
      <c r="I760" s="83"/>
      <c r="J760" s="83"/>
      <c r="K760" s="83"/>
      <c r="L760" s="83"/>
    </row>
    <row r="761" spans="2:12" x14ac:dyDescent="0.25">
      <c r="B761" s="82">
        <v>38495</v>
      </c>
      <c r="C761" s="82"/>
      <c r="D761" s="82"/>
      <c r="E761" s="82"/>
      <c r="F761" s="82"/>
      <c r="G761" s="82"/>
      <c r="H761" s="82"/>
      <c r="I761" s="82"/>
      <c r="J761" s="82"/>
      <c r="K761" s="82"/>
      <c r="L761" s="82"/>
    </row>
    <row r="762" spans="2:12" x14ac:dyDescent="0.25">
      <c r="B762" s="83">
        <v>38595</v>
      </c>
      <c r="C762" s="83"/>
      <c r="D762" s="83"/>
      <c r="E762" s="83"/>
      <c r="F762" s="83"/>
      <c r="G762" s="83"/>
      <c r="H762" s="83"/>
      <c r="I762" s="83"/>
      <c r="J762" s="83"/>
      <c r="K762" s="83"/>
      <c r="L762" s="83"/>
    </row>
    <row r="763" spans="2:12" x14ac:dyDescent="0.25">
      <c r="B763" s="82">
        <v>38695</v>
      </c>
      <c r="C763" s="82"/>
      <c r="D763" s="82"/>
      <c r="E763" s="82"/>
      <c r="F763" s="82"/>
      <c r="G763" s="82"/>
      <c r="H763" s="82"/>
      <c r="I763" s="82"/>
      <c r="J763" s="82"/>
      <c r="K763" s="82"/>
      <c r="L763" s="82"/>
    </row>
    <row r="764" spans="2:12" x14ac:dyDescent="0.25">
      <c r="B764" s="83">
        <v>38795</v>
      </c>
      <c r="C764" s="83"/>
      <c r="D764" s="83"/>
      <c r="E764" s="83"/>
      <c r="F764" s="83"/>
      <c r="G764" s="83"/>
      <c r="H764" s="83"/>
      <c r="I764" s="83"/>
      <c r="J764" s="83"/>
      <c r="K764" s="83"/>
      <c r="L764" s="83"/>
    </row>
    <row r="765" spans="2:12" x14ac:dyDescent="0.25">
      <c r="B765" s="82">
        <v>38895</v>
      </c>
      <c r="C765" s="82"/>
      <c r="D765" s="82"/>
      <c r="E765" s="82"/>
      <c r="F765" s="82"/>
      <c r="G765" s="82"/>
      <c r="H765" s="82"/>
      <c r="I765" s="82"/>
      <c r="J765" s="82"/>
      <c r="K765" s="82"/>
      <c r="L765" s="82"/>
    </row>
    <row r="766" spans="2:12" x14ac:dyDescent="0.25">
      <c r="B766" s="83">
        <v>38995</v>
      </c>
      <c r="C766" s="83"/>
      <c r="D766" s="83"/>
      <c r="E766" s="83"/>
      <c r="F766" s="83"/>
      <c r="G766" s="83"/>
      <c r="H766" s="83"/>
      <c r="I766" s="83"/>
      <c r="J766" s="83"/>
      <c r="K766" s="83"/>
      <c r="L766" s="83"/>
    </row>
    <row r="767" spans="2:12" x14ac:dyDescent="0.25">
      <c r="B767" s="82">
        <v>39095</v>
      </c>
      <c r="C767" s="82"/>
      <c r="D767" s="82"/>
      <c r="E767" s="82"/>
      <c r="F767" s="82"/>
      <c r="G767" s="82"/>
      <c r="H767" s="82"/>
      <c r="I767" s="82"/>
      <c r="J767" s="82"/>
      <c r="K767" s="82"/>
      <c r="L767" s="82"/>
    </row>
    <row r="768" spans="2:12" x14ac:dyDescent="0.25">
      <c r="B768" s="83">
        <v>39195</v>
      </c>
      <c r="C768" s="83"/>
      <c r="D768" s="83"/>
      <c r="E768" s="83"/>
      <c r="F768" s="83"/>
      <c r="G768" s="83"/>
      <c r="H768" s="83"/>
      <c r="I768" s="83"/>
      <c r="J768" s="83"/>
      <c r="K768" s="83"/>
      <c r="L768" s="83"/>
    </row>
    <row r="769" spans="2:12" x14ac:dyDescent="0.25">
      <c r="B769" s="82">
        <v>39295</v>
      </c>
      <c r="C769" s="82"/>
      <c r="D769" s="82"/>
      <c r="E769" s="82"/>
      <c r="F769" s="82"/>
      <c r="G769" s="82"/>
      <c r="H769" s="82"/>
      <c r="I769" s="82"/>
      <c r="J769" s="82"/>
      <c r="K769" s="82"/>
      <c r="L769" s="82"/>
    </row>
    <row r="770" spans="2:12" x14ac:dyDescent="0.25">
      <c r="B770" s="83">
        <v>39395</v>
      </c>
      <c r="C770" s="83"/>
      <c r="D770" s="83"/>
      <c r="E770" s="83"/>
      <c r="F770" s="83"/>
      <c r="G770" s="83"/>
      <c r="H770" s="83"/>
      <c r="I770" s="83"/>
      <c r="J770" s="83"/>
      <c r="K770" s="83"/>
      <c r="L770" s="83"/>
    </row>
    <row r="771" spans="2:12" x14ac:dyDescent="0.25">
      <c r="B771" s="82">
        <v>39495</v>
      </c>
      <c r="C771" s="82"/>
      <c r="D771" s="82"/>
      <c r="E771" s="82"/>
      <c r="F771" s="82"/>
      <c r="G771" s="82"/>
      <c r="H771" s="82"/>
      <c r="I771" s="82"/>
      <c r="J771" s="82"/>
      <c r="K771" s="82"/>
      <c r="L771" s="82"/>
    </row>
    <row r="772" spans="2:12" x14ac:dyDescent="0.25">
      <c r="B772" s="83">
        <v>39595</v>
      </c>
      <c r="C772" s="83"/>
      <c r="D772" s="83"/>
      <c r="E772" s="83"/>
      <c r="F772" s="83"/>
      <c r="G772" s="83"/>
      <c r="H772" s="83"/>
      <c r="I772" s="83"/>
      <c r="J772" s="83"/>
      <c r="K772" s="83"/>
      <c r="L772" s="83"/>
    </row>
    <row r="773" spans="2:12" x14ac:dyDescent="0.25">
      <c r="B773" s="82">
        <v>39695</v>
      </c>
      <c r="C773" s="82"/>
      <c r="D773" s="82"/>
      <c r="E773" s="82"/>
      <c r="F773" s="82"/>
      <c r="G773" s="82"/>
      <c r="H773" s="82"/>
      <c r="I773" s="82"/>
      <c r="J773" s="82"/>
      <c r="K773" s="82"/>
      <c r="L773" s="82"/>
    </row>
    <row r="774" spans="2:12" x14ac:dyDescent="0.25">
      <c r="B774" s="83">
        <v>39795</v>
      </c>
      <c r="C774" s="83"/>
      <c r="D774" s="83"/>
      <c r="E774" s="83"/>
      <c r="F774" s="83"/>
      <c r="G774" s="83"/>
      <c r="H774" s="83"/>
      <c r="I774" s="83"/>
      <c r="J774" s="83"/>
      <c r="K774" s="83"/>
      <c r="L774" s="83"/>
    </row>
    <row r="775" spans="2:12" x14ac:dyDescent="0.25">
      <c r="B775" s="82">
        <v>39895</v>
      </c>
      <c r="C775" s="82"/>
      <c r="D775" s="82"/>
      <c r="E775" s="82"/>
      <c r="F775" s="82"/>
      <c r="G775" s="82"/>
      <c r="H775" s="82"/>
      <c r="I775" s="82"/>
      <c r="J775" s="82"/>
      <c r="K775" s="82"/>
      <c r="L775" s="82"/>
    </row>
    <row r="776" spans="2:12" x14ac:dyDescent="0.25">
      <c r="B776" s="83">
        <v>39995</v>
      </c>
      <c r="C776" s="83"/>
      <c r="D776" s="83"/>
      <c r="E776" s="83"/>
      <c r="F776" s="83"/>
      <c r="G776" s="83"/>
      <c r="H776" s="83"/>
      <c r="I776" s="83"/>
      <c r="J776" s="83"/>
      <c r="K776" s="83"/>
      <c r="L776" s="83"/>
    </row>
    <row r="777" spans="2:12" x14ac:dyDescent="0.25">
      <c r="B777" s="82">
        <v>40095</v>
      </c>
      <c r="C777" s="82"/>
      <c r="D777" s="82"/>
      <c r="E777" s="82"/>
      <c r="F777" s="82"/>
      <c r="G777" s="82"/>
      <c r="H777" s="82"/>
      <c r="I777" s="82"/>
      <c r="J777" s="82"/>
      <c r="K777" s="82"/>
      <c r="L777" s="82"/>
    </row>
    <row r="778" spans="2:12" x14ac:dyDescent="0.25">
      <c r="B778" s="83">
        <v>40195</v>
      </c>
      <c r="C778" s="83"/>
      <c r="D778" s="83"/>
      <c r="E778" s="83"/>
      <c r="F778" s="83"/>
      <c r="G778" s="83"/>
      <c r="H778" s="83"/>
      <c r="I778" s="83"/>
      <c r="J778" s="83"/>
      <c r="K778" s="83"/>
      <c r="L778" s="83"/>
    </row>
    <row r="779" spans="2:12" x14ac:dyDescent="0.25">
      <c r="B779" s="82">
        <v>40295</v>
      </c>
      <c r="C779" s="82"/>
      <c r="D779" s="82"/>
      <c r="E779" s="82"/>
      <c r="F779" s="82"/>
      <c r="G779" s="82"/>
      <c r="H779" s="82"/>
      <c r="I779" s="82"/>
      <c r="J779" s="82"/>
      <c r="K779" s="82"/>
      <c r="L779" s="82"/>
    </row>
    <row r="780" spans="2:12" x14ac:dyDescent="0.25">
      <c r="B780" s="83">
        <v>40395</v>
      </c>
      <c r="C780" s="83"/>
      <c r="D780" s="83"/>
      <c r="E780" s="83"/>
      <c r="F780" s="83"/>
      <c r="G780" s="83"/>
      <c r="H780" s="83"/>
      <c r="I780" s="83"/>
      <c r="J780" s="83"/>
      <c r="K780" s="83"/>
      <c r="L780" s="83"/>
    </row>
    <row r="781" spans="2:12" x14ac:dyDescent="0.25">
      <c r="B781" s="82">
        <v>40495</v>
      </c>
      <c r="C781" s="82"/>
      <c r="D781" s="82"/>
      <c r="E781" s="82"/>
      <c r="F781" s="82"/>
      <c r="G781" s="82"/>
      <c r="H781" s="82"/>
      <c r="I781" s="82"/>
      <c r="J781" s="82"/>
      <c r="K781" s="82"/>
      <c r="L781" s="82"/>
    </row>
    <row r="782" spans="2:12" x14ac:dyDescent="0.25">
      <c r="B782" s="83">
        <v>40595</v>
      </c>
      <c r="C782" s="83"/>
      <c r="D782" s="83"/>
      <c r="E782" s="83"/>
      <c r="F782" s="83"/>
      <c r="G782" s="83"/>
      <c r="H782" s="83"/>
      <c r="I782" s="83"/>
      <c r="J782" s="83"/>
      <c r="K782" s="83"/>
      <c r="L782" s="83"/>
    </row>
    <row r="783" spans="2:12" x14ac:dyDescent="0.25">
      <c r="B783" s="82">
        <v>40695</v>
      </c>
      <c r="C783" s="82"/>
      <c r="D783" s="82"/>
      <c r="E783" s="82"/>
      <c r="F783" s="82"/>
      <c r="G783" s="82"/>
      <c r="H783" s="82"/>
      <c r="I783" s="82"/>
      <c r="J783" s="82"/>
      <c r="K783" s="82"/>
      <c r="L783" s="82"/>
    </row>
    <row r="784" spans="2:12" x14ac:dyDescent="0.25">
      <c r="B784" s="83">
        <v>40795</v>
      </c>
      <c r="C784" s="83"/>
      <c r="D784" s="83"/>
      <c r="E784" s="83"/>
      <c r="F784" s="83"/>
      <c r="G784" s="83"/>
      <c r="H784" s="83"/>
      <c r="I784" s="83"/>
      <c r="J784" s="83"/>
      <c r="K784" s="83"/>
      <c r="L784" s="83"/>
    </row>
    <row r="785" spans="2:12" x14ac:dyDescent="0.25">
      <c r="B785" s="82">
        <v>40895</v>
      </c>
      <c r="C785" s="82"/>
      <c r="D785" s="82"/>
      <c r="E785" s="82"/>
      <c r="F785" s="82"/>
      <c r="G785" s="82"/>
      <c r="H785" s="82"/>
      <c r="I785" s="82"/>
      <c r="J785" s="82"/>
      <c r="K785" s="82"/>
      <c r="L785" s="82"/>
    </row>
    <row r="786" spans="2:12" x14ac:dyDescent="0.25">
      <c r="B786" s="83">
        <v>40995</v>
      </c>
      <c r="C786" s="83"/>
      <c r="D786" s="83"/>
      <c r="E786" s="83"/>
      <c r="F786" s="83"/>
      <c r="G786" s="83"/>
      <c r="H786" s="83"/>
      <c r="I786" s="83"/>
      <c r="J786" s="83"/>
      <c r="K786" s="83"/>
      <c r="L786" s="83"/>
    </row>
    <row r="787" spans="2:12" x14ac:dyDescent="0.25">
      <c r="B787" s="82">
        <v>41095</v>
      </c>
      <c r="C787" s="82"/>
      <c r="D787" s="82"/>
      <c r="E787" s="82"/>
      <c r="F787" s="82"/>
      <c r="G787" s="82"/>
      <c r="H787" s="82"/>
      <c r="I787" s="82"/>
      <c r="J787" s="82"/>
      <c r="K787" s="82"/>
      <c r="L787" s="82"/>
    </row>
    <row r="788" spans="2:12" x14ac:dyDescent="0.25">
      <c r="B788" s="83">
        <v>41195</v>
      </c>
      <c r="C788" s="83"/>
      <c r="D788" s="83"/>
      <c r="E788" s="83"/>
      <c r="F788" s="83"/>
      <c r="G788" s="83"/>
      <c r="H788" s="83"/>
      <c r="I788" s="83"/>
      <c r="J788" s="83"/>
      <c r="K788" s="83"/>
      <c r="L788" s="83"/>
    </row>
    <row r="789" spans="2:12" x14ac:dyDescent="0.25">
      <c r="B789" s="82">
        <v>41295</v>
      </c>
      <c r="C789" s="82"/>
      <c r="D789" s="82"/>
      <c r="E789" s="82"/>
      <c r="F789" s="82"/>
      <c r="G789" s="82"/>
      <c r="H789" s="82"/>
      <c r="I789" s="82"/>
      <c r="J789" s="82"/>
      <c r="K789" s="82"/>
      <c r="L789" s="82"/>
    </row>
    <row r="790" spans="2:12" x14ac:dyDescent="0.25">
      <c r="B790" s="83">
        <v>41395</v>
      </c>
      <c r="C790" s="83"/>
      <c r="D790" s="83"/>
      <c r="E790" s="83"/>
      <c r="F790" s="83"/>
      <c r="G790" s="83"/>
      <c r="H790" s="83"/>
      <c r="I790" s="83"/>
      <c r="J790" s="83"/>
      <c r="K790" s="83"/>
      <c r="L790" s="83"/>
    </row>
    <row r="791" spans="2:12" x14ac:dyDescent="0.25">
      <c r="B791" s="82">
        <v>41495</v>
      </c>
      <c r="C791" s="82"/>
      <c r="D791" s="82"/>
      <c r="E791" s="82"/>
      <c r="F791" s="82"/>
      <c r="G791" s="82"/>
      <c r="H791" s="82"/>
      <c r="I791" s="82"/>
      <c r="J791" s="82"/>
      <c r="K791" s="82"/>
      <c r="L791" s="82"/>
    </row>
    <row r="792" spans="2:12" x14ac:dyDescent="0.25">
      <c r="B792" s="83">
        <v>41595</v>
      </c>
      <c r="C792" s="83"/>
      <c r="D792" s="83"/>
      <c r="E792" s="83"/>
      <c r="F792" s="83"/>
      <c r="G792" s="83"/>
      <c r="H792" s="83"/>
      <c r="I792" s="83"/>
      <c r="J792" s="83"/>
      <c r="K792" s="83"/>
      <c r="L792" s="83"/>
    </row>
    <row r="793" spans="2:12" x14ac:dyDescent="0.25">
      <c r="B793" s="82">
        <v>41695</v>
      </c>
      <c r="C793" s="82"/>
      <c r="D793" s="82"/>
      <c r="E793" s="82"/>
      <c r="F793" s="82"/>
      <c r="G793" s="82"/>
      <c r="H793" s="82"/>
      <c r="I793" s="82"/>
      <c r="J793" s="82"/>
      <c r="K793" s="82"/>
      <c r="L793" s="82"/>
    </row>
    <row r="794" spans="2:12" x14ac:dyDescent="0.25">
      <c r="B794" s="83">
        <v>41795</v>
      </c>
      <c r="C794" s="83"/>
      <c r="D794" s="83"/>
      <c r="E794" s="83"/>
      <c r="F794" s="83"/>
      <c r="G794" s="83"/>
      <c r="H794" s="83"/>
      <c r="I794" s="83"/>
      <c r="J794" s="83"/>
      <c r="K794" s="83"/>
      <c r="L794" s="83"/>
    </row>
    <row r="795" spans="2:12" x14ac:dyDescent="0.25">
      <c r="B795" s="82">
        <v>41895</v>
      </c>
      <c r="C795" s="82"/>
      <c r="D795" s="82"/>
      <c r="E795" s="82"/>
      <c r="F795" s="82"/>
      <c r="G795" s="82"/>
      <c r="H795" s="82"/>
      <c r="I795" s="82"/>
      <c r="J795" s="82"/>
      <c r="K795" s="82"/>
      <c r="L795" s="82"/>
    </row>
    <row r="796" spans="2:12" x14ac:dyDescent="0.25">
      <c r="B796" s="83">
        <v>41995</v>
      </c>
      <c r="C796" s="83"/>
      <c r="D796" s="83"/>
      <c r="E796" s="83"/>
      <c r="F796" s="83"/>
      <c r="G796" s="83"/>
      <c r="H796" s="83"/>
      <c r="I796" s="83"/>
      <c r="J796" s="83"/>
      <c r="K796" s="83"/>
      <c r="L796" s="83"/>
    </row>
    <row r="797" spans="2:12" x14ac:dyDescent="0.25">
      <c r="B797" s="82">
        <v>42095</v>
      </c>
      <c r="C797" s="82"/>
      <c r="D797" s="82"/>
      <c r="E797" s="82"/>
      <c r="F797" s="82"/>
      <c r="G797" s="82"/>
      <c r="H797" s="82"/>
      <c r="I797" s="82"/>
      <c r="J797" s="82"/>
      <c r="K797" s="82"/>
      <c r="L797" s="82"/>
    </row>
    <row r="798" spans="2:12" x14ac:dyDescent="0.25">
      <c r="B798" s="83">
        <v>42195</v>
      </c>
      <c r="C798" s="83"/>
      <c r="D798" s="83"/>
      <c r="E798" s="83"/>
      <c r="F798" s="83"/>
      <c r="G798" s="83"/>
      <c r="H798" s="83"/>
      <c r="I798" s="83"/>
      <c r="J798" s="83"/>
      <c r="K798" s="83"/>
      <c r="L798" s="83"/>
    </row>
    <row r="799" spans="2:12" x14ac:dyDescent="0.25">
      <c r="B799" s="82">
        <v>42295</v>
      </c>
      <c r="C799" s="82"/>
      <c r="D799" s="82"/>
      <c r="E799" s="82"/>
      <c r="F799" s="82"/>
      <c r="G799" s="82"/>
      <c r="H799" s="82"/>
      <c r="I799" s="82"/>
      <c r="J799" s="82"/>
      <c r="K799" s="82"/>
      <c r="L799" s="82"/>
    </row>
    <row r="800" spans="2:12" x14ac:dyDescent="0.25">
      <c r="B800" s="83">
        <v>42395</v>
      </c>
      <c r="C800" s="83"/>
      <c r="D800" s="83"/>
      <c r="E800" s="83"/>
      <c r="F800" s="83"/>
      <c r="G800" s="83"/>
      <c r="H800" s="83"/>
      <c r="I800" s="83"/>
      <c r="J800" s="83"/>
      <c r="K800" s="83"/>
      <c r="L800" s="83"/>
    </row>
    <row r="801" spans="2:12" x14ac:dyDescent="0.25">
      <c r="B801" s="82">
        <v>42495</v>
      </c>
      <c r="C801" s="82"/>
      <c r="D801" s="82"/>
      <c r="E801" s="82"/>
      <c r="F801" s="82"/>
      <c r="G801" s="82"/>
      <c r="H801" s="82"/>
      <c r="I801" s="82"/>
      <c r="J801" s="82"/>
      <c r="K801" s="82"/>
      <c r="L801" s="82"/>
    </row>
    <row r="802" spans="2:12" x14ac:dyDescent="0.25">
      <c r="B802" s="83">
        <v>42595</v>
      </c>
      <c r="C802" s="83"/>
      <c r="D802" s="83"/>
      <c r="E802" s="83"/>
      <c r="F802" s="83"/>
      <c r="G802" s="83"/>
      <c r="H802" s="83"/>
      <c r="I802" s="83"/>
      <c r="J802" s="83"/>
      <c r="K802" s="83"/>
      <c r="L802" s="83"/>
    </row>
    <row r="803" spans="2:12" x14ac:dyDescent="0.25">
      <c r="B803" s="82">
        <v>42695</v>
      </c>
      <c r="C803" s="82"/>
      <c r="D803" s="82"/>
      <c r="E803" s="82"/>
      <c r="F803" s="82"/>
      <c r="G803" s="82"/>
      <c r="H803" s="82"/>
      <c r="I803" s="82"/>
      <c r="J803" s="82"/>
      <c r="K803" s="82"/>
      <c r="L803" s="82"/>
    </row>
    <row r="804" spans="2:12" x14ac:dyDescent="0.25">
      <c r="B804" s="83">
        <v>42795</v>
      </c>
      <c r="C804" s="83"/>
      <c r="D804" s="83"/>
      <c r="E804" s="83"/>
      <c r="F804" s="83"/>
      <c r="G804" s="83"/>
      <c r="H804" s="83"/>
      <c r="I804" s="83"/>
      <c r="J804" s="83"/>
      <c r="K804" s="83"/>
      <c r="L804" s="83"/>
    </row>
    <row r="805" spans="2:12" x14ac:dyDescent="0.25">
      <c r="B805" s="82">
        <v>42895</v>
      </c>
      <c r="C805" s="82"/>
      <c r="D805" s="82"/>
      <c r="E805" s="82"/>
      <c r="F805" s="82"/>
      <c r="G805" s="82"/>
      <c r="H805" s="82"/>
      <c r="I805" s="82"/>
      <c r="J805" s="82"/>
      <c r="K805" s="82"/>
      <c r="L805" s="82"/>
    </row>
    <row r="806" spans="2:12" x14ac:dyDescent="0.25">
      <c r="B806" s="83">
        <v>42995</v>
      </c>
      <c r="C806" s="83"/>
      <c r="D806" s="83"/>
      <c r="E806" s="83"/>
      <c r="F806" s="83"/>
      <c r="G806" s="83"/>
      <c r="H806" s="83"/>
      <c r="I806" s="83"/>
      <c r="J806" s="83"/>
      <c r="K806" s="83"/>
      <c r="L806" s="83"/>
    </row>
    <row r="807" spans="2:12" x14ac:dyDescent="0.25">
      <c r="B807" s="82">
        <v>43095</v>
      </c>
      <c r="C807" s="82"/>
      <c r="D807" s="82"/>
      <c r="E807" s="82"/>
      <c r="F807" s="82"/>
      <c r="G807" s="82"/>
      <c r="H807" s="82"/>
      <c r="I807" s="82"/>
      <c r="J807" s="82"/>
      <c r="K807" s="82"/>
      <c r="L807" s="82"/>
    </row>
    <row r="808" spans="2:12" x14ac:dyDescent="0.25">
      <c r="B808" s="83">
        <v>43195</v>
      </c>
      <c r="C808" s="83"/>
      <c r="D808" s="83"/>
      <c r="E808" s="83"/>
      <c r="F808" s="83"/>
      <c r="G808" s="83"/>
      <c r="H808" s="83"/>
      <c r="I808" s="83"/>
      <c r="J808" s="83"/>
      <c r="K808" s="83"/>
      <c r="L808" s="83"/>
    </row>
    <row r="809" spans="2:12" x14ac:dyDescent="0.25">
      <c r="B809" s="82">
        <v>43295</v>
      </c>
      <c r="C809" s="82"/>
      <c r="D809" s="82"/>
      <c r="E809" s="82"/>
      <c r="F809" s="82"/>
      <c r="G809" s="82"/>
      <c r="H809" s="82"/>
      <c r="I809" s="82"/>
      <c r="J809" s="82"/>
      <c r="K809" s="82"/>
      <c r="L809" s="82"/>
    </row>
    <row r="810" spans="2:12" x14ac:dyDescent="0.25">
      <c r="B810" s="83">
        <v>43395</v>
      </c>
      <c r="C810" s="83"/>
      <c r="D810" s="83"/>
      <c r="E810" s="83"/>
      <c r="F810" s="83"/>
      <c r="G810" s="83"/>
      <c r="H810" s="83"/>
      <c r="I810" s="83"/>
      <c r="J810" s="83"/>
      <c r="K810" s="83"/>
      <c r="L810" s="83"/>
    </row>
    <row r="811" spans="2:12" x14ac:dyDescent="0.25">
      <c r="B811" s="82">
        <v>43495</v>
      </c>
      <c r="C811" s="82"/>
      <c r="D811" s="82"/>
      <c r="E811" s="82"/>
      <c r="F811" s="82"/>
      <c r="G811" s="82"/>
      <c r="H811" s="82"/>
      <c r="I811" s="82"/>
      <c r="J811" s="82"/>
      <c r="K811" s="82"/>
      <c r="L811" s="82"/>
    </row>
    <row r="812" spans="2:12" x14ac:dyDescent="0.25">
      <c r="B812" s="83">
        <v>43595</v>
      </c>
      <c r="C812" s="83"/>
      <c r="D812" s="83"/>
      <c r="E812" s="83"/>
      <c r="F812" s="83"/>
      <c r="G812" s="83"/>
      <c r="H812" s="83"/>
      <c r="I812" s="83"/>
      <c r="J812" s="83"/>
      <c r="K812" s="83"/>
      <c r="L812" s="83"/>
    </row>
    <row r="813" spans="2:12" x14ac:dyDescent="0.25">
      <c r="B813" s="82">
        <v>43695</v>
      </c>
      <c r="C813" s="82"/>
      <c r="D813" s="82"/>
      <c r="E813" s="82"/>
      <c r="F813" s="82"/>
      <c r="G813" s="82"/>
      <c r="H813" s="82"/>
      <c r="I813" s="82"/>
      <c r="J813" s="82"/>
      <c r="K813" s="82"/>
      <c r="L813" s="82"/>
    </row>
    <row r="814" spans="2:12" x14ac:dyDescent="0.25">
      <c r="B814" s="83">
        <v>43795</v>
      </c>
      <c r="C814" s="83"/>
      <c r="D814" s="83"/>
      <c r="E814" s="83"/>
      <c r="F814" s="83"/>
      <c r="G814" s="83"/>
      <c r="H814" s="83"/>
      <c r="I814" s="83"/>
      <c r="J814" s="83"/>
      <c r="K814" s="83"/>
      <c r="L814" s="83"/>
    </row>
    <row r="815" spans="2:12" x14ac:dyDescent="0.25">
      <c r="B815" s="82">
        <v>43895</v>
      </c>
      <c r="C815" s="82"/>
      <c r="D815" s="82"/>
      <c r="E815" s="82"/>
      <c r="F815" s="82"/>
      <c r="G815" s="82"/>
      <c r="H815" s="82"/>
      <c r="I815" s="82"/>
      <c r="J815" s="82"/>
      <c r="K815" s="82"/>
      <c r="L815" s="82"/>
    </row>
    <row r="816" spans="2:12" x14ac:dyDescent="0.25">
      <c r="B816" s="83">
        <v>43995</v>
      </c>
      <c r="C816" s="83"/>
      <c r="D816" s="83"/>
      <c r="E816" s="83"/>
      <c r="F816" s="83"/>
      <c r="G816" s="83"/>
      <c r="H816" s="83"/>
      <c r="I816" s="83"/>
      <c r="J816" s="83"/>
      <c r="K816" s="83"/>
      <c r="L816" s="83"/>
    </row>
    <row r="817" spans="2:12" x14ac:dyDescent="0.25">
      <c r="B817" s="82">
        <v>44095</v>
      </c>
      <c r="C817" s="82"/>
      <c r="D817" s="82"/>
      <c r="E817" s="82"/>
      <c r="F817" s="82"/>
      <c r="G817" s="82"/>
      <c r="H817" s="82"/>
      <c r="I817" s="82"/>
      <c r="J817" s="82"/>
      <c r="K817" s="82"/>
      <c r="L817" s="82"/>
    </row>
    <row r="818" spans="2:12" x14ac:dyDescent="0.25">
      <c r="B818" s="83">
        <v>44195</v>
      </c>
      <c r="C818" s="83"/>
      <c r="D818" s="83"/>
      <c r="E818" s="83"/>
      <c r="F818" s="83"/>
      <c r="G818" s="83"/>
      <c r="H818" s="83"/>
      <c r="I818" s="83"/>
      <c r="J818" s="83"/>
      <c r="K818" s="83"/>
      <c r="L818" s="83"/>
    </row>
    <row r="819" spans="2:12" x14ac:dyDescent="0.25">
      <c r="B819" s="82">
        <v>44295</v>
      </c>
      <c r="C819" s="82"/>
      <c r="D819" s="82"/>
      <c r="E819" s="82"/>
      <c r="F819" s="82"/>
      <c r="G819" s="82"/>
      <c r="H819" s="82"/>
      <c r="I819" s="82"/>
      <c r="J819" s="82"/>
      <c r="K819" s="82"/>
      <c r="L819" s="82"/>
    </row>
    <row r="820" spans="2:12" x14ac:dyDescent="0.25">
      <c r="B820" s="83">
        <v>44395</v>
      </c>
      <c r="C820" s="83"/>
      <c r="D820" s="83"/>
      <c r="E820" s="83"/>
      <c r="F820" s="83"/>
      <c r="G820" s="83"/>
      <c r="H820" s="83"/>
      <c r="I820" s="83"/>
      <c r="J820" s="83"/>
      <c r="K820" s="83"/>
      <c r="L820" s="83"/>
    </row>
    <row r="821" spans="2:12" x14ac:dyDescent="0.25">
      <c r="B821" s="82">
        <v>44495</v>
      </c>
      <c r="C821" s="82"/>
      <c r="D821" s="82"/>
      <c r="E821" s="82"/>
      <c r="F821" s="82"/>
      <c r="G821" s="82"/>
      <c r="H821" s="82"/>
      <c r="I821" s="82"/>
      <c r="J821" s="82"/>
      <c r="K821" s="82"/>
      <c r="L821" s="82"/>
    </row>
    <row r="822" spans="2:12" x14ac:dyDescent="0.25">
      <c r="B822" s="83">
        <v>44595</v>
      </c>
      <c r="C822" s="83"/>
      <c r="D822" s="83"/>
      <c r="E822" s="83"/>
      <c r="F822" s="83"/>
      <c r="G822" s="83"/>
      <c r="H822" s="83"/>
      <c r="I822" s="83"/>
      <c r="J822" s="83"/>
      <c r="K822" s="83"/>
      <c r="L822" s="83"/>
    </row>
    <row r="823" spans="2:12" x14ac:dyDescent="0.25">
      <c r="B823" s="82">
        <v>44695</v>
      </c>
      <c r="C823" s="82"/>
      <c r="D823" s="82"/>
      <c r="E823" s="82"/>
      <c r="F823" s="82"/>
      <c r="G823" s="82"/>
      <c r="H823" s="82"/>
      <c r="I823" s="82"/>
      <c r="J823" s="82"/>
      <c r="K823" s="82"/>
      <c r="L823" s="82"/>
    </row>
    <row r="824" spans="2:12" x14ac:dyDescent="0.25">
      <c r="B824" s="83">
        <v>44795</v>
      </c>
      <c r="C824" s="83"/>
      <c r="D824" s="83"/>
      <c r="E824" s="83"/>
      <c r="F824" s="83"/>
      <c r="G824" s="83"/>
      <c r="H824" s="83"/>
      <c r="I824" s="83"/>
      <c r="J824" s="83"/>
      <c r="K824" s="83"/>
      <c r="L824" s="83"/>
    </row>
    <row r="825" spans="2:12" x14ac:dyDescent="0.25">
      <c r="B825" s="82">
        <v>44895</v>
      </c>
      <c r="C825" s="82"/>
      <c r="D825" s="82"/>
      <c r="E825" s="82"/>
      <c r="F825" s="82"/>
      <c r="G825" s="82"/>
      <c r="H825" s="82"/>
      <c r="I825" s="82"/>
      <c r="J825" s="82"/>
      <c r="K825" s="82"/>
      <c r="L825" s="82"/>
    </row>
    <row r="826" spans="2:12" x14ac:dyDescent="0.25">
      <c r="B826" s="83">
        <v>44995</v>
      </c>
      <c r="C826" s="83"/>
      <c r="D826" s="83"/>
      <c r="E826" s="83"/>
      <c r="F826" s="83"/>
      <c r="G826" s="83"/>
      <c r="H826" s="83"/>
      <c r="I826" s="83"/>
      <c r="J826" s="83"/>
      <c r="K826" s="83"/>
      <c r="L826" s="83"/>
    </row>
    <row r="827" spans="2:12" x14ac:dyDescent="0.25">
      <c r="B827" s="82">
        <v>45095</v>
      </c>
      <c r="C827" s="82"/>
      <c r="D827" s="82"/>
      <c r="E827" s="82"/>
      <c r="F827" s="82"/>
      <c r="G827" s="82"/>
      <c r="H827" s="82"/>
      <c r="I827" s="82"/>
      <c r="J827" s="82"/>
      <c r="K827" s="82"/>
      <c r="L827" s="82"/>
    </row>
    <row r="828" spans="2:12" x14ac:dyDescent="0.25">
      <c r="B828" s="83">
        <v>45195</v>
      </c>
      <c r="C828" s="83"/>
      <c r="D828" s="83"/>
      <c r="E828" s="83"/>
      <c r="F828" s="83"/>
      <c r="G828" s="83"/>
      <c r="H828" s="83"/>
      <c r="I828" s="83"/>
      <c r="J828" s="83"/>
      <c r="K828" s="83"/>
      <c r="L828" s="83"/>
    </row>
    <row r="829" spans="2:12" x14ac:dyDescent="0.25">
      <c r="B829" s="82">
        <v>45295</v>
      </c>
      <c r="C829" s="82"/>
      <c r="D829" s="82"/>
      <c r="E829" s="82"/>
      <c r="F829" s="82"/>
      <c r="G829" s="82"/>
      <c r="H829" s="82"/>
      <c r="I829" s="82"/>
      <c r="J829" s="82"/>
      <c r="K829" s="82"/>
      <c r="L829" s="82"/>
    </row>
    <row r="830" spans="2:12" x14ac:dyDescent="0.25">
      <c r="B830" s="83">
        <v>45395</v>
      </c>
      <c r="C830" s="83"/>
      <c r="D830" s="83"/>
      <c r="E830" s="83"/>
      <c r="F830" s="83"/>
      <c r="G830" s="83"/>
      <c r="H830" s="83"/>
      <c r="I830" s="83"/>
      <c r="J830" s="83"/>
      <c r="K830" s="83"/>
      <c r="L830" s="83"/>
    </row>
    <row r="831" spans="2:12" x14ac:dyDescent="0.25">
      <c r="B831" s="82">
        <v>45495</v>
      </c>
      <c r="C831" s="82"/>
      <c r="D831" s="82"/>
      <c r="E831" s="82"/>
      <c r="F831" s="82"/>
      <c r="G831" s="82"/>
      <c r="H831" s="82"/>
      <c r="I831" s="82"/>
      <c r="J831" s="82"/>
      <c r="K831" s="82"/>
      <c r="L831" s="82"/>
    </row>
    <row r="832" spans="2:12" x14ac:dyDescent="0.25">
      <c r="B832" s="83">
        <v>45595</v>
      </c>
      <c r="C832" s="83"/>
      <c r="D832" s="83"/>
      <c r="E832" s="83"/>
      <c r="F832" s="83"/>
      <c r="G832" s="83"/>
      <c r="H832" s="83"/>
      <c r="I832" s="83"/>
      <c r="J832" s="83"/>
      <c r="K832" s="83"/>
      <c r="L832" s="83"/>
    </row>
    <row r="833" spans="2:12" x14ac:dyDescent="0.25">
      <c r="B833" s="82">
        <v>45695</v>
      </c>
      <c r="C833" s="82"/>
      <c r="D833" s="82"/>
      <c r="E833" s="82"/>
      <c r="F833" s="82"/>
      <c r="G833" s="82"/>
      <c r="H833" s="82"/>
      <c r="I833" s="82"/>
      <c r="J833" s="82"/>
      <c r="K833" s="82"/>
      <c r="L833" s="82"/>
    </row>
    <row r="834" spans="2:12" x14ac:dyDescent="0.25">
      <c r="B834" s="83">
        <v>45795</v>
      </c>
      <c r="C834" s="83"/>
      <c r="D834" s="83"/>
      <c r="E834" s="83"/>
      <c r="F834" s="83"/>
      <c r="G834" s="83"/>
      <c r="H834" s="83"/>
      <c r="I834" s="83"/>
      <c r="J834" s="83"/>
      <c r="K834" s="83"/>
      <c r="L834" s="83"/>
    </row>
    <row r="835" spans="2:12" x14ac:dyDescent="0.25">
      <c r="B835" s="82">
        <v>45895</v>
      </c>
      <c r="C835" s="82"/>
      <c r="D835" s="82"/>
      <c r="E835" s="82"/>
      <c r="F835" s="82"/>
      <c r="G835" s="82"/>
      <c r="H835" s="82"/>
      <c r="I835" s="82"/>
      <c r="J835" s="82"/>
      <c r="K835" s="82"/>
      <c r="L835" s="82"/>
    </row>
    <row r="836" spans="2:12" x14ac:dyDescent="0.25">
      <c r="B836" s="83">
        <v>45995</v>
      </c>
      <c r="C836" s="83"/>
      <c r="D836" s="83"/>
      <c r="E836" s="83"/>
      <c r="F836" s="83"/>
      <c r="G836" s="83"/>
      <c r="H836" s="83"/>
      <c r="I836" s="83"/>
      <c r="J836" s="83"/>
      <c r="K836" s="83"/>
      <c r="L836" s="83"/>
    </row>
    <row r="837" spans="2:12" x14ac:dyDescent="0.25">
      <c r="B837" s="82">
        <v>46095</v>
      </c>
      <c r="C837" s="82"/>
      <c r="D837" s="82"/>
      <c r="E837" s="82"/>
      <c r="F837" s="82"/>
      <c r="G837" s="82"/>
      <c r="H837" s="82"/>
      <c r="I837" s="82"/>
      <c r="J837" s="82"/>
      <c r="K837" s="82"/>
      <c r="L837" s="82"/>
    </row>
    <row r="838" spans="2:12" x14ac:dyDescent="0.25">
      <c r="B838" s="83">
        <v>46195</v>
      </c>
      <c r="C838" s="83"/>
      <c r="D838" s="83"/>
      <c r="E838" s="83"/>
      <c r="F838" s="83"/>
      <c r="G838" s="83"/>
      <c r="H838" s="83"/>
      <c r="I838" s="83"/>
      <c r="J838" s="83"/>
      <c r="K838" s="83"/>
      <c r="L838" s="83"/>
    </row>
    <row r="839" spans="2:12" x14ac:dyDescent="0.25">
      <c r="B839" s="82">
        <v>46295</v>
      </c>
      <c r="C839" s="82"/>
      <c r="D839" s="82"/>
      <c r="E839" s="82"/>
      <c r="F839" s="82"/>
      <c r="G839" s="82"/>
      <c r="H839" s="82"/>
      <c r="I839" s="82"/>
      <c r="J839" s="82"/>
      <c r="K839" s="82"/>
      <c r="L839" s="82"/>
    </row>
    <row r="840" spans="2:12" x14ac:dyDescent="0.25">
      <c r="B840" s="83">
        <v>46395</v>
      </c>
      <c r="C840" s="83"/>
      <c r="D840" s="83"/>
      <c r="E840" s="83"/>
      <c r="F840" s="83"/>
      <c r="G840" s="83"/>
      <c r="H840" s="83"/>
      <c r="I840" s="83"/>
      <c r="J840" s="83"/>
      <c r="K840" s="83"/>
      <c r="L840" s="83"/>
    </row>
    <row r="841" spans="2:12" x14ac:dyDescent="0.25">
      <c r="B841" s="82">
        <v>46495</v>
      </c>
      <c r="C841" s="82"/>
      <c r="D841" s="82"/>
      <c r="E841" s="82"/>
      <c r="F841" s="82"/>
      <c r="G841" s="82"/>
      <c r="H841" s="82"/>
      <c r="I841" s="82"/>
      <c r="J841" s="82"/>
      <c r="K841" s="82"/>
      <c r="L841" s="82"/>
    </row>
    <row r="842" spans="2:12" x14ac:dyDescent="0.25">
      <c r="B842" s="83">
        <v>46595</v>
      </c>
      <c r="C842" s="83"/>
      <c r="D842" s="83"/>
      <c r="E842" s="83"/>
      <c r="F842" s="83"/>
      <c r="G842" s="83"/>
      <c r="H842" s="83"/>
      <c r="I842" s="83"/>
      <c r="J842" s="83"/>
      <c r="K842" s="83"/>
      <c r="L842" s="83"/>
    </row>
    <row r="843" spans="2:12" x14ac:dyDescent="0.25">
      <c r="B843" s="82">
        <v>46695</v>
      </c>
      <c r="C843" s="82"/>
      <c r="D843" s="82"/>
      <c r="E843" s="82"/>
      <c r="F843" s="82"/>
      <c r="G843" s="82"/>
      <c r="H843" s="82"/>
      <c r="I843" s="82"/>
      <c r="J843" s="82"/>
      <c r="K843" s="82"/>
      <c r="L843" s="82"/>
    </row>
    <row r="844" spans="2:12" x14ac:dyDescent="0.25">
      <c r="B844" s="83">
        <v>46795</v>
      </c>
      <c r="C844" s="83"/>
      <c r="D844" s="83"/>
      <c r="E844" s="83"/>
      <c r="F844" s="83"/>
      <c r="G844" s="83"/>
      <c r="H844" s="83"/>
      <c r="I844" s="83"/>
      <c r="J844" s="83"/>
      <c r="K844" s="83"/>
      <c r="L844" s="83"/>
    </row>
    <row r="845" spans="2:12" x14ac:dyDescent="0.25">
      <c r="B845" s="82">
        <v>46895</v>
      </c>
      <c r="C845" s="82"/>
      <c r="D845" s="82"/>
      <c r="E845" s="82"/>
      <c r="F845" s="82"/>
      <c r="G845" s="82"/>
      <c r="H845" s="82"/>
      <c r="I845" s="82"/>
      <c r="J845" s="82"/>
      <c r="K845" s="82"/>
      <c r="L845" s="82"/>
    </row>
    <row r="846" spans="2:12" x14ac:dyDescent="0.25">
      <c r="B846" s="83">
        <v>46995</v>
      </c>
      <c r="C846" s="83"/>
      <c r="D846" s="83"/>
      <c r="E846" s="83"/>
      <c r="F846" s="83"/>
      <c r="G846" s="83"/>
      <c r="H846" s="83"/>
      <c r="I846" s="83"/>
      <c r="J846" s="83"/>
      <c r="K846" s="83"/>
      <c r="L846" s="83"/>
    </row>
    <row r="847" spans="2:12" x14ac:dyDescent="0.25">
      <c r="B847" s="82">
        <v>47095</v>
      </c>
      <c r="C847" s="82"/>
      <c r="D847" s="82"/>
      <c r="E847" s="82"/>
      <c r="F847" s="82"/>
      <c r="G847" s="82"/>
      <c r="H847" s="82"/>
      <c r="I847" s="82"/>
      <c r="J847" s="82"/>
      <c r="K847" s="82"/>
      <c r="L847" s="82"/>
    </row>
    <row r="848" spans="2:12" x14ac:dyDescent="0.25">
      <c r="B848" s="83">
        <v>47195</v>
      </c>
      <c r="C848" s="83"/>
      <c r="D848" s="83"/>
      <c r="E848" s="83"/>
      <c r="F848" s="83"/>
      <c r="G848" s="83"/>
      <c r="H848" s="83"/>
      <c r="I848" s="83"/>
      <c r="J848" s="83"/>
      <c r="K848" s="83"/>
      <c r="L848" s="83"/>
    </row>
    <row r="849" spans="2:12" x14ac:dyDescent="0.25">
      <c r="B849" s="82">
        <v>47295</v>
      </c>
      <c r="C849" s="82"/>
      <c r="D849" s="82"/>
      <c r="E849" s="82"/>
      <c r="F849" s="82"/>
      <c r="G849" s="82"/>
      <c r="H849" s="82"/>
      <c r="I849" s="82"/>
      <c r="J849" s="82"/>
      <c r="K849" s="82"/>
      <c r="L849" s="82"/>
    </row>
    <row r="850" spans="2:12" x14ac:dyDescent="0.25">
      <c r="B850" s="83">
        <v>47395</v>
      </c>
      <c r="C850" s="83"/>
      <c r="D850" s="83"/>
      <c r="E850" s="83"/>
      <c r="F850" s="83"/>
      <c r="G850" s="83"/>
      <c r="H850" s="83"/>
      <c r="I850" s="83"/>
      <c r="J850" s="83"/>
      <c r="K850" s="83"/>
      <c r="L850" s="83"/>
    </row>
    <row r="851" spans="2:12" x14ac:dyDescent="0.25">
      <c r="B851" s="82">
        <v>47495</v>
      </c>
      <c r="C851" s="82"/>
      <c r="D851" s="82"/>
      <c r="E851" s="82"/>
      <c r="F851" s="82"/>
      <c r="G851" s="82"/>
      <c r="H851" s="82"/>
      <c r="I851" s="82"/>
      <c r="J851" s="82"/>
      <c r="K851" s="82"/>
      <c r="L851" s="82"/>
    </row>
    <row r="852" spans="2:12" x14ac:dyDescent="0.25">
      <c r="B852" s="83">
        <v>47595</v>
      </c>
      <c r="C852" s="83"/>
      <c r="D852" s="83"/>
      <c r="E852" s="83"/>
      <c r="F852" s="83"/>
      <c r="G852" s="83"/>
      <c r="H852" s="83"/>
      <c r="I852" s="83"/>
      <c r="J852" s="83"/>
      <c r="K852" s="83"/>
      <c r="L852" s="83"/>
    </row>
    <row r="853" spans="2:12" x14ac:dyDescent="0.25">
      <c r="B853" s="82">
        <v>47695</v>
      </c>
      <c r="C853" s="82"/>
      <c r="D853" s="82"/>
      <c r="E853" s="82"/>
      <c r="F853" s="82"/>
      <c r="G853" s="82"/>
      <c r="H853" s="82"/>
      <c r="I853" s="82"/>
      <c r="J853" s="82"/>
      <c r="K853" s="82"/>
      <c r="L853" s="82"/>
    </row>
    <row r="854" spans="2:12" x14ac:dyDescent="0.25">
      <c r="B854" s="83">
        <v>47795</v>
      </c>
      <c r="C854" s="83"/>
      <c r="D854" s="83"/>
      <c r="E854" s="83"/>
      <c r="F854" s="83"/>
      <c r="G854" s="83"/>
      <c r="H854" s="83"/>
      <c r="I854" s="83"/>
      <c r="J854" s="83"/>
      <c r="K854" s="83"/>
      <c r="L854" s="83"/>
    </row>
    <row r="855" spans="2:12" x14ac:dyDescent="0.25">
      <c r="B855" s="82">
        <v>47895</v>
      </c>
      <c r="C855" s="82"/>
      <c r="D855" s="82"/>
      <c r="E855" s="82"/>
      <c r="F855" s="82"/>
      <c r="G855" s="82"/>
      <c r="H855" s="82"/>
      <c r="I855" s="82"/>
      <c r="J855" s="82"/>
      <c r="K855" s="82"/>
      <c r="L855" s="82"/>
    </row>
    <row r="856" spans="2:12" x14ac:dyDescent="0.25">
      <c r="B856" s="83">
        <v>47995</v>
      </c>
      <c r="C856" s="83"/>
      <c r="D856" s="83"/>
      <c r="E856" s="83"/>
      <c r="F856" s="83"/>
      <c r="G856" s="83"/>
      <c r="H856" s="83"/>
      <c r="I856" s="83"/>
      <c r="J856" s="83"/>
      <c r="K856" s="83"/>
      <c r="L856" s="83"/>
    </row>
    <row r="857" spans="2:12" x14ac:dyDescent="0.25">
      <c r="B857" s="82">
        <v>48095</v>
      </c>
      <c r="C857" s="82"/>
      <c r="D857" s="82"/>
      <c r="E857" s="82"/>
      <c r="F857" s="82"/>
      <c r="G857" s="82"/>
      <c r="H857" s="82"/>
      <c r="I857" s="82"/>
      <c r="J857" s="82"/>
      <c r="K857" s="82"/>
      <c r="L857" s="82"/>
    </row>
    <row r="858" spans="2:12" x14ac:dyDescent="0.25">
      <c r="B858" s="83">
        <v>48195</v>
      </c>
      <c r="C858" s="83"/>
      <c r="D858" s="83"/>
      <c r="E858" s="83"/>
      <c r="F858" s="83"/>
      <c r="G858" s="83"/>
      <c r="H858" s="83"/>
      <c r="I858" s="83"/>
      <c r="J858" s="83"/>
      <c r="K858" s="83"/>
      <c r="L858" s="83"/>
    </row>
    <row r="859" spans="2:12" x14ac:dyDescent="0.25">
      <c r="B859" s="82">
        <v>48295</v>
      </c>
      <c r="C859" s="82"/>
      <c r="D859" s="82"/>
      <c r="E859" s="82"/>
      <c r="F859" s="82"/>
      <c r="G859" s="82"/>
      <c r="H859" s="82"/>
      <c r="I859" s="82"/>
      <c r="J859" s="82"/>
      <c r="K859" s="82"/>
      <c r="L859" s="82"/>
    </row>
    <row r="860" spans="2:12" x14ac:dyDescent="0.25">
      <c r="B860" s="83">
        <v>48395</v>
      </c>
      <c r="C860" s="83"/>
      <c r="D860" s="83"/>
      <c r="E860" s="83"/>
      <c r="F860" s="83"/>
      <c r="G860" s="83"/>
      <c r="H860" s="83"/>
      <c r="I860" s="83"/>
      <c r="J860" s="83"/>
      <c r="K860" s="83"/>
      <c r="L860" s="83"/>
    </row>
    <row r="861" spans="2:12" x14ac:dyDescent="0.25">
      <c r="B861" s="82">
        <v>48495</v>
      </c>
      <c r="C861" s="82"/>
      <c r="D861" s="82"/>
      <c r="E861" s="82"/>
      <c r="F861" s="82"/>
      <c r="G861" s="82"/>
      <c r="H861" s="82"/>
      <c r="I861" s="82"/>
      <c r="J861" s="82"/>
      <c r="K861" s="82"/>
      <c r="L861" s="82"/>
    </row>
    <row r="862" spans="2:12" x14ac:dyDescent="0.25">
      <c r="B862" s="83">
        <v>48595</v>
      </c>
      <c r="C862" s="83"/>
      <c r="D862" s="83"/>
      <c r="E862" s="83"/>
      <c r="F862" s="83"/>
      <c r="G862" s="83"/>
      <c r="H862" s="83"/>
      <c r="I862" s="83"/>
      <c r="J862" s="83"/>
      <c r="K862" s="83"/>
      <c r="L862" s="83"/>
    </row>
    <row r="863" spans="2:12" x14ac:dyDescent="0.25">
      <c r="B863" s="82">
        <v>48695</v>
      </c>
      <c r="C863" s="82"/>
      <c r="D863" s="82"/>
      <c r="E863" s="82"/>
      <c r="F863" s="82"/>
      <c r="G863" s="82"/>
      <c r="H863" s="82"/>
      <c r="I863" s="82"/>
      <c r="J863" s="82"/>
      <c r="K863" s="82"/>
      <c r="L863" s="82"/>
    </row>
    <row r="864" spans="2:12" x14ac:dyDescent="0.25">
      <c r="B864" s="83">
        <v>48795</v>
      </c>
      <c r="C864" s="83"/>
      <c r="D864" s="83"/>
      <c r="E864" s="83"/>
      <c r="F864" s="83"/>
      <c r="G864" s="83"/>
      <c r="H864" s="83"/>
      <c r="I864" s="83"/>
      <c r="J864" s="83"/>
      <c r="K864" s="83"/>
      <c r="L864" s="83"/>
    </row>
    <row r="865" spans="2:12" x14ac:dyDescent="0.25">
      <c r="B865" s="82">
        <v>48895</v>
      </c>
      <c r="C865" s="82"/>
      <c r="D865" s="82"/>
      <c r="E865" s="82"/>
      <c r="F865" s="82"/>
      <c r="G865" s="82"/>
      <c r="H865" s="82"/>
      <c r="I865" s="82"/>
      <c r="J865" s="82"/>
      <c r="K865" s="82"/>
      <c r="L865" s="82"/>
    </row>
    <row r="866" spans="2:12" x14ac:dyDescent="0.25">
      <c r="B866" s="83">
        <v>48995</v>
      </c>
      <c r="C866" s="83"/>
      <c r="D866" s="83"/>
      <c r="E866" s="83"/>
      <c r="F866" s="83"/>
      <c r="G866" s="83"/>
      <c r="H866" s="83"/>
      <c r="I866" s="83"/>
      <c r="J866" s="83"/>
      <c r="K866" s="83"/>
      <c r="L866" s="83"/>
    </row>
    <row r="867" spans="2:12" x14ac:dyDescent="0.25">
      <c r="B867" s="82">
        <v>49095</v>
      </c>
      <c r="C867" s="82"/>
      <c r="D867" s="82"/>
      <c r="E867" s="82"/>
      <c r="F867" s="82"/>
      <c r="G867" s="82"/>
      <c r="H867" s="82"/>
      <c r="I867" s="82"/>
      <c r="J867" s="82"/>
      <c r="K867" s="82"/>
      <c r="L867" s="82"/>
    </row>
    <row r="868" spans="2:12" x14ac:dyDescent="0.25">
      <c r="B868" s="83">
        <v>49195</v>
      </c>
      <c r="C868" s="83"/>
      <c r="D868" s="83"/>
      <c r="E868" s="83"/>
      <c r="F868" s="83"/>
      <c r="G868" s="83"/>
      <c r="H868" s="83"/>
      <c r="I868" s="83"/>
      <c r="J868" s="83"/>
      <c r="K868" s="83"/>
      <c r="L868" s="83"/>
    </row>
    <row r="869" spans="2:12" x14ac:dyDescent="0.25">
      <c r="B869" s="82">
        <v>49295</v>
      </c>
      <c r="C869" s="82"/>
      <c r="D869" s="82"/>
      <c r="E869" s="82"/>
      <c r="F869" s="82"/>
      <c r="G869" s="82"/>
      <c r="H869" s="82"/>
      <c r="I869" s="82"/>
      <c r="J869" s="82"/>
      <c r="K869" s="82"/>
      <c r="L869" s="82"/>
    </row>
    <row r="870" spans="2:12" x14ac:dyDescent="0.25">
      <c r="B870" s="83">
        <v>49395</v>
      </c>
      <c r="C870" s="83"/>
      <c r="D870" s="83"/>
      <c r="E870" s="83"/>
      <c r="F870" s="83"/>
      <c r="G870" s="83"/>
      <c r="H870" s="83"/>
      <c r="I870" s="83"/>
      <c r="J870" s="83"/>
      <c r="K870" s="83"/>
      <c r="L870" s="83"/>
    </row>
    <row r="871" spans="2:12" x14ac:dyDescent="0.25">
      <c r="B871" s="82">
        <v>49495</v>
      </c>
      <c r="C871" s="82"/>
      <c r="D871" s="82"/>
      <c r="E871" s="82"/>
      <c r="F871" s="82"/>
      <c r="G871" s="82"/>
      <c r="H871" s="82"/>
      <c r="I871" s="82"/>
      <c r="J871" s="82"/>
      <c r="K871" s="82"/>
      <c r="L871" s="82"/>
    </row>
    <row r="872" spans="2:12" x14ac:dyDescent="0.25">
      <c r="B872" s="83">
        <v>49595</v>
      </c>
      <c r="C872" s="83"/>
      <c r="D872" s="83"/>
      <c r="E872" s="83"/>
      <c r="F872" s="83"/>
      <c r="G872" s="83"/>
      <c r="H872" s="83"/>
      <c r="I872" s="83"/>
      <c r="J872" s="83"/>
      <c r="K872" s="83"/>
      <c r="L872" s="83"/>
    </row>
    <row r="873" spans="2:12" x14ac:dyDescent="0.25">
      <c r="B873" s="82">
        <v>49695</v>
      </c>
      <c r="C873" s="82"/>
      <c r="D873" s="82"/>
      <c r="E873" s="82"/>
      <c r="F873" s="82"/>
      <c r="G873" s="82"/>
      <c r="H873" s="82"/>
      <c r="I873" s="82"/>
      <c r="J873" s="82"/>
      <c r="K873" s="82"/>
      <c r="L873" s="82"/>
    </row>
    <row r="874" spans="2:12" x14ac:dyDescent="0.25">
      <c r="B874" s="83">
        <v>49795</v>
      </c>
      <c r="C874" s="83"/>
      <c r="D874" s="83"/>
      <c r="E874" s="83"/>
      <c r="F874" s="83"/>
      <c r="G874" s="83"/>
      <c r="H874" s="83"/>
      <c r="I874" s="83"/>
      <c r="J874" s="83"/>
      <c r="K874" s="83"/>
      <c r="L874" s="83"/>
    </row>
    <row r="875" spans="2:12" x14ac:dyDescent="0.25">
      <c r="B875" s="82">
        <v>49895</v>
      </c>
      <c r="C875" s="82"/>
      <c r="D875" s="82"/>
      <c r="E875" s="82"/>
      <c r="F875" s="82"/>
      <c r="G875" s="82"/>
      <c r="H875" s="82"/>
      <c r="I875" s="82"/>
      <c r="J875" s="82"/>
      <c r="K875" s="82"/>
      <c r="L875" s="82"/>
    </row>
    <row r="876" spans="2:12" x14ac:dyDescent="0.25">
      <c r="B876" s="83">
        <v>49995</v>
      </c>
      <c r="C876" s="83"/>
      <c r="D876" s="83"/>
      <c r="E876" s="83"/>
      <c r="F876" s="83"/>
      <c r="G876" s="83"/>
      <c r="H876" s="83"/>
      <c r="I876" s="83"/>
      <c r="J876" s="83"/>
      <c r="K876" s="83"/>
      <c r="L876" s="83"/>
    </row>
    <row r="877" spans="2:12" x14ac:dyDescent="0.25">
      <c r="B877" s="82">
        <v>50095</v>
      </c>
      <c r="C877" s="82"/>
      <c r="D877" s="82"/>
      <c r="E877" s="82"/>
      <c r="F877" s="82"/>
      <c r="G877" s="82"/>
      <c r="H877" s="82"/>
      <c r="I877" s="82"/>
      <c r="J877" s="82"/>
      <c r="K877" s="82"/>
      <c r="L877" s="82"/>
    </row>
    <row r="878" spans="2:12" x14ac:dyDescent="0.25">
      <c r="B878" s="83">
        <v>50195</v>
      </c>
      <c r="C878" s="83"/>
      <c r="D878" s="83"/>
      <c r="E878" s="83"/>
      <c r="F878" s="83"/>
      <c r="G878" s="83"/>
      <c r="H878" s="83"/>
      <c r="I878" s="83"/>
      <c r="J878" s="83"/>
      <c r="K878" s="83"/>
      <c r="L878" s="83"/>
    </row>
    <row r="879" spans="2:12" x14ac:dyDescent="0.25">
      <c r="B879" s="82">
        <v>50295</v>
      </c>
      <c r="C879" s="82"/>
      <c r="D879" s="82"/>
      <c r="E879" s="82"/>
      <c r="F879" s="82"/>
      <c r="G879" s="82"/>
      <c r="H879" s="82"/>
      <c r="I879" s="82"/>
      <c r="J879" s="82"/>
      <c r="K879" s="82"/>
      <c r="L879" s="82"/>
    </row>
    <row r="880" spans="2:12" x14ac:dyDescent="0.25">
      <c r="B880" s="83">
        <v>50395</v>
      </c>
      <c r="C880" s="83"/>
      <c r="D880" s="83"/>
      <c r="E880" s="83"/>
      <c r="F880" s="83"/>
      <c r="G880" s="83"/>
      <c r="H880" s="83"/>
      <c r="I880" s="83"/>
      <c r="J880" s="83"/>
      <c r="K880" s="83"/>
      <c r="L880" s="83"/>
    </row>
    <row r="881" spans="2:12" x14ac:dyDescent="0.25">
      <c r="B881" s="82">
        <v>50495</v>
      </c>
      <c r="C881" s="82"/>
      <c r="D881" s="82"/>
      <c r="E881" s="82"/>
      <c r="F881" s="82"/>
      <c r="G881" s="82"/>
      <c r="H881" s="82"/>
      <c r="I881" s="82"/>
      <c r="J881" s="82"/>
      <c r="K881" s="82"/>
      <c r="L881" s="82"/>
    </row>
    <row r="882" spans="2:12" x14ac:dyDescent="0.25">
      <c r="B882" s="83">
        <v>50595</v>
      </c>
      <c r="C882" s="83"/>
      <c r="D882" s="83"/>
      <c r="E882" s="83"/>
      <c r="F882" s="83"/>
      <c r="G882" s="83"/>
      <c r="H882" s="83"/>
      <c r="I882" s="83"/>
      <c r="J882" s="83"/>
      <c r="K882" s="83"/>
      <c r="L882" s="83"/>
    </row>
    <row r="883" spans="2:12" x14ac:dyDescent="0.25">
      <c r="B883" s="82">
        <v>50695</v>
      </c>
      <c r="C883" s="82"/>
      <c r="D883" s="82"/>
      <c r="E883" s="82"/>
      <c r="F883" s="82"/>
      <c r="G883" s="82"/>
      <c r="H883" s="82"/>
      <c r="I883" s="82"/>
      <c r="J883" s="82"/>
      <c r="K883" s="82"/>
      <c r="L883" s="82"/>
    </row>
    <row r="884" spans="2:12" x14ac:dyDescent="0.25">
      <c r="B884" s="83">
        <v>50795</v>
      </c>
      <c r="C884" s="83"/>
      <c r="D884" s="83"/>
      <c r="E884" s="83"/>
      <c r="F884" s="83"/>
      <c r="G884" s="83"/>
      <c r="H884" s="83"/>
      <c r="I884" s="83"/>
      <c r="J884" s="83"/>
      <c r="K884" s="83"/>
      <c r="L884" s="83"/>
    </row>
    <row r="885" spans="2:12" x14ac:dyDescent="0.25">
      <c r="B885" s="82">
        <v>50895</v>
      </c>
      <c r="C885" s="82"/>
      <c r="D885" s="82"/>
      <c r="E885" s="82"/>
      <c r="F885" s="82"/>
      <c r="G885" s="82"/>
      <c r="H885" s="82"/>
      <c r="I885" s="82"/>
      <c r="J885" s="82"/>
      <c r="K885" s="82"/>
      <c r="L885" s="82"/>
    </row>
    <row r="886" spans="2:12" x14ac:dyDescent="0.25">
      <c r="B886" s="83">
        <v>50995</v>
      </c>
      <c r="C886" s="83"/>
      <c r="D886" s="83"/>
      <c r="E886" s="83"/>
      <c r="F886" s="83"/>
      <c r="G886" s="83"/>
      <c r="H886" s="83"/>
      <c r="I886" s="83"/>
      <c r="J886" s="83"/>
      <c r="K886" s="83"/>
      <c r="L886" s="83"/>
    </row>
    <row r="887" spans="2:12" x14ac:dyDescent="0.25">
      <c r="B887" s="82">
        <v>51095</v>
      </c>
      <c r="C887" s="82"/>
      <c r="D887" s="82"/>
      <c r="E887" s="82"/>
      <c r="F887" s="82"/>
      <c r="G887" s="82"/>
      <c r="H887" s="82"/>
      <c r="I887" s="82"/>
      <c r="J887" s="82"/>
      <c r="K887" s="82"/>
      <c r="L887" s="82"/>
    </row>
    <row r="888" spans="2:12" x14ac:dyDescent="0.25">
      <c r="B888" s="83">
        <v>51195</v>
      </c>
      <c r="C888" s="83"/>
      <c r="D888" s="83"/>
      <c r="E888" s="83"/>
      <c r="F888" s="83"/>
      <c r="G888" s="83"/>
      <c r="H888" s="83"/>
      <c r="I888" s="83"/>
      <c r="J888" s="83"/>
      <c r="K888" s="83"/>
      <c r="L888" s="83"/>
    </row>
    <row r="889" spans="2:12" x14ac:dyDescent="0.25">
      <c r="B889" s="82">
        <v>51295</v>
      </c>
      <c r="C889" s="82"/>
      <c r="D889" s="82"/>
      <c r="E889" s="82"/>
      <c r="F889" s="82"/>
      <c r="G889" s="82"/>
      <c r="H889" s="82"/>
      <c r="I889" s="82"/>
      <c r="J889" s="82"/>
      <c r="K889" s="82"/>
      <c r="L889" s="82"/>
    </row>
    <row r="890" spans="2:12" x14ac:dyDescent="0.25">
      <c r="B890" s="83">
        <v>51395</v>
      </c>
      <c r="C890" s="83"/>
      <c r="D890" s="83"/>
      <c r="E890" s="83"/>
      <c r="F890" s="83"/>
      <c r="G890" s="83"/>
      <c r="H890" s="83"/>
      <c r="I890" s="83"/>
      <c r="J890" s="83"/>
      <c r="K890" s="83"/>
      <c r="L890" s="83"/>
    </row>
    <row r="891" spans="2:12" x14ac:dyDescent="0.25">
      <c r="B891" s="82">
        <v>51495</v>
      </c>
      <c r="C891" s="82"/>
      <c r="D891" s="82"/>
      <c r="E891" s="82"/>
      <c r="F891" s="82"/>
      <c r="G891" s="82"/>
      <c r="H891" s="82"/>
      <c r="I891" s="82"/>
      <c r="J891" s="82"/>
      <c r="K891" s="82"/>
      <c r="L891" s="82"/>
    </row>
    <row r="892" spans="2:12" x14ac:dyDescent="0.25">
      <c r="B892" s="83">
        <v>51595</v>
      </c>
      <c r="C892" s="83"/>
      <c r="D892" s="83"/>
      <c r="E892" s="83"/>
      <c r="F892" s="83"/>
      <c r="G892" s="83"/>
      <c r="H892" s="83"/>
      <c r="I892" s="83"/>
      <c r="J892" s="83"/>
      <c r="K892" s="83"/>
      <c r="L892" s="83"/>
    </row>
    <row r="893" spans="2:12" x14ac:dyDescent="0.25">
      <c r="B893" s="82">
        <v>51695</v>
      </c>
      <c r="C893" s="82"/>
      <c r="D893" s="82"/>
      <c r="E893" s="82"/>
      <c r="F893" s="82"/>
      <c r="G893" s="82"/>
      <c r="H893" s="82"/>
      <c r="I893" s="82"/>
      <c r="J893" s="82"/>
      <c r="K893" s="82"/>
      <c r="L893" s="82"/>
    </row>
    <row r="894" spans="2:12" x14ac:dyDescent="0.25">
      <c r="B894" s="83">
        <v>51795</v>
      </c>
      <c r="C894" s="83"/>
      <c r="D894" s="83"/>
      <c r="E894" s="83"/>
      <c r="F894" s="83"/>
      <c r="G894" s="83"/>
      <c r="H894" s="83"/>
      <c r="I894" s="83"/>
      <c r="J894" s="83"/>
      <c r="K894" s="83"/>
      <c r="L894" s="83"/>
    </row>
    <row r="895" spans="2:12" x14ac:dyDescent="0.25">
      <c r="B895" s="82">
        <v>51895</v>
      </c>
      <c r="C895" s="82"/>
      <c r="D895" s="82"/>
      <c r="E895" s="82"/>
      <c r="F895" s="82"/>
      <c r="G895" s="82"/>
      <c r="H895" s="82"/>
      <c r="I895" s="82"/>
      <c r="J895" s="82"/>
      <c r="K895" s="82"/>
      <c r="L895" s="82"/>
    </row>
    <row r="896" spans="2:12" x14ac:dyDescent="0.25">
      <c r="B896" s="83">
        <v>51995</v>
      </c>
      <c r="C896" s="83"/>
      <c r="D896" s="83"/>
      <c r="E896" s="83"/>
      <c r="F896" s="83"/>
      <c r="G896" s="83"/>
      <c r="H896" s="83"/>
      <c r="I896" s="83"/>
      <c r="J896" s="83"/>
      <c r="K896" s="83"/>
      <c r="L896" s="83"/>
    </row>
    <row r="897" spans="2:12" x14ac:dyDescent="0.25">
      <c r="B897" s="82">
        <v>52095</v>
      </c>
      <c r="C897" s="82"/>
      <c r="D897" s="82"/>
      <c r="E897" s="82"/>
      <c r="F897" s="82"/>
      <c r="G897" s="82"/>
      <c r="H897" s="82"/>
      <c r="I897" s="82"/>
      <c r="J897" s="82"/>
      <c r="K897" s="82"/>
      <c r="L897" s="82"/>
    </row>
    <row r="898" spans="2:12" x14ac:dyDescent="0.25">
      <c r="B898" s="83">
        <v>52195</v>
      </c>
      <c r="C898" s="83"/>
      <c r="D898" s="83"/>
      <c r="E898" s="83"/>
      <c r="F898" s="83"/>
      <c r="G898" s="83"/>
      <c r="H898" s="83"/>
      <c r="I898" s="83"/>
      <c r="J898" s="83"/>
      <c r="K898" s="83"/>
      <c r="L898" s="83"/>
    </row>
    <row r="899" spans="2:12" x14ac:dyDescent="0.25">
      <c r="B899" s="82">
        <v>52295</v>
      </c>
      <c r="C899" s="82"/>
      <c r="D899" s="82"/>
      <c r="E899" s="82"/>
      <c r="F899" s="82"/>
      <c r="G899" s="82"/>
      <c r="H899" s="82"/>
      <c r="I899" s="82"/>
      <c r="J899" s="82"/>
      <c r="K899" s="82"/>
      <c r="L899" s="82"/>
    </row>
    <row r="900" spans="2:12" x14ac:dyDescent="0.25">
      <c r="B900" s="83">
        <v>52395</v>
      </c>
      <c r="C900" s="83"/>
      <c r="D900" s="83"/>
      <c r="E900" s="83"/>
      <c r="F900" s="83"/>
      <c r="G900" s="83"/>
      <c r="H900" s="83"/>
      <c r="I900" s="83"/>
      <c r="J900" s="83"/>
      <c r="K900" s="83"/>
      <c r="L900" s="83"/>
    </row>
    <row r="901" spans="2:12" x14ac:dyDescent="0.25">
      <c r="B901" s="82">
        <v>52495</v>
      </c>
      <c r="C901" s="82"/>
      <c r="D901" s="82"/>
      <c r="E901" s="82"/>
      <c r="F901" s="82"/>
      <c r="G901" s="82"/>
      <c r="H901" s="82"/>
      <c r="I901" s="82"/>
      <c r="J901" s="82"/>
      <c r="K901" s="82"/>
      <c r="L901" s="82"/>
    </row>
    <row r="902" spans="2:12" x14ac:dyDescent="0.25">
      <c r="B902" s="83">
        <v>52595</v>
      </c>
      <c r="C902" s="83"/>
      <c r="D902" s="83"/>
      <c r="E902" s="83"/>
      <c r="F902" s="83"/>
      <c r="G902" s="83"/>
      <c r="H902" s="83"/>
      <c r="I902" s="83"/>
      <c r="J902" s="83"/>
      <c r="K902" s="83"/>
      <c r="L902" s="83"/>
    </row>
    <row r="903" spans="2:12" x14ac:dyDescent="0.25">
      <c r="B903" s="82">
        <v>52695</v>
      </c>
      <c r="C903" s="82"/>
      <c r="D903" s="82"/>
      <c r="E903" s="82"/>
      <c r="F903" s="82"/>
      <c r="G903" s="82"/>
      <c r="H903" s="82"/>
      <c r="I903" s="82"/>
      <c r="J903" s="82"/>
      <c r="K903" s="82"/>
      <c r="L903" s="82"/>
    </row>
    <row r="904" spans="2:12" x14ac:dyDescent="0.25">
      <c r="B904" s="83">
        <v>52795</v>
      </c>
      <c r="C904" s="83"/>
      <c r="D904" s="83"/>
      <c r="E904" s="83"/>
      <c r="F904" s="83"/>
      <c r="G904" s="83"/>
      <c r="H904" s="83"/>
      <c r="I904" s="83"/>
      <c r="J904" s="83"/>
      <c r="K904" s="83"/>
      <c r="L904" s="83"/>
    </row>
    <row r="905" spans="2:12" x14ac:dyDescent="0.25">
      <c r="B905" s="82">
        <v>52895</v>
      </c>
      <c r="C905" s="82"/>
      <c r="D905" s="82"/>
      <c r="E905" s="82"/>
      <c r="F905" s="82"/>
      <c r="G905" s="82"/>
      <c r="H905" s="82"/>
      <c r="I905" s="82"/>
      <c r="J905" s="82"/>
      <c r="K905" s="82"/>
      <c r="L905" s="82"/>
    </row>
    <row r="906" spans="2:12" x14ac:dyDescent="0.25">
      <c r="B906" s="83">
        <v>52995</v>
      </c>
      <c r="C906" s="83"/>
      <c r="D906" s="83"/>
      <c r="E906" s="83"/>
      <c r="F906" s="83"/>
      <c r="G906" s="83"/>
      <c r="H906" s="83"/>
      <c r="I906" s="83"/>
      <c r="J906" s="83"/>
      <c r="K906" s="83"/>
      <c r="L906" s="83"/>
    </row>
    <row r="907" spans="2:12" x14ac:dyDescent="0.25">
      <c r="B907" s="82">
        <v>53095</v>
      </c>
      <c r="C907" s="82"/>
      <c r="D907" s="82"/>
      <c r="E907" s="82"/>
      <c r="F907" s="82"/>
      <c r="G907" s="82"/>
      <c r="H907" s="82"/>
      <c r="I907" s="82"/>
      <c r="J907" s="82"/>
      <c r="K907" s="82"/>
      <c r="L907" s="82"/>
    </row>
    <row r="908" spans="2:12" x14ac:dyDescent="0.25">
      <c r="B908" s="83">
        <v>53195</v>
      </c>
      <c r="C908" s="83"/>
      <c r="D908" s="83"/>
      <c r="E908" s="83"/>
      <c r="F908" s="83"/>
      <c r="G908" s="83"/>
      <c r="H908" s="83"/>
      <c r="I908" s="83"/>
      <c r="J908" s="83"/>
      <c r="K908" s="83"/>
      <c r="L908" s="83"/>
    </row>
    <row r="909" spans="2:12" x14ac:dyDescent="0.25">
      <c r="B909" s="82">
        <v>53295</v>
      </c>
      <c r="C909" s="82"/>
      <c r="D909" s="82"/>
      <c r="E909" s="82"/>
      <c r="F909" s="82"/>
      <c r="G909" s="82"/>
      <c r="H909" s="82"/>
      <c r="I909" s="82"/>
      <c r="J909" s="82"/>
      <c r="K909" s="82"/>
      <c r="L909" s="82"/>
    </row>
    <row r="910" spans="2:12" x14ac:dyDescent="0.25">
      <c r="B910" s="83">
        <v>53395</v>
      </c>
      <c r="C910" s="83"/>
      <c r="D910" s="83"/>
      <c r="E910" s="83"/>
      <c r="F910" s="83"/>
      <c r="G910" s="83"/>
      <c r="H910" s="83"/>
      <c r="I910" s="83"/>
      <c r="J910" s="83"/>
      <c r="K910" s="83"/>
      <c r="L910" s="83"/>
    </row>
    <row r="911" spans="2:12" x14ac:dyDescent="0.25">
      <c r="B911" s="82">
        <v>53495</v>
      </c>
      <c r="C911" s="82"/>
      <c r="D911" s="82"/>
      <c r="E911" s="82"/>
      <c r="F911" s="82"/>
      <c r="G911" s="82"/>
      <c r="H911" s="82"/>
      <c r="I911" s="82"/>
      <c r="J911" s="82"/>
      <c r="K911" s="82"/>
      <c r="L911" s="82"/>
    </row>
    <row r="912" spans="2:12" x14ac:dyDescent="0.25">
      <c r="B912" s="83">
        <v>53595</v>
      </c>
      <c r="C912" s="83"/>
      <c r="D912" s="83"/>
      <c r="E912" s="83"/>
      <c r="F912" s="83"/>
      <c r="G912" s="83"/>
      <c r="H912" s="83"/>
      <c r="I912" s="83"/>
      <c r="J912" s="83"/>
      <c r="K912" s="83"/>
      <c r="L912" s="83"/>
    </row>
    <row r="913" spans="2:12" x14ac:dyDescent="0.25">
      <c r="B913" s="82">
        <v>53695</v>
      </c>
      <c r="C913" s="82"/>
      <c r="D913" s="82"/>
      <c r="E913" s="82"/>
      <c r="F913" s="82"/>
      <c r="G913" s="82"/>
      <c r="H913" s="82"/>
      <c r="I913" s="82"/>
      <c r="J913" s="82"/>
      <c r="K913" s="82"/>
      <c r="L913" s="82"/>
    </row>
    <row r="914" spans="2:12" x14ac:dyDescent="0.25">
      <c r="B914" s="83">
        <v>53795</v>
      </c>
      <c r="C914" s="83"/>
      <c r="D914" s="83"/>
      <c r="E914" s="83"/>
      <c r="F914" s="83"/>
      <c r="G914" s="83"/>
      <c r="H914" s="83"/>
      <c r="I914" s="83"/>
      <c r="J914" s="83"/>
      <c r="K914" s="83"/>
      <c r="L914" s="83"/>
    </row>
    <row r="915" spans="2:12" x14ac:dyDescent="0.25">
      <c r="B915" s="82">
        <v>53895</v>
      </c>
      <c r="C915" s="82"/>
      <c r="D915" s="82"/>
      <c r="E915" s="82"/>
      <c r="F915" s="82"/>
      <c r="G915" s="82"/>
      <c r="H915" s="82"/>
      <c r="I915" s="82"/>
      <c r="J915" s="82"/>
      <c r="K915" s="82"/>
      <c r="L915" s="82"/>
    </row>
    <row r="916" spans="2:12" x14ac:dyDescent="0.25">
      <c r="B916" s="83">
        <v>53995</v>
      </c>
      <c r="C916" s="83"/>
      <c r="D916" s="83"/>
      <c r="E916" s="83"/>
      <c r="F916" s="83"/>
      <c r="G916" s="83"/>
      <c r="H916" s="83"/>
      <c r="I916" s="83"/>
      <c r="J916" s="83"/>
      <c r="K916" s="83"/>
      <c r="L916" s="83"/>
    </row>
    <row r="917" spans="2:12" x14ac:dyDescent="0.25">
      <c r="B917" s="82">
        <v>54095</v>
      </c>
      <c r="C917" s="82"/>
      <c r="D917" s="82"/>
      <c r="E917" s="82"/>
      <c r="F917" s="82"/>
      <c r="G917" s="82"/>
      <c r="H917" s="82"/>
      <c r="I917" s="82"/>
      <c r="J917" s="82"/>
      <c r="K917" s="82"/>
      <c r="L917" s="82"/>
    </row>
    <row r="918" spans="2:12" x14ac:dyDescent="0.25">
      <c r="B918" s="83">
        <v>54195</v>
      </c>
      <c r="C918" s="83"/>
      <c r="D918" s="83"/>
      <c r="E918" s="83"/>
      <c r="F918" s="83"/>
      <c r="G918" s="83"/>
      <c r="H918" s="83"/>
      <c r="I918" s="83"/>
      <c r="J918" s="83"/>
      <c r="K918" s="83"/>
      <c r="L918" s="83"/>
    </row>
    <row r="919" spans="2:12" x14ac:dyDescent="0.25">
      <c r="B919" s="82">
        <v>54295</v>
      </c>
      <c r="C919" s="82"/>
      <c r="D919" s="82"/>
      <c r="E919" s="82"/>
      <c r="F919" s="82"/>
      <c r="G919" s="82"/>
      <c r="H919" s="82"/>
      <c r="I919" s="82"/>
      <c r="J919" s="82"/>
      <c r="K919" s="82"/>
      <c r="L919" s="82"/>
    </row>
    <row r="920" spans="2:12" x14ac:dyDescent="0.25">
      <c r="B920" s="83">
        <v>54395</v>
      </c>
      <c r="C920" s="83"/>
      <c r="D920" s="83"/>
      <c r="E920" s="83"/>
      <c r="F920" s="83"/>
      <c r="G920" s="83"/>
      <c r="H920" s="83"/>
      <c r="I920" s="83"/>
      <c r="J920" s="83"/>
      <c r="K920" s="83"/>
      <c r="L920" s="83"/>
    </row>
    <row r="921" spans="2:12" x14ac:dyDescent="0.25">
      <c r="B921" s="82">
        <v>54495</v>
      </c>
      <c r="C921" s="82"/>
      <c r="D921" s="82"/>
      <c r="E921" s="82"/>
      <c r="F921" s="82"/>
      <c r="G921" s="82"/>
      <c r="H921" s="82"/>
      <c r="I921" s="82"/>
      <c r="J921" s="82"/>
      <c r="K921" s="82"/>
      <c r="L921" s="82"/>
    </row>
    <row r="922" spans="2:12" x14ac:dyDescent="0.25">
      <c r="B922" s="83">
        <v>54595</v>
      </c>
      <c r="C922" s="83"/>
      <c r="D922" s="83"/>
      <c r="E922" s="83"/>
      <c r="F922" s="83"/>
      <c r="G922" s="83"/>
      <c r="H922" s="83"/>
      <c r="I922" s="83"/>
      <c r="J922" s="83"/>
      <c r="K922" s="83"/>
      <c r="L922" s="83"/>
    </row>
    <row r="923" spans="2:12" x14ac:dyDescent="0.25">
      <c r="B923" s="82">
        <v>54695</v>
      </c>
      <c r="C923" s="82"/>
      <c r="D923" s="82"/>
      <c r="E923" s="82"/>
      <c r="F923" s="82"/>
      <c r="G923" s="82"/>
      <c r="H923" s="82"/>
      <c r="I923" s="82"/>
      <c r="J923" s="82"/>
      <c r="K923" s="82"/>
      <c r="L923" s="82"/>
    </row>
    <row r="924" spans="2:12" x14ac:dyDescent="0.25">
      <c r="B924" s="83">
        <v>54795</v>
      </c>
      <c r="C924" s="83"/>
      <c r="D924" s="83"/>
      <c r="E924" s="83"/>
      <c r="F924" s="83"/>
      <c r="G924" s="83"/>
      <c r="H924" s="83"/>
      <c r="I924" s="83"/>
      <c r="J924" s="83"/>
      <c r="K924" s="83"/>
      <c r="L924" s="83"/>
    </row>
    <row r="925" spans="2:12" x14ac:dyDescent="0.25">
      <c r="B925" s="82">
        <v>54895</v>
      </c>
      <c r="C925" s="82"/>
      <c r="D925" s="82"/>
      <c r="E925" s="82"/>
      <c r="F925" s="82"/>
      <c r="G925" s="82"/>
      <c r="H925" s="82"/>
      <c r="I925" s="82"/>
      <c r="J925" s="82"/>
      <c r="K925" s="82"/>
      <c r="L925" s="82"/>
    </row>
    <row r="926" spans="2:12" x14ac:dyDescent="0.25">
      <c r="B926" s="83">
        <v>54995</v>
      </c>
      <c r="C926" s="83"/>
      <c r="D926" s="83"/>
      <c r="E926" s="83"/>
      <c r="F926" s="83"/>
      <c r="G926" s="83"/>
      <c r="H926" s="83"/>
      <c r="I926" s="83"/>
      <c r="J926" s="83"/>
      <c r="K926" s="83"/>
      <c r="L926" s="83"/>
    </row>
    <row r="927" spans="2:12" x14ac:dyDescent="0.25">
      <c r="B927" s="82">
        <v>55095</v>
      </c>
      <c r="C927" s="82"/>
      <c r="D927" s="82"/>
      <c r="E927" s="82"/>
      <c r="F927" s="82"/>
      <c r="G927" s="82"/>
      <c r="H927" s="82"/>
      <c r="I927" s="82"/>
      <c r="J927" s="82"/>
      <c r="K927" s="82"/>
      <c r="L927" s="82"/>
    </row>
    <row r="928" spans="2:12" x14ac:dyDescent="0.25">
      <c r="B928" s="83">
        <v>55195</v>
      </c>
      <c r="C928" s="83"/>
      <c r="D928" s="83"/>
      <c r="E928" s="83"/>
      <c r="F928" s="83"/>
      <c r="G928" s="83"/>
      <c r="H928" s="83"/>
      <c r="I928" s="83"/>
      <c r="J928" s="83"/>
      <c r="K928" s="83"/>
      <c r="L928" s="83"/>
    </row>
    <row r="929" spans="2:12" x14ac:dyDescent="0.25">
      <c r="B929" s="82">
        <v>55295</v>
      </c>
      <c r="C929" s="82"/>
      <c r="D929" s="82"/>
      <c r="E929" s="82"/>
      <c r="F929" s="82"/>
      <c r="G929" s="82"/>
      <c r="H929" s="82"/>
      <c r="I929" s="82"/>
      <c r="J929" s="82"/>
      <c r="K929" s="82"/>
      <c r="L929" s="82"/>
    </row>
    <row r="930" spans="2:12" x14ac:dyDescent="0.25">
      <c r="B930" s="83">
        <v>55395</v>
      </c>
      <c r="C930" s="83"/>
      <c r="D930" s="83"/>
      <c r="E930" s="83"/>
      <c r="F930" s="83"/>
      <c r="G930" s="83"/>
      <c r="H930" s="83"/>
      <c r="I930" s="83"/>
      <c r="J930" s="83"/>
      <c r="K930" s="83"/>
      <c r="L930" s="83"/>
    </row>
    <row r="931" spans="2:12" x14ac:dyDescent="0.25">
      <c r="B931" s="82">
        <v>55495</v>
      </c>
      <c r="C931" s="82"/>
      <c r="D931" s="82"/>
      <c r="E931" s="82"/>
      <c r="F931" s="82"/>
      <c r="G931" s="82"/>
      <c r="H931" s="82"/>
      <c r="I931" s="82"/>
      <c r="J931" s="82"/>
      <c r="K931" s="82"/>
      <c r="L931" s="82"/>
    </row>
    <row r="932" spans="2:12" x14ac:dyDescent="0.25">
      <c r="B932" s="83">
        <v>55595</v>
      </c>
      <c r="C932" s="83"/>
      <c r="D932" s="83"/>
      <c r="E932" s="83"/>
      <c r="F932" s="83"/>
      <c r="G932" s="83"/>
      <c r="H932" s="83"/>
      <c r="I932" s="83"/>
      <c r="J932" s="83"/>
      <c r="K932" s="83"/>
      <c r="L932" s="83"/>
    </row>
    <row r="933" spans="2:12" x14ac:dyDescent="0.25">
      <c r="B933" s="82">
        <v>55695</v>
      </c>
      <c r="C933" s="82"/>
      <c r="D933" s="82"/>
      <c r="E933" s="82"/>
      <c r="F933" s="82"/>
      <c r="G933" s="82"/>
      <c r="H933" s="82"/>
      <c r="I933" s="82"/>
      <c r="J933" s="82"/>
      <c r="K933" s="82"/>
      <c r="L933" s="82"/>
    </row>
    <row r="934" spans="2:12" x14ac:dyDescent="0.25">
      <c r="B934" s="83">
        <v>55795</v>
      </c>
      <c r="C934" s="83"/>
      <c r="D934" s="83"/>
      <c r="E934" s="83"/>
      <c r="F934" s="83"/>
      <c r="G934" s="83"/>
      <c r="H934" s="83"/>
      <c r="I934" s="83"/>
      <c r="J934" s="83"/>
      <c r="K934" s="83"/>
      <c r="L934" s="83"/>
    </row>
    <row r="935" spans="2:12" x14ac:dyDescent="0.25">
      <c r="B935" s="82">
        <v>55895</v>
      </c>
      <c r="C935" s="82"/>
      <c r="D935" s="82"/>
      <c r="E935" s="82"/>
      <c r="F935" s="82"/>
      <c r="G935" s="82"/>
      <c r="H935" s="82"/>
      <c r="I935" s="82"/>
      <c r="J935" s="82"/>
      <c r="K935" s="82"/>
      <c r="L935" s="82"/>
    </row>
    <row r="936" spans="2:12" x14ac:dyDescent="0.25">
      <c r="B936" s="83">
        <v>55995</v>
      </c>
      <c r="C936" s="83"/>
      <c r="D936" s="83"/>
      <c r="E936" s="83"/>
      <c r="F936" s="83"/>
      <c r="G936" s="83"/>
      <c r="H936" s="83"/>
      <c r="I936" s="83"/>
      <c r="J936" s="83"/>
      <c r="K936" s="83"/>
      <c r="L936" s="83"/>
    </row>
    <row r="937" spans="2:12" x14ac:dyDescent="0.25">
      <c r="B937" s="82">
        <v>56095</v>
      </c>
      <c r="C937" s="82"/>
      <c r="D937" s="82"/>
      <c r="E937" s="82"/>
      <c r="F937" s="82"/>
      <c r="G937" s="82"/>
      <c r="H937" s="82"/>
      <c r="I937" s="82"/>
      <c r="J937" s="82"/>
      <c r="K937" s="82"/>
      <c r="L937" s="82"/>
    </row>
    <row r="938" spans="2:12" x14ac:dyDescent="0.25">
      <c r="B938" s="83">
        <v>56195</v>
      </c>
      <c r="C938" s="83"/>
      <c r="D938" s="83"/>
      <c r="E938" s="83"/>
      <c r="F938" s="83"/>
      <c r="G938" s="83"/>
      <c r="H938" s="83"/>
      <c r="I938" s="83"/>
      <c r="J938" s="83"/>
      <c r="K938" s="83"/>
      <c r="L938" s="83"/>
    </row>
    <row r="939" spans="2:12" x14ac:dyDescent="0.25">
      <c r="B939" s="82">
        <v>56295</v>
      </c>
      <c r="C939" s="82"/>
      <c r="D939" s="82"/>
      <c r="E939" s="82"/>
      <c r="F939" s="82"/>
      <c r="G939" s="82"/>
      <c r="H939" s="82"/>
      <c r="I939" s="82"/>
      <c r="J939" s="82"/>
      <c r="K939" s="82"/>
      <c r="L939" s="82"/>
    </row>
    <row r="940" spans="2:12" x14ac:dyDescent="0.25">
      <c r="B940" s="83">
        <v>56395</v>
      </c>
      <c r="C940" s="83"/>
      <c r="D940" s="83"/>
      <c r="E940" s="83"/>
      <c r="F940" s="83"/>
      <c r="G940" s="83"/>
      <c r="H940" s="83"/>
      <c r="I940" s="83"/>
      <c r="J940" s="83"/>
      <c r="K940" s="83"/>
      <c r="L940" s="83"/>
    </row>
    <row r="941" spans="2:12" x14ac:dyDescent="0.25">
      <c r="B941" s="82">
        <v>56495</v>
      </c>
      <c r="C941" s="82"/>
      <c r="D941" s="82"/>
      <c r="E941" s="82"/>
      <c r="F941" s="82"/>
      <c r="G941" s="82"/>
      <c r="H941" s="82"/>
      <c r="I941" s="82"/>
      <c r="J941" s="82"/>
      <c r="K941" s="82"/>
      <c r="L941" s="82"/>
    </row>
    <row r="942" spans="2:12" x14ac:dyDescent="0.25">
      <c r="B942" s="83">
        <v>56595</v>
      </c>
      <c r="C942" s="83"/>
      <c r="D942" s="83"/>
      <c r="E942" s="83"/>
      <c r="F942" s="83"/>
      <c r="G942" s="83"/>
      <c r="H942" s="83"/>
      <c r="I942" s="83"/>
      <c r="J942" s="83"/>
      <c r="K942" s="83"/>
      <c r="L942" s="83"/>
    </row>
    <row r="943" spans="2:12" x14ac:dyDescent="0.25">
      <c r="B943" s="82">
        <v>56695</v>
      </c>
      <c r="C943" s="82"/>
      <c r="D943" s="82"/>
      <c r="E943" s="82"/>
      <c r="F943" s="82"/>
      <c r="G943" s="82"/>
      <c r="H943" s="82"/>
      <c r="I943" s="82"/>
      <c r="J943" s="82"/>
      <c r="K943" s="82"/>
      <c r="L943" s="82"/>
    </row>
    <row r="944" spans="2:12" x14ac:dyDescent="0.25">
      <c r="B944" s="83">
        <v>56795</v>
      </c>
      <c r="C944" s="83"/>
      <c r="D944" s="83"/>
      <c r="E944" s="83"/>
      <c r="F944" s="83"/>
      <c r="G944" s="83"/>
      <c r="H944" s="83"/>
      <c r="I944" s="83"/>
      <c r="J944" s="83"/>
      <c r="K944" s="83"/>
      <c r="L944" s="83"/>
    </row>
    <row r="945" spans="2:12" x14ac:dyDescent="0.25">
      <c r="B945" s="82">
        <v>56895</v>
      </c>
      <c r="C945" s="82"/>
      <c r="D945" s="82"/>
      <c r="E945" s="82"/>
      <c r="F945" s="82"/>
      <c r="G945" s="82"/>
      <c r="H945" s="82"/>
      <c r="I945" s="82"/>
      <c r="J945" s="82"/>
      <c r="K945" s="82"/>
      <c r="L945" s="82"/>
    </row>
    <row r="946" spans="2:12" x14ac:dyDescent="0.25">
      <c r="B946" s="83">
        <v>56995</v>
      </c>
      <c r="C946" s="83"/>
      <c r="D946" s="83"/>
      <c r="E946" s="83"/>
      <c r="F946" s="83"/>
      <c r="G946" s="83"/>
      <c r="H946" s="83"/>
      <c r="I946" s="83"/>
      <c r="J946" s="83"/>
      <c r="K946" s="83"/>
      <c r="L946" s="83"/>
    </row>
    <row r="947" spans="2:12" x14ac:dyDescent="0.25">
      <c r="B947" s="82">
        <v>57095</v>
      </c>
      <c r="C947" s="82"/>
      <c r="D947" s="82"/>
      <c r="E947" s="82"/>
      <c r="F947" s="82"/>
      <c r="G947" s="82"/>
      <c r="H947" s="82"/>
      <c r="I947" s="82"/>
      <c r="J947" s="82"/>
      <c r="K947" s="82"/>
      <c r="L947" s="82"/>
    </row>
    <row r="948" spans="2:12" x14ac:dyDescent="0.25">
      <c r="B948" s="83">
        <v>57195</v>
      </c>
      <c r="C948" s="83"/>
      <c r="D948" s="83"/>
      <c r="E948" s="83"/>
      <c r="F948" s="83"/>
      <c r="G948" s="83"/>
      <c r="H948" s="83"/>
      <c r="I948" s="83"/>
      <c r="J948" s="83"/>
      <c r="K948" s="83"/>
      <c r="L948" s="83"/>
    </row>
    <row r="949" spans="2:12" x14ac:dyDescent="0.25">
      <c r="B949" s="82">
        <v>57295</v>
      </c>
      <c r="C949" s="82"/>
      <c r="D949" s="82"/>
      <c r="E949" s="82"/>
      <c r="F949" s="82"/>
      <c r="G949" s="82"/>
      <c r="H949" s="82"/>
      <c r="I949" s="82"/>
      <c r="J949" s="82"/>
      <c r="K949" s="82"/>
      <c r="L949" s="82"/>
    </row>
    <row r="950" spans="2:12" x14ac:dyDescent="0.25">
      <c r="B950" s="83">
        <v>57395</v>
      </c>
      <c r="C950" s="83"/>
      <c r="D950" s="83"/>
      <c r="E950" s="83"/>
      <c r="F950" s="83"/>
      <c r="G950" s="83"/>
      <c r="H950" s="83"/>
      <c r="I950" s="83"/>
      <c r="J950" s="83"/>
      <c r="K950" s="83"/>
      <c r="L950" s="83"/>
    </row>
    <row r="951" spans="2:12" x14ac:dyDescent="0.25">
      <c r="B951" s="82">
        <v>57495</v>
      </c>
      <c r="C951" s="82"/>
      <c r="D951" s="82"/>
      <c r="E951" s="82"/>
      <c r="F951" s="82"/>
      <c r="G951" s="82"/>
      <c r="H951" s="82"/>
      <c r="I951" s="82"/>
      <c r="J951" s="82"/>
      <c r="K951" s="82"/>
      <c r="L951" s="82"/>
    </row>
    <row r="952" spans="2:12" x14ac:dyDescent="0.25">
      <c r="B952" s="83">
        <v>57595</v>
      </c>
      <c r="C952" s="83"/>
      <c r="D952" s="83"/>
      <c r="E952" s="83"/>
      <c r="F952" s="83"/>
      <c r="G952" s="83"/>
      <c r="H952" s="83"/>
      <c r="I952" s="83"/>
      <c r="J952" s="83"/>
      <c r="K952" s="83"/>
      <c r="L952" s="83"/>
    </row>
    <row r="953" spans="2:12" x14ac:dyDescent="0.25">
      <c r="B953" s="82">
        <v>57695</v>
      </c>
      <c r="C953" s="82"/>
      <c r="D953" s="82"/>
      <c r="E953" s="82"/>
      <c r="F953" s="82"/>
      <c r="G953" s="82"/>
      <c r="H953" s="82"/>
      <c r="I953" s="82"/>
      <c r="J953" s="82"/>
      <c r="K953" s="82"/>
      <c r="L953" s="82"/>
    </row>
    <row r="954" spans="2:12" x14ac:dyDescent="0.25">
      <c r="B954" s="83">
        <v>57795</v>
      </c>
      <c r="C954" s="83"/>
      <c r="D954" s="83"/>
      <c r="E954" s="83"/>
      <c r="F954" s="83"/>
      <c r="G954" s="83"/>
      <c r="H954" s="83"/>
      <c r="I954" s="83"/>
      <c r="J954" s="83"/>
      <c r="K954" s="83"/>
      <c r="L954" s="83"/>
    </row>
    <row r="955" spans="2:12" x14ac:dyDescent="0.25">
      <c r="B955" s="82">
        <v>57895</v>
      </c>
      <c r="C955" s="82"/>
      <c r="D955" s="82"/>
      <c r="E955" s="82"/>
      <c r="F955" s="82"/>
      <c r="G955" s="82"/>
      <c r="H955" s="82"/>
      <c r="I955" s="82"/>
      <c r="J955" s="82"/>
      <c r="K955" s="82"/>
      <c r="L955" s="82"/>
    </row>
    <row r="956" spans="2:12" x14ac:dyDescent="0.25">
      <c r="B956" s="83">
        <v>57995</v>
      </c>
      <c r="C956" s="83"/>
      <c r="D956" s="83"/>
      <c r="E956" s="83"/>
      <c r="F956" s="83"/>
      <c r="G956" s="83"/>
      <c r="H956" s="83"/>
      <c r="I956" s="83"/>
      <c r="J956" s="83"/>
      <c r="K956" s="83"/>
      <c r="L956" s="83"/>
    </row>
    <row r="957" spans="2:12" x14ac:dyDescent="0.25">
      <c r="B957" s="82">
        <v>58095</v>
      </c>
      <c r="C957" s="82"/>
      <c r="D957" s="82"/>
      <c r="E957" s="82"/>
      <c r="F957" s="82"/>
      <c r="G957" s="82"/>
      <c r="H957" s="82"/>
      <c r="I957" s="82"/>
      <c r="J957" s="82"/>
      <c r="K957" s="82"/>
      <c r="L957" s="82"/>
    </row>
    <row r="958" spans="2:12" x14ac:dyDescent="0.25">
      <c r="B958" s="83">
        <v>58195</v>
      </c>
      <c r="C958" s="83"/>
      <c r="D958" s="83"/>
      <c r="E958" s="83"/>
      <c r="F958" s="83"/>
      <c r="G958" s="83"/>
      <c r="H958" s="83"/>
      <c r="I958" s="83"/>
      <c r="J958" s="83"/>
      <c r="K958" s="83"/>
      <c r="L958" s="83"/>
    </row>
    <row r="959" spans="2:12" x14ac:dyDescent="0.25">
      <c r="B959" s="82">
        <v>58295</v>
      </c>
      <c r="C959" s="82"/>
      <c r="D959" s="82"/>
      <c r="E959" s="82"/>
      <c r="F959" s="82"/>
      <c r="G959" s="82"/>
      <c r="H959" s="82"/>
      <c r="I959" s="82"/>
      <c r="J959" s="82"/>
      <c r="K959" s="82"/>
      <c r="L959" s="82"/>
    </row>
    <row r="960" spans="2:12" x14ac:dyDescent="0.25">
      <c r="B960" s="83">
        <v>58395</v>
      </c>
      <c r="C960" s="83"/>
      <c r="D960" s="83"/>
      <c r="E960" s="83"/>
      <c r="F960" s="83"/>
      <c r="G960" s="83"/>
      <c r="H960" s="83"/>
      <c r="I960" s="83"/>
      <c r="J960" s="83"/>
      <c r="K960" s="83"/>
      <c r="L960" s="83"/>
    </row>
    <row r="961" spans="2:12" x14ac:dyDescent="0.25">
      <c r="B961" s="82">
        <v>58495</v>
      </c>
      <c r="C961" s="82"/>
      <c r="D961" s="82"/>
      <c r="E961" s="82"/>
      <c r="F961" s="82"/>
      <c r="G961" s="82"/>
      <c r="H961" s="82"/>
      <c r="I961" s="82"/>
      <c r="J961" s="82"/>
      <c r="K961" s="82"/>
      <c r="L961" s="82"/>
    </row>
    <row r="962" spans="2:12" x14ac:dyDescent="0.25">
      <c r="B962" s="83">
        <v>58595</v>
      </c>
      <c r="C962" s="83"/>
      <c r="D962" s="83"/>
      <c r="E962" s="83"/>
      <c r="F962" s="83"/>
      <c r="G962" s="83"/>
      <c r="H962" s="83"/>
      <c r="I962" s="83"/>
      <c r="J962" s="83"/>
      <c r="K962" s="83"/>
      <c r="L962" s="83"/>
    </row>
    <row r="963" spans="2:12" x14ac:dyDescent="0.25">
      <c r="B963" s="82">
        <v>58695</v>
      </c>
      <c r="C963" s="82"/>
      <c r="D963" s="82"/>
      <c r="E963" s="82"/>
      <c r="F963" s="82"/>
      <c r="G963" s="82"/>
      <c r="H963" s="82"/>
      <c r="I963" s="82"/>
      <c r="J963" s="82"/>
      <c r="K963" s="82"/>
      <c r="L963" s="82"/>
    </row>
    <row r="964" spans="2:12" x14ac:dyDescent="0.25">
      <c r="B964" s="83">
        <v>58795</v>
      </c>
      <c r="C964" s="83"/>
      <c r="D964" s="83"/>
      <c r="E964" s="83"/>
      <c r="F964" s="83"/>
      <c r="G964" s="83"/>
      <c r="H964" s="83"/>
      <c r="I964" s="83"/>
      <c r="J964" s="83"/>
      <c r="K964" s="83"/>
      <c r="L964" s="83"/>
    </row>
    <row r="965" spans="2:12" x14ac:dyDescent="0.25">
      <c r="B965" s="82">
        <v>58895</v>
      </c>
      <c r="C965" s="82"/>
      <c r="D965" s="82"/>
      <c r="E965" s="82"/>
      <c r="F965" s="82"/>
      <c r="G965" s="82"/>
      <c r="H965" s="82"/>
      <c r="I965" s="82"/>
      <c r="J965" s="82"/>
      <c r="K965" s="82"/>
      <c r="L965" s="82"/>
    </row>
    <row r="966" spans="2:12" x14ac:dyDescent="0.25">
      <c r="B966" s="83">
        <v>58995</v>
      </c>
      <c r="C966" s="83"/>
      <c r="D966" s="83"/>
      <c r="E966" s="83"/>
      <c r="F966" s="83"/>
      <c r="G966" s="83"/>
      <c r="H966" s="83"/>
      <c r="I966" s="83"/>
      <c r="J966" s="83"/>
      <c r="K966" s="83"/>
      <c r="L966" s="83"/>
    </row>
    <row r="967" spans="2:12" x14ac:dyDescent="0.25">
      <c r="B967" s="82">
        <v>59095</v>
      </c>
      <c r="C967" s="82"/>
      <c r="D967" s="82"/>
      <c r="E967" s="82"/>
      <c r="F967" s="82"/>
      <c r="G967" s="82"/>
      <c r="H967" s="82"/>
      <c r="I967" s="82"/>
      <c r="J967" s="82"/>
      <c r="K967" s="82"/>
      <c r="L967" s="82"/>
    </row>
    <row r="968" spans="2:12" x14ac:dyDescent="0.25">
      <c r="B968" s="83">
        <v>59195</v>
      </c>
      <c r="C968" s="83"/>
      <c r="D968" s="83"/>
      <c r="E968" s="83"/>
      <c r="F968" s="83"/>
      <c r="G968" s="83"/>
      <c r="H968" s="83"/>
      <c r="I968" s="83"/>
      <c r="J968" s="83"/>
      <c r="K968" s="83"/>
      <c r="L968" s="83"/>
    </row>
    <row r="969" spans="2:12" x14ac:dyDescent="0.25">
      <c r="B969" s="82">
        <v>59295</v>
      </c>
      <c r="C969" s="82"/>
      <c r="D969" s="82"/>
      <c r="E969" s="82"/>
      <c r="F969" s="82"/>
      <c r="G969" s="82"/>
      <c r="H969" s="82"/>
      <c r="I969" s="82"/>
      <c r="J969" s="82"/>
      <c r="K969" s="82"/>
      <c r="L969" s="82"/>
    </row>
    <row r="970" spans="2:12" x14ac:dyDescent="0.25">
      <c r="B970" s="83">
        <v>59395</v>
      </c>
      <c r="C970" s="83"/>
      <c r="D970" s="83"/>
      <c r="E970" s="83"/>
      <c r="F970" s="83"/>
      <c r="G970" s="83"/>
      <c r="H970" s="83"/>
      <c r="I970" s="83"/>
      <c r="J970" s="83"/>
      <c r="K970" s="83"/>
      <c r="L970" s="83"/>
    </row>
    <row r="971" spans="2:12" x14ac:dyDescent="0.25">
      <c r="B971" s="82">
        <v>59495</v>
      </c>
      <c r="C971" s="82"/>
      <c r="D971" s="82"/>
      <c r="E971" s="82"/>
      <c r="F971" s="82"/>
      <c r="G971" s="82"/>
      <c r="H971" s="82"/>
      <c r="I971" s="82"/>
      <c r="J971" s="82"/>
      <c r="K971" s="82"/>
      <c r="L971" s="82"/>
    </row>
    <row r="972" spans="2:12" x14ac:dyDescent="0.25">
      <c r="B972" s="83">
        <v>59595</v>
      </c>
      <c r="C972" s="83"/>
      <c r="D972" s="83"/>
      <c r="E972" s="83"/>
      <c r="F972" s="83"/>
      <c r="G972" s="83"/>
      <c r="H972" s="83"/>
      <c r="I972" s="83"/>
      <c r="J972" s="83"/>
      <c r="K972" s="83"/>
      <c r="L972" s="83"/>
    </row>
    <row r="973" spans="2:12" x14ac:dyDescent="0.25">
      <c r="B973" s="82">
        <v>59695</v>
      </c>
      <c r="C973" s="82"/>
      <c r="D973" s="82"/>
      <c r="E973" s="82"/>
      <c r="F973" s="82"/>
      <c r="G973" s="82"/>
      <c r="H973" s="82"/>
      <c r="I973" s="82"/>
      <c r="J973" s="82"/>
      <c r="K973" s="82"/>
      <c r="L973" s="82"/>
    </row>
    <row r="974" spans="2:12" x14ac:dyDescent="0.25">
      <c r="B974" s="83">
        <v>59795</v>
      </c>
      <c r="C974" s="83"/>
      <c r="D974" s="83"/>
      <c r="E974" s="83"/>
      <c r="F974" s="83"/>
      <c r="G974" s="83"/>
      <c r="H974" s="83"/>
      <c r="I974" s="83"/>
      <c r="J974" s="83"/>
      <c r="K974" s="83"/>
      <c r="L974" s="83"/>
    </row>
    <row r="975" spans="2:12" x14ac:dyDescent="0.25">
      <c r="B975" s="82">
        <v>59895</v>
      </c>
      <c r="C975" s="82"/>
      <c r="D975" s="82"/>
      <c r="E975" s="82"/>
      <c r="F975" s="82"/>
      <c r="G975" s="82"/>
      <c r="H975" s="82"/>
      <c r="I975" s="82"/>
      <c r="J975" s="82"/>
      <c r="K975" s="82"/>
      <c r="L975" s="82"/>
    </row>
    <row r="976" spans="2:12" x14ac:dyDescent="0.25">
      <c r="B976" s="83">
        <v>59995</v>
      </c>
      <c r="C976" s="83"/>
      <c r="D976" s="83"/>
      <c r="E976" s="83"/>
      <c r="F976" s="83"/>
      <c r="G976" s="83"/>
      <c r="H976" s="83"/>
      <c r="I976" s="83"/>
      <c r="J976" s="83"/>
      <c r="K976" s="83"/>
      <c r="L976" s="83"/>
    </row>
    <row r="977" spans="2:12" x14ac:dyDescent="0.25">
      <c r="B977" s="82">
        <v>60095</v>
      </c>
      <c r="C977" s="82"/>
      <c r="D977" s="82"/>
      <c r="E977" s="82"/>
      <c r="F977" s="82"/>
      <c r="G977" s="82"/>
      <c r="H977" s="82"/>
      <c r="I977" s="82"/>
      <c r="J977" s="82"/>
      <c r="K977" s="82"/>
      <c r="L977" s="82"/>
    </row>
    <row r="978" spans="2:12" x14ac:dyDescent="0.25">
      <c r="B978" s="83">
        <v>60195</v>
      </c>
      <c r="C978" s="83"/>
      <c r="D978" s="83"/>
      <c r="E978" s="83"/>
      <c r="F978" s="83"/>
      <c r="G978" s="83"/>
      <c r="H978" s="83"/>
      <c r="I978" s="83"/>
      <c r="J978" s="83"/>
      <c r="K978" s="83"/>
      <c r="L978" s="83"/>
    </row>
    <row r="979" spans="2:12" x14ac:dyDescent="0.25">
      <c r="B979" s="82">
        <v>60295</v>
      </c>
      <c r="C979" s="82"/>
      <c r="D979" s="82"/>
      <c r="E979" s="82"/>
      <c r="F979" s="82"/>
      <c r="G979" s="82"/>
      <c r="H979" s="82"/>
      <c r="I979" s="82"/>
      <c r="J979" s="82"/>
      <c r="K979" s="82"/>
      <c r="L979" s="82"/>
    </row>
    <row r="980" spans="2:12" x14ac:dyDescent="0.25">
      <c r="B980" s="83">
        <v>60395</v>
      </c>
      <c r="C980" s="83"/>
      <c r="D980" s="83"/>
      <c r="E980" s="83"/>
      <c r="F980" s="83"/>
      <c r="G980" s="83"/>
      <c r="H980" s="83"/>
      <c r="I980" s="83"/>
      <c r="J980" s="83"/>
      <c r="K980" s="83"/>
      <c r="L980" s="83"/>
    </row>
    <row r="981" spans="2:12" x14ac:dyDescent="0.25">
      <c r="B981" s="82">
        <v>60495</v>
      </c>
      <c r="C981" s="82"/>
      <c r="D981" s="82"/>
      <c r="E981" s="82"/>
      <c r="F981" s="82"/>
      <c r="G981" s="82"/>
      <c r="H981" s="82"/>
      <c r="I981" s="82"/>
      <c r="J981" s="82"/>
      <c r="K981" s="82"/>
      <c r="L981" s="82"/>
    </row>
    <row r="982" spans="2:12" x14ac:dyDescent="0.25">
      <c r="B982" s="83">
        <v>60595</v>
      </c>
      <c r="C982" s="83"/>
      <c r="D982" s="83"/>
      <c r="E982" s="83"/>
      <c r="F982" s="83"/>
      <c r="G982" s="83"/>
      <c r="H982" s="83"/>
      <c r="I982" s="83"/>
      <c r="J982" s="83"/>
      <c r="K982" s="83"/>
      <c r="L982" s="83"/>
    </row>
    <row r="983" spans="2:12" x14ac:dyDescent="0.25">
      <c r="B983" s="82">
        <v>60695</v>
      </c>
      <c r="C983" s="82"/>
      <c r="D983" s="82"/>
      <c r="E983" s="82"/>
      <c r="F983" s="82"/>
      <c r="G983" s="82"/>
      <c r="H983" s="82"/>
      <c r="I983" s="82"/>
      <c r="J983" s="82"/>
      <c r="K983" s="82"/>
      <c r="L983" s="82"/>
    </row>
    <row r="984" spans="2:12" x14ac:dyDescent="0.25">
      <c r="B984" s="83">
        <v>60795</v>
      </c>
      <c r="C984" s="83"/>
      <c r="D984" s="83"/>
      <c r="E984" s="83"/>
      <c r="F984" s="83"/>
      <c r="G984" s="83"/>
      <c r="H984" s="83"/>
      <c r="I984" s="83"/>
      <c r="J984" s="83"/>
      <c r="K984" s="83"/>
      <c r="L984" s="83"/>
    </row>
    <row r="985" spans="2:12" x14ac:dyDescent="0.25">
      <c r="B985" s="82">
        <v>60895</v>
      </c>
      <c r="C985" s="82"/>
      <c r="D985" s="82"/>
      <c r="E985" s="82"/>
      <c r="F985" s="82"/>
      <c r="G985" s="82"/>
      <c r="H985" s="82"/>
      <c r="I985" s="82"/>
      <c r="J985" s="82"/>
      <c r="K985" s="82"/>
      <c r="L985" s="82"/>
    </row>
    <row r="986" spans="2:12" x14ac:dyDescent="0.25">
      <c r="B986" s="83">
        <v>60995</v>
      </c>
      <c r="C986" s="83"/>
      <c r="D986" s="83"/>
      <c r="E986" s="83"/>
      <c r="F986" s="83"/>
      <c r="G986" s="83"/>
      <c r="H986" s="83"/>
      <c r="I986" s="83"/>
      <c r="J986" s="83"/>
      <c r="K986" s="83"/>
      <c r="L986" s="83"/>
    </row>
    <row r="987" spans="2:12" x14ac:dyDescent="0.25">
      <c r="B987" s="82">
        <v>61095</v>
      </c>
      <c r="C987" s="82"/>
      <c r="D987" s="82"/>
      <c r="E987" s="82"/>
      <c r="F987" s="82"/>
      <c r="G987" s="82"/>
      <c r="H987" s="82"/>
      <c r="I987" s="82"/>
      <c r="J987" s="82"/>
      <c r="K987" s="82"/>
      <c r="L987" s="82"/>
    </row>
    <row r="988" spans="2:12" x14ac:dyDescent="0.25">
      <c r="B988" s="83">
        <v>61195</v>
      </c>
      <c r="C988" s="83"/>
      <c r="D988" s="83"/>
      <c r="E988" s="83"/>
      <c r="F988" s="83"/>
      <c r="G988" s="83"/>
      <c r="H988" s="83"/>
      <c r="I988" s="83"/>
      <c r="J988" s="83"/>
      <c r="K988" s="83"/>
      <c r="L988" s="83"/>
    </row>
    <row r="989" spans="2:12" x14ac:dyDescent="0.25">
      <c r="B989" s="82">
        <v>61295</v>
      </c>
      <c r="C989" s="82"/>
      <c r="D989" s="82"/>
      <c r="E989" s="82"/>
      <c r="F989" s="82"/>
      <c r="G989" s="82"/>
      <c r="H989" s="82"/>
      <c r="I989" s="82"/>
      <c r="J989" s="82"/>
      <c r="K989" s="82"/>
      <c r="L989" s="82"/>
    </row>
    <row r="990" spans="2:12" x14ac:dyDescent="0.25">
      <c r="B990" s="83">
        <v>61395</v>
      </c>
      <c r="C990" s="83"/>
      <c r="D990" s="83"/>
      <c r="E990" s="83"/>
      <c r="F990" s="83"/>
      <c r="G990" s="83"/>
      <c r="H990" s="83"/>
      <c r="I990" s="83"/>
      <c r="J990" s="83"/>
      <c r="K990" s="83"/>
      <c r="L990" s="83"/>
    </row>
    <row r="991" spans="2:12" x14ac:dyDescent="0.25">
      <c r="B991" s="82">
        <v>61495</v>
      </c>
      <c r="C991" s="82"/>
      <c r="D991" s="82"/>
      <c r="E991" s="82"/>
      <c r="F991" s="82"/>
      <c r="G991" s="82"/>
      <c r="H991" s="82"/>
      <c r="I991" s="82"/>
      <c r="J991" s="82"/>
      <c r="K991" s="82"/>
      <c r="L991" s="82"/>
    </row>
    <row r="992" spans="2:12" x14ac:dyDescent="0.25">
      <c r="B992" s="83">
        <v>61595</v>
      </c>
      <c r="C992" s="83"/>
      <c r="D992" s="83"/>
      <c r="E992" s="83"/>
      <c r="F992" s="83"/>
      <c r="G992" s="83"/>
      <c r="H992" s="83"/>
      <c r="I992" s="83"/>
      <c r="J992" s="83"/>
      <c r="K992" s="83"/>
      <c r="L992" s="83"/>
    </row>
    <row r="993" spans="2:12" x14ac:dyDescent="0.25">
      <c r="B993" s="82">
        <v>61695</v>
      </c>
      <c r="C993" s="82"/>
      <c r="D993" s="82"/>
      <c r="E993" s="82"/>
      <c r="F993" s="82"/>
      <c r="G993" s="82"/>
      <c r="H993" s="82"/>
      <c r="I993" s="82"/>
      <c r="J993" s="82"/>
      <c r="K993" s="82"/>
      <c r="L993" s="82"/>
    </row>
    <row r="994" spans="2:12" x14ac:dyDescent="0.25">
      <c r="B994" s="83">
        <v>61795</v>
      </c>
      <c r="C994" s="83"/>
      <c r="D994" s="83"/>
      <c r="E994" s="83"/>
      <c r="F994" s="83"/>
      <c r="G994" s="83"/>
      <c r="H994" s="83"/>
      <c r="I994" s="83"/>
      <c r="J994" s="83"/>
      <c r="K994" s="83"/>
      <c r="L994" s="83"/>
    </row>
    <row r="995" spans="2:12" x14ac:dyDescent="0.25">
      <c r="B995" s="82">
        <v>61895</v>
      </c>
      <c r="C995" s="82"/>
      <c r="D995" s="82"/>
      <c r="E995" s="82"/>
      <c r="F995" s="82"/>
      <c r="G995" s="82"/>
      <c r="H995" s="82"/>
      <c r="I995" s="82"/>
      <c r="J995" s="82"/>
      <c r="K995" s="82"/>
      <c r="L995" s="82"/>
    </row>
    <row r="996" spans="2:12" x14ac:dyDescent="0.25">
      <c r="B996" s="83">
        <v>61995</v>
      </c>
      <c r="C996" s="83"/>
      <c r="D996" s="83"/>
      <c r="E996" s="83"/>
      <c r="F996" s="83"/>
      <c r="G996" s="83"/>
      <c r="H996" s="83"/>
      <c r="I996" s="83"/>
      <c r="J996" s="83"/>
      <c r="K996" s="83"/>
      <c r="L996" s="83"/>
    </row>
    <row r="997" spans="2:12" x14ac:dyDescent="0.25">
      <c r="B997" s="82">
        <v>62095</v>
      </c>
      <c r="C997" s="82"/>
      <c r="D997" s="82"/>
      <c r="E997" s="82"/>
      <c r="F997" s="82"/>
      <c r="G997" s="82"/>
      <c r="H997" s="82"/>
      <c r="I997" s="82"/>
      <c r="J997" s="82"/>
      <c r="K997" s="82"/>
      <c r="L997" s="82"/>
    </row>
    <row r="998" spans="2:12" x14ac:dyDescent="0.25">
      <c r="B998" s="83">
        <v>62195</v>
      </c>
      <c r="C998" s="83"/>
      <c r="D998" s="83"/>
      <c r="E998" s="83"/>
      <c r="F998" s="83"/>
      <c r="G998" s="83"/>
      <c r="H998" s="83"/>
      <c r="I998" s="83"/>
      <c r="J998" s="83"/>
      <c r="K998" s="83"/>
      <c r="L998" s="83"/>
    </row>
    <row r="999" spans="2:12" x14ac:dyDescent="0.25">
      <c r="B999" s="82">
        <v>62295</v>
      </c>
      <c r="C999" s="82"/>
      <c r="D999" s="82"/>
      <c r="E999" s="82"/>
      <c r="F999" s="82"/>
      <c r="G999" s="82"/>
      <c r="H999" s="82"/>
      <c r="I999" s="82"/>
      <c r="J999" s="82"/>
      <c r="K999" s="82"/>
      <c r="L999" s="82"/>
    </row>
    <row r="1000" spans="2:12" x14ac:dyDescent="0.25">
      <c r="B1000" s="83">
        <v>62395</v>
      </c>
      <c r="C1000" s="83"/>
      <c r="D1000" s="83"/>
      <c r="E1000" s="83"/>
      <c r="F1000" s="83"/>
      <c r="G1000" s="83"/>
      <c r="H1000" s="83"/>
      <c r="I1000" s="83"/>
      <c r="J1000" s="83"/>
      <c r="K1000" s="83"/>
      <c r="L1000" s="83"/>
    </row>
    <row r="1001" spans="2:12" x14ac:dyDescent="0.25">
      <c r="B1001" s="82">
        <v>62495</v>
      </c>
      <c r="C1001" s="82"/>
      <c r="D1001" s="82"/>
      <c r="E1001" s="82"/>
      <c r="F1001" s="82"/>
      <c r="G1001" s="82"/>
      <c r="H1001" s="82"/>
      <c r="I1001" s="82"/>
      <c r="J1001" s="82"/>
      <c r="K1001" s="82"/>
      <c r="L1001" s="82"/>
    </row>
    <row r="1002" spans="2:12" x14ac:dyDescent="0.25">
      <c r="B1002" s="83">
        <v>62595</v>
      </c>
      <c r="C1002" s="83"/>
      <c r="D1002" s="83"/>
      <c r="E1002" s="83"/>
      <c r="F1002" s="83"/>
      <c r="G1002" s="83"/>
      <c r="H1002" s="83"/>
      <c r="I1002" s="83"/>
      <c r="J1002" s="83"/>
      <c r="K1002" s="83"/>
      <c r="L1002" s="83"/>
    </row>
    <row r="1003" spans="2:12" x14ac:dyDescent="0.25">
      <c r="B1003" s="82">
        <v>62695</v>
      </c>
      <c r="C1003" s="82"/>
      <c r="D1003" s="82"/>
      <c r="E1003" s="82"/>
      <c r="F1003" s="82"/>
      <c r="G1003" s="82"/>
      <c r="H1003" s="82"/>
      <c r="I1003" s="82"/>
      <c r="J1003" s="82"/>
      <c r="K1003" s="82"/>
      <c r="L1003" s="82"/>
    </row>
    <row r="1004" spans="2:12" x14ac:dyDescent="0.25">
      <c r="B1004" s="83">
        <v>62795</v>
      </c>
      <c r="C1004" s="83"/>
      <c r="D1004" s="83"/>
      <c r="E1004" s="83"/>
      <c r="F1004" s="83"/>
      <c r="G1004" s="83"/>
      <c r="H1004" s="83"/>
      <c r="I1004" s="83"/>
      <c r="J1004" s="83"/>
      <c r="K1004" s="83"/>
      <c r="L1004" s="83"/>
    </row>
    <row r="1005" spans="2:12" x14ac:dyDescent="0.25">
      <c r="B1005" s="82">
        <v>62895</v>
      </c>
      <c r="C1005" s="82"/>
      <c r="D1005" s="82"/>
      <c r="E1005" s="82"/>
      <c r="F1005" s="82"/>
      <c r="G1005" s="82"/>
      <c r="H1005" s="82"/>
      <c r="I1005" s="82"/>
      <c r="J1005" s="82"/>
      <c r="K1005" s="82"/>
      <c r="L1005" s="82"/>
    </row>
    <row r="1006" spans="2:12" x14ac:dyDescent="0.25">
      <c r="B1006" s="83">
        <v>62995</v>
      </c>
      <c r="C1006" s="83"/>
      <c r="D1006" s="83"/>
      <c r="E1006" s="83"/>
      <c r="F1006" s="83"/>
      <c r="G1006" s="83"/>
      <c r="H1006" s="83"/>
      <c r="I1006" s="83"/>
      <c r="J1006" s="83"/>
      <c r="K1006" s="83"/>
      <c r="L1006" s="83"/>
    </row>
    <row r="1007" spans="2:12" x14ac:dyDescent="0.25">
      <c r="B1007" s="82">
        <v>63095</v>
      </c>
      <c r="C1007" s="82"/>
      <c r="D1007" s="82"/>
      <c r="E1007" s="82"/>
      <c r="F1007" s="82"/>
      <c r="G1007" s="82"/>
      <c r="H1007" s="82"/>
      <c r="I1007" s="82"/>
      <c r="J1007" s="82"/>
      <c r="K1007" s="82"/>
      <c r="L1007" s="82"/>
    </row>
    <row r="1008" spans="2:12" x14ac:dyDescent="0.25">
      <c r="B1008" s="83">
        <v>63195</v>
      </c>
      <c r="C1008" s="83"/>
      <c r="D1008" s="83"/>
      <c r="E1008" s="83"/>
      <c r="F1008" s="83"/>
      <c r="G1008" s="83"/>
      <c r="H1008" s="83"/>
      <c r="I1008" s="83"/>
      <c r="J1008" s="83"/>
      <c r="K1008" s="83"/>
      <c r="L1008" s="83"/>
    </row>
    <row r="1009" spans="2:12" x14ac:dyDescent="0.25">
      <c r="B1009" s="82">
        <v>63295</v>
      </c>
      <c r="C1009" s="82"/>
      <c r="D1009" s="82"/>
      <c r="E1009" s="82"/>
      <c r="F1009" s="82"/>
      <c r="G1009" s="82"/>
      <c r="H1009" s="82"/>
      <c r="I1009" s="82"/>
      <c r="J1009" s="82"/>
      <c r="K1009" s="82"/>
      <c r="L1009" s="82"/>
    </row>
    <row r="1010" spans="2:12" x14ac:dyDescent="0.25">
      <c r="B1010" s="83">
        <v>63395</v>
      </c>
      <c r="C1010" s="83"/>
      <c r="D1010" s="83"/>
      <c r="E1010" s="83"/>
      <c r="F1010" s="83"/>
      <c r="G1010" s="83"/>
      <c r="H1010" s="83"/>
      <c r="I1010" s="83"/>
      <c r="J1010" s="83"/>
      <c r="K1010" s="83"/>
      <c r="L1010" s="83"/>
    </row>
    <row r="1011" spans="2:12" x14ac:dyDescent="0.25">
      <c r="B1011" s="82">
        <v>63495</v>
      </c>
      <c r="C1011" s="82"/>
      <c r="D1011" s="82"/>
      <c r="E1011" s="82"/>
      <c r="F1011" s="82"/>
      <c r="G1011" s="82"/>
      <c r="H1011" s="82"/>
      <c r="I1011" s="82"/>
      <c r="J1011" s="82"/>
      <c r="K1011" s="82"/>
      <c r="L1011" s="82"/>
    </row>
    <row r="1012" spans="2:12" x14ac:dyDescent="0.25">
      <c r="B1012" s="83">
        <v>63595</v>
      </c>
      <c r="C1012" s="83"/>
      <c r="D1012" s="83"/>
      <c r="E1012" s="83"/>
      <c r="F1012" s="83"/>
      <c r="G1012" s="83"/>
      <c r="H1012" s="83"/>
      <c r="I1012" s="83"/>
      <c r="J1012" s="83"/>
      <c r="K1012" s="83"/>
      <c r="L1012" s="83"/>
    </row>
    <row r="1013" spans="2:12" x14ac:dyDescent="0.25">
      <c r="B1013" s="82">
        <v>63695</v>
      </c>
      <c r="C1013" s="82"/>
      <c r="D1013" s="82"/>
      <c r="E1013" s="82"/>
      <c r="F1013" s="82"/>
      <c r="G1013" s="82"/>
      <c r="H1013" s="82"/>
      <c r="I1013" s="82"/>
      <c r="J1013" s="82"/>
      <c r="K1013" s="82"/>
      <c r="L1013" s="82"/>
    </row>
    <row r="1014" spans="2:12" x14ac:dyDescent="0.25">
      <c r="B1014" s="83">
        <v>63795</v>
      </c>
      <c r="C1014" s="83"/>
      <c r="D1014" s="83"/>
      <c r="E1014" s="83"/>
      <c r="F1014" s="83"/>
      <c r="G1014" s="83"/>
      <c r="H1014" s="83"/>
      <c r="I1014" s="83"/>
      <c r="J1014" s="83"/>
      <c r="K1014" s="83"/>
      <c r="L1014" s="83"/>
    </row>
    <row r="1015" spans="2:12" x14ac:dyDescent="0.25">
      <c r="B1015" s="82">
        <v>63895</v>
      </c>
      <c r="C1015" s="82"/>
      <c r="D1015" s="82"/>
      <c r="E1015" s="82"/>
      <c r="F1015" s="82"/>
      <c r="G1015" s="82"/>
      <c r="H1015" s="82"/>
      <c r="I1015" s="82"/>
      <c r="J1015" s="82"/>
      <c r="K1015" s="82"/>
      <c r="L1015" s="82"/>
    </row>
    <row r="1016" spans="2:12" x14ac:dyDescent="0.25">
      <c r="B1016" s="83">
        <v>63995</v>
      </c>
      <c r="C1016" s="83"/>
      <c r="D1016" s="83"/>
      <c r="E1016" s="83"/>
      <c r="F1016" s="83"/>
      <c r="G1016" s="83"/>
      <c r="H1016" s="83"/>
      <c r="I1016" s="83"/>
      <c r="J1016" s="83"/>
      <c r="K1016" s="83"/>
      <c r="L1016" s="83"/>
    </row>
    <row r="1017" spans="2:12" x14ac:dyDescent="0.25">
      <c r="B1017" s="82">
        <v>64095</v>
      </c>
      <c r="C1017" s="82"/>
      <c r="D1017" s="82"/>
      <c r="E1017" s="82"/>
      <c r="F1017" s="82"/>
      <c r="G1017" s="82"/>
      <c r="H1017" s="82"/>
      <c r="I1017" s="82"/>
      <c r="J1017" s="82"/>
      <c r="K1017" s="82"/>
      <c r="L1017" s="82"/>
    </row>
    <row r="1018" spans="2:12" x14ac:dyDescent="0.25">
      <c r="B1018" s="83">
        <v>64195</v>
      </c>
      <c r="C1018" s="83"/>
      <c r="D1018" s="83"/>
      <c r="E1018" s="83"/>
      <c r="F1018" s="83"/>
      <c r="G1018" s="83"/>
      <c r="H1018" s="83"/>
      <c r="I1018" s="83"/>
      <c r="J1018" s="83"/>
      <c r="K1018" s="83"/>
      <c r="L1018" s="83"/>
    </row>
    <row r="1019" spans="2:12" x14ac:dyDescent="0.25">
      <c r="B1019" s="82">
        <v>64295</v>
      </c>
      <c r="C1019" s="82"/>
      <c r="D1019" s="82"/>
      <c r="E1019" s="82"/>
      <c r="F1019" s="82"/>
      <c r="G1019" s="82"/>
      <c r="H1019" s="82"/>
      <c r="I1019" s="82"/>
      <c r="J1019" s="82"/>
      <c r="K1019" s="82"/>
      <c r="L1019" s="82"/>
    </row>
    <row r="1020" spans="2:12" x14ac:dyDescent="0.25">
      <c r="B1020" s="83">
        <v>64395</v>
      </c>
      <c r="C1020" s="83"/>
      <c r="D1020" s="83"/>
      <c r="E1020" s="83"/>
      <c r="F1020" s="83"/>
      <c r="G1020" s="83"/>
      <c r="H1020" s="83"/>
      <c r="I1020" s="83"/>
      <c r="J1020" s="83"/>
      <c r="K1020" s="83"/>
      <c r="L1020" s="83"/>
    </row>
    <row r="1021" spans="2:12" x14ac:dyDescent="0.25">
      <c r="B1021" s="82">
        <v>64495</v>
      </c>
      <c r="C1021" s="82"/>
      <c r="D1021" s="82"/>
      <c r="E1021" s="82"/>
      <c r="F1021" s="82"/>
      <c r="G1021" s="82"/>
      <c r="H1021" s="82"/>
      <c r="I1021" s="82"/>
      <c r="J1021" s="82"/>
      <c r="K1021" s="82"/>
      <c r="L1021" s="82"/>
    </row>
    <row r="1022" spans="2:12" x14ac:dyDescent="0.25">
      <c r="B1022" s="83">
        <v>64595</v>
      </c>
      <c r="C1022" s="83"/>
      <c r="D1022" s="83"/>
      <c r="E1022" s="83"/>
      <c r="F1022" s="83"/>
      <c r="G1022" s="83"/>
      <c r="H1022" s="83"/>
      <c r="I1022" s="83"/>
      <c r="J1022" s="83"/>
      <c r="K1022" s="83"/>
      <c r="L1022" s="83"/>
    </row>
    <row r="1023" spans="2:12" x14ac:dyDescent="0.25">
      <c r="B1023" s="82">
        <v>64695</v>
      </c>
      <c r="C1023" s="82"/>
      <c r="D1023" s="82"/>
      <c r="E1023" s="82"/>
      <c r="F1023" s="82"/>
      <c r="G1023" s="82"/>
      <c r="H1023" s="82"/>
      <c r="I1023" s="82"/>
      <c r="J1023" s="82"/>
      <c r="K1023" s="82"/>
      <c r="L1023" s="82"/>
    </row>
    <row r="1024" spans="2:12" x14ac:dyDescent="0.25">
      <c r="B1024" s="83">
        <v>64795</v>
      </c>
      <c r="C1024" s="83"/>
      <c r="D1024" s="83"/>
      <c r="E1024" s="83"/>
      <c r="F1024" s="83"/>
      <c r="G1024" s="83"/>
      <c r="H1024" s="83"/>
      <c r="I1024" s="83"/>
      <c r="J1024" s="83"/>
      <c r="K1024" s="83"/>
      <c r="L1024" s="83"/>
    </row>
    <row r="1025" spans="2:12" x14ac:dyDescent="0.25">
      <c r="B1025" s="82">
        <v>64895</v>
      </c>
      <c r="C1025" s="82"/>
      <c r="D1025" s="82"/>
      <c r="E1025" s="82"/>
      <c r="F1025" s="82"/>
      <c r="G1025" s="82"/>
      <c r="H1025" s="82"/>
      <c r="I1025" s="82"/>
      <c r="J1025" s="82"/>
      <c r="K1025" s="82"/>
      <c r="L1025" s="82"/>
    </row>
    <row r="1026" spans="2:12" x14ac:dyDescent="0.25">
      <c r="B1026" s="83">
        <v>64995</v>
      </c>
      <c r="C1026" s="83"/>
      <c r="D1026" s="83"/>
      <c r="E1026" s="83"/>
      <c r="F1026" s="83"/>
      <c r="G1026" s="83"/>
      <c r="H1026" s="83"/>
      <c r="I1026" s="83"/>
      <c r="J1026" s="83"/>
      <c r="K1026" s="83"/>
      <c r="L1026" s="83"/>
    </row>
    <row r="1027" spans="2:12" x14ac:dyDescent="0.25">
      <c r="B1027" s="82">
        <v>65095</v>
      </c>
      <c r="C1027" s="82"/>
      <c r="D1027" s="82"/>
      <c r="E1027" s="82"/>
      <c r="F1027" s="82"/>
      <c r="G1027" s="82"/>
      <c r="H1027" s="82"/>
      <c r="I1027" s="82"/>
      <c r="J1027" s="82"/>
      <c r="K1027" s="82"/>
      <c r="L1027" s="82"/>
    </row>
    <row r="1028" spans="2:12" x14ac:dyDescent="0.25">
      <c r="B1028" s="83">
        <v>65195</v>
      </c>
      <c r="C1028" s="83"/>
      <c r="D1028" s="83"/>
      <c r="E1028" s="83"/>
      <c r="F1028" s="83"/>
      <c r="G1028" s="83"/>
      <c r="H1028" s="83"/>
      <c r="I1028" s="83"/>
      <c r="J1028" s="83"/>
      <c r="K1028" s="83"/>
      <c r="L1028" s="83"/>
    </row>
    <row r="1029" spans="2:12" x14ac:dyDescent="0.25">
      <c r="B1029" s="82">
        <v>65295</v>
      </c>
      <c r="C1029" s="82"/>
      <c r="D1029" s="82"/>
      <c r="E1029" s="82"/>
      <c r="F1029" s="82"/>
      <c r="G1029" s="82"/>
      <c r="H1029" s="82"/>
      <c r="I1029" s="82"/>
      <c r="J1029" s="82"/>
      <c r="K1029" s="82"/>
      <c r="L1029" s="82"/>
    </row>
    <row r="1030" spans="2:12" x14ac:dyDescent="0.25">
      <c r="B1030" s="83">
        <v>65395</v>
      </c>
      <c r="C1030" s="83"/>
      <c r="D1030" s="83"/>
      <c r="E1030" s="83"/>
      <c r="F1030" s="83"/>
      <c r="G1030" s="83"/>
      <c r="H1030" s="83"/>
      <c r="I1030" s="83"/>
      <c r="J1030" s="83"/>
      <c r="K1030" s="83"/>
      <c r="L1030" s="83"/>
    </row>
    <row r="1031" spans="2:12" x14ac:dyDescent="0.25">
      <c r="B1031" s="82">
        <v>65495</v>
      </c>
      <c r="C1031" s="82"/>
      <c r="D1031" s="82"/>
      <c r="E1031" s="82"/>
      <c r="F1031" s="82"/>
      <c r="G1031" s="82"/>
      <c r="H1031" s="82"/>
      <c r="I1031" s="82"/>
      <c r="J1031" s="82"/>
      <c r="K1031" s="82"/>
      <c r="L1031" s="82"/>
    </row>
    <row r="1032" spans="2:12" x14ac:dyDescent="0.25">
      <c r="B1032" s="83">
        <v>65595</v>
      </c>
      <c r="C1032" s="83"/>
      <c r="D1032" s="83"/>
      <c r="E1032" s="83"/>
      <c r="F1032" s="83"/>
      <c r="G1032" s="83"/>
      <c r="H1032" s="83"/>
      <c r="I1032" s="83"/>
      <c r="J1032" s="83"/>
      <c r="K1032" s="83"/>
      <c r="L1032" s="83"/>
    </row>
    <row r="1033" spans="2:12" x14ac:dyDescent="0.25">
      <c r="B1033" s="82">
        <v>65695</v>
      </c>
      <c r="C1033" s="82"/>
      <c r="D1033" s="82"/>
      <c r="E1033" s="82"/>
      <c r="F1033" s="82"/>
      <c r="G1033" s="82"/>
      <c r="H1033" s="82"/>
      <c r="I1033" s="82"/>
      <c r="J1033" s="82"/>
      <c r="K1033" s="82"/>
      <c r="L1033" s="82"/>
    </row>
    <row r="1034" spans="2:12" x14ac:dyDescent="0.25">
      <c r="B1034" s="83">
        <v>65795</v>
      </c>
      <c r="C1034" s="83"/>
      <c r="D1034" s="83"/>
      <c r="E1034" s="83"/>
      <c r="F1034" s="83"/>
      <c r="G1034" s="83"/>
      <c r="H1034" s="83"/>
      <c r="I1034" s="83"/>
      <c r="J1034" s="83"/>
      <c r="K1034" s="83"/>
      <c r="L1034" s="83"/>
    </row>
    <row r="1035" spans="2:12" x14ac:dyDescent="0.25">
      <c r="B1035" s="82">
        <v>65895</v>
      </c>
      <c r="C1035" s="82"/>
      <c r="D1035" s="82"/>
      <c r="E1035" s="82"/>
      <c r="F1035" s="82"/>
      <c r="G1035" s="82"/>
      <c r="H1035" s="82"/>
      <c r="I1035" s="82"/>
      <c r="J1035" s="82"/>
      <c r="K1035" s="82"/>
      <c r="L1035" s="82"/>
    </row>
    <row r="1036" spans="2:12" x14ac:dyDescent="0.25">
      <c r="B1036" s="83">
        <v>65995</v>
      </c>
      <c r="C1036" s="83"/>
      <c r="D1036" s="83"/>
      <c r="E1036" s="83"/>
      <c r="F1036" s="83"/>
      <c r="G1036" s="83"/>
      <c r="H1036" s="83"/>
      <c r="I1036" s="83"/>
      <c r="J1036" s="83"/>
      <c r="K1036" s="83"/>
      <c r="L1036" s="83"/>
    </row>
    <row r="1037" spans="2:12" x14ac:dyDescent="0.25">
      <c r="B1037" s="82">
        <v>66095</v>
      </c>
      <c r="C1037" s="82"/>
      <c r="D1037" s="82"/>
      <c r="E1037" s="82"/>
      <c r="F1037" s="82"/>
      <c r="G1037" s="82"/>
      <c r="H1037" s="82"/>
      <c r="I1037" s="82"/>
      <c r="J1037" s="82"/>
      <c r="K1037" s="82"/>
      <c r="L1037" s="82"/>
    </row>
    <row r="1038" spans="2:12" x14ac:dyDescent="0.25">
      <c r="B1038" s="83">
        <v>66195</v>
      </c>
      <c r="C1038" s="83"/>
      <c r="D1038" s="83"/>
      <c r="E1038" s="83"/>
      <c r="F1038" s="83"/>
      <c r="G1038" s="83"/>
      <c r="H1038" s="83"/>
      <c r="I1038" s="83"/>
      <c r="J1038" s="83"/>
      <c r="K1038" s="83"/>
      <c r="L1038" s="83"/>
    </row>
    <row r="1039" spans="2:12" x14ac:dyDescent="0.25">
      <c r="B1039" s="82">
        <v>66295</v>
      </c>
      <c r="C1039" s="82"/>
      <c r="D1039" s="82"/>
      <c r="E1039" s="82"/>
      <c r="F1039" s="82"/>
      <c r="G1039" s="82"/>
      <c r="H1039" s="82"/>
      <c r="I1039" s="82"/>
      <c r="J1039" s="82"/>
      <c r="K1039" s="82"/>
      <c r="L1039" s="82"/>
    </row>
    <row r="1040" spans="2:12" x14ac:dyDescent="0.25">
      <c r="B1040" s="83">
        <v>66395</v>
      </c>
      <c r="C1040" s="83"/>
      <c r="D1040" s="83"/>
      <c r="E1040" s="83"/>
      <c r="F1040" s="83"/>
      <c r="G1040" s="83"/>
      <c r="H1040" s="83"/>
      <c r="I1040" s="83"/>
      <c r="J1040" s="83"/>
      <c r="K1040" s="83"/>
      <c r="L1040" s="83"/>
    </row>
    <row r="1041" spans="2:12" x14ac:dyDescent="0.25">
      <c r="B1041" s="82">
        <v>66495</v>
      </c>
      <c r="C1041" s="82"/>
      <c r="D1041" s="82"/>
      <c r="E1041" s="82"/>
      <c r="F1041" s="82"/>
      <c r="G1041" s="82"/>
      <c r="H1041" s="82"/>
      <c r="I1041" s="82"/>
      <c r="J1041" s="82"/>
      <c r="K1041" s="82"/>
      <c r="L1041" s="82"/>
    </row>
    <row r="1042" spans="2:12" x14ac:dyDescent="0.25">
      <c r="B1042" s="83">
        <v>66595</v>
      </c>
      <c r="C1042" s="83"/>
      <c r="D1042" s="83"/>
      <c r="E1042" s="83"/>
      <c r="F1042" s="83"/>
      <c r="G1042" s="83"/>
      <c r="H1042" s="83"/>
      <c r="I1042" s="83"/>
      <c r="J1042" s="83"/>
      <c r="K1042" s="83"/>
      <c r="L1042" s="83"/>
    </row>
    <row r="1043" spans="2:12" x14ac:dyDescent="0.25">
      <c r="B1043" s="82">
        <v>66695</v>
      </c>
      <c r="C1043" s="82"/>
      <c r="D1043" s="82"/>
      <c r="E1043" s="82"/>
      <c r="F1043" s="82"/>
      <c r="G1043" s="82"/>
      <c r="H1043" s="82"/>
      <c r="I1043" s="82"/>
      <c r="J1043" s="82"/>
      <c r="K1043" s="82"/>
      <c r="L1043" s="82"/>
    </row>
    <row r="1044" spans="2:12" x14ac:dyDescent="0.25">
      <c r="B1044" s="83">
        <v>66795</v>
      </c>
      <c r="C1044" s="83"/>
      <c r="D1044" s="83"/>
      <c r="E1044" s="83"/>
      <c r="F1044" s="83"/>
      <c r="G1044" s="83"/>
      <c r="H1044" s="83"/>
      <c r="I1044" s="83"/>
      <c r="J1044" s="83"/>
      <c r="K1044" s="83"/>
      <c r="L1044" s="83"/>
    </row>
    <row r="1045" spans="2:12" x14ac:dyDescent="0.25">
      <c r="B1045" s="82">
        <v>66895</v>
      </c>
      <c r="C1045" s="82"/>
      <c r="D1045" s="82"/>
      <c r="E1045" s="82"/>
      <c r="F1045" s="82"/>
      <c r="G1045" s="82"/>
      <c r="H1045" s="82"/>
      <c r="I1045" s="82"/>
      <c r="J1045" s="82"/>
      <c r="K1045" s="82"/>
      <c r="L1045" s="82"/>
    </row>
    <row r="1046" spans="2:12" x14ac:dyDescent="0.25">
      <c r="B1046" s="83">
        <v>66995</v>
      </c>
      <c r="C1046" s="83"/>
      <c r="D1046" s="83"/>
      <c r="E1046" s="83"/>
      <c r="F1046" s="83"/>
      <c r="G1046" s="83"/>
      <c r="H1046" s="83"/>
      <c r="I1046" s="83"/>
      <c r="J1046" s="83"/>
      <c r="K1046" s="83"/>
      <c r="L1046" s="83"/>
    </row>
    <row r="1047" spans="2:12" x14ac:dyDescent="0.25">
      <c r="B1047" s="82">
        <v>67095</v>
      </c>
      <c r="C1047" s="82"/>
      <c r="D1047" s="82"/>
      <c r="E1047" s="82"/>
      <c r="F1047" s="82"/>
      <c r="G1047" s="82"/>
      <c r="H1047" s="82"/>
      <c r="I1047" s="82"/>
      <c r="J1047" s="82"/>
      <c r="K1047" s="82"/>
      <c r="L1047" s="82"/>
    </row>
    <row r="1048" spans="2:12" x14ac:dyDescent="0.25">
      <c r="B1048" s="83">
        <v>67195</v>
      </c>
      <c r="C1048" s="83"/>
      <c r="D1048" s="83"/>
      <c r="E1048" s="83"/>
      <c r="F1048" s="83"/>
      <c r="G1048" s="83"/>
      <c r="H1048" s="83"/>
      <c r="I1048" s="83"/>
      <c r="J1048" s="83"/>
      <c r="K1048" s="83"/>
      <c r="L1048" s="83"/>
    </row>
    <row r="1049" spans="2:12" x14ac:dyDescent="0.25">
      <c r="B1049" s="82">
        <v>67295</v>
      </c>
      <c r="C1049" s="82"/>
      <c r="D1049" s="82"/>
      <c r="E1049" s="82"/>
      <c r="F1049" s="82"/>
      <c r="G1049" s="82"/>
      <c r="H1049" s="82"/>
      <c r="I1049" s="82"/>
      <c r="J1049" s="82"/>
      <c r="K1049" s="82"/>
      <c r="L1049" s="82"/>
    </row>
    <row r="1050" spans="2:12" x14ac:dyDescent="0.25">
      <c r="B1050" s="83">
        <v>67395</v>
      </c>
      <c r="C1050" s="83"/>
      <c r="D1050" s="83"/>
      <c r="E1050" s="83"/>
      <c r="F1050" s="83"/>
      <c r="G1050" s="83"/>
      <c r="H1050" s="83"/>
      <c r="I1050" s="83"/>
      <c r="J1050" s="83"/>
      <c r="K1050" s="83"/>
      <c r="L1050" s="83"/>
    </row>
    <row r="1051" spans="2:12" x14ac:dyDescent="0.25">
      <c r="B1051" s="82">
        <v>67495</v>
      </c>
      <c r="C1051" s="82"/>
      <c r="D1051" s="82"/>
      <c r="E1051" s="82"/>
      <c r="F1051" s="82"/>
      <c r="G1051" s="82"/>
      <c r="H1051" s="82"/>
      <c r="I1051" s="82"/>
      <c r="J1051" s="82"/>
      <c r="K1051" s="82"/>
      <c r="L1051" s="82"/>
    </row>
    <row r="1052" spans="2:12" x14ac:dyDescent="0.25">
      <c r="B1052" s="83">
        <v>67595</v>
      </c>
      <c r="C1052" s="83"/>
      <c r="D1052" s="83"/>
      <c r="E1052" s="83"/>
      <c r="F1052" s="83"/>
      <c r="G1052" s="83"/>
      <c r="H1052" s="83"/>
      <c r="I1052" s="83"/>
      <c r="J1052" s="83"/>
      <c r="K1052" s="83"/>
      <c r="L1052" s="83"/>
    </row>
    <row r="1053" spans="2:12" x14ac:dyDescent="0.25">
      <c r="B1053" s="82">
        <v>67695</v>
      </c>
      <c r="C1053" s="82"/>
      <c r="D1053" s="82"/>
      <c r="E1053" s="82"/>
      <c r="F1053" s="82"/>
      <c r="G1053" s="82"/>
      <c r="H1053" s="82"/>
      <c r="I1053" s="82"/>
      <c r="J1053" s="82"/>
      <c r="K1053" s="82"/>
      <c r="L1053" s="82"/>
    </row>
    <row r="1054" spans="2:12" x14ac:dyDescent="0.25">
      <c r="B1054" s="83">
        <v>67795</v>
      </c>
      <c r="C1054" s="83"/>
      <c r="D1054" s="83"/>
      <c r="E1054" s="83"/>
      <c r="F1054" s="83"/>
      <c r="G1054" s="83"/>
      <c r="H1054" s="83"/>
      <c r="I1054" s="83"/>
      <c r="J1054" s="83"/>
      <c r="K1054" s="83"/>
      <c r="L1054" s="83"/>
    </row>
    <row r="1055" spans="2:12" x14ac:dyDescent="0.25">
      <c r="B1055" s="82">
        <v>67895</v>
      </c>
      <c r="C1055" s="82"/>
      <c r="D1055" s="82"/>
      <c r="E1055" s="82"/>
      <c r="F1055" s="82"/>
      <c r="G1055" s="82"/>
      <c r="H1055" s="82"/>
      <c r="I1055" s="82"/>
      <c r="J1055" s="82"/>
      <c r="K1055" s="82"/>
      <c r="L1055" s="82"/>
    </row>
    <row r="1056" spans="2:12" x14ac:dyDescent="0.25">
      <c r="B1056" s="83">
        <v>67995</v>
      </c>
      <c r="C1056" s="83"/>
      <c r="D1056" s="83"/>
      <c r="E1056" s="83"/>
      <c r="F1056" s="83"/>
      <c r="G1056" s="83"/>
      <c r="H1056" s="83"/>
      <c r="I1056" s="83"/>
      <c r="J1056" s="83"/>
      <c r="K1056" s="83"/>
      <c r="L1056" s="83"/>
    </row>
    <row r="1057" spans="2:12" x14ac:dyDescent="0.25">
      <c r="B1057" s="82">
        <v>68095</v>
      </c>
      <c r="C1057" s="82"/>
      <c r="D1057" s="82"/>
      <c r="E1057" s="82"/>
      <c r="F1057" s="82"/>
      <c r="G1057" s="82"/>
      <c r="H1057" s="82"/>
      <c r="I1057" s="82"/>
      <c r="J1057" s="82"/>
      <c r="K1057" s="82"/>
      <c r="L1057" s="82"/>
    </row>
    <row r="1058" spans="2:12" x14ac:dyDescent="0.25">
      <c r="B1058" s="83">
        <v>68195</v>
      </c>
      <c r="C1058" s="83"/>
      <c r="D1058" s="83"/>
      <c r="E1058" s="83"/>
      <c r="F1058" s="83"/>
      <c r="G1058" s="83"/>
      <c r="H1058" s="83"/>
      <c r="I1058" s="83"/>
      <c r="J1058" s="83"/>
      <c r="K1058" s="83"/>
      <c r="L1058" s="83"/>
    </row>
    <row r="1059" spans="2:12" x14ac:dyDescent="0.25">
      <c r="B1059" s="82">
        <v>68295</v>
      </c>
      <c r="C1059" s="82"/>
      <c r="D1059" s="82"/>
      <c r="E1059" s="82"/>
      <c r="F1059" s="82"/>
      <c r="G1059" s="82"/>
      <c r="H1059" s="82"/>
      <c r="I1059" s="82"/>
      <c r="J1059" s="82"/>
      <c r="K1059" s="82"/>
      <c r="L1059" s="82"/>
    </row>
    <row r="1060" spans="2:12" x14ac:dyDescent="0.25">
      <c r="B1060" s="83">
        <v>68395</v>
      </c>
      <c r="C1060" s="83"/>
      <c r="D1060" s="83"/>
      <c r="E1060" s="83"/>
      <c r="F1060" s="83"/>
      <c r="G1060" s="83"/>
      <c r="H1060" s="83"/>
      <c r="I1060" s="83"/>
      <c r="J1060" s="83"/>
      <c r="K1060" s="83"/>
      <c r="L1060" s="83"/>
    </row>
    <row r="1061" spans="2:12" x14ac:dyDescent="0.25">
      <c r="B1061" s="82">
        <v>68495</v>
      </c>
      <c r="C1061" s="82"/>
      <c r="D1061" s="82"/>
      <c r="E1061" s="82"/>
      <c r="F1061" s="82"/>
      <c r="G1061" s="82"/>
      <c r="H1061" s="82"/>
      <c r="I1061" s="82"/>
      <c r="J1061" s="82"/>
      <c r="K1061" s="82"/>
      <c r="L1061" s="82"/>
    </row>
    <row r="1062" spans="2:12" x14ac:dyDescent="0.25">
      <c r="B1062" s="83">
        <v>68595</v>
      </c>
      <c r="C1062" s="83"/>
      <c r="D1062" s="83"/>
      <c r="E1062" s="83"/>
      <c r="F1062" s="83"/>
      <c r="G1062" s="83"/>
      <c r="H1062" s="83"/>
      <c r="I1062" s="83"/>
      <c r="J1062" s="83"/>
      <c r="K1062" s="83"/>
      <c r="L1062" s="83"/>
    </row>
    <row r="1063" spans="2:12" x14ac:dyDescent="0.25">
      <c r="B1063" s="82">
        <v>68695</v>
      </c>
      <c r="C1063" s="82"/>
      <c r="D1063" s="82"/>
      <c r="E1063" s="82"/>
      <c r="F1063" s="82"/>
      <c r="G1063" s="82"/>
      <c r="H1063" s="82"/>
      <c r="I1063" s="82"/>
      <c r="J1063" s="82"/>
      <c r="K1063" s="82"/>
      <c r="L1063" s="82"/>
    </row>
    <row r="1064" spans="2:12" x14ac:dyDescent="0.25">
      <c r="B1064" s="83">
        <v>68795</v>
      </c>
      <c r="C1064" s="83"/>
      <c r="D1064" s="83"/>
      <c r="E1064" s="83"/>
      <c r="F1064" s="83"/>
      <c r="G1064" s="83"/>
      <c r="H1064" s="83"/>
      <c r="I1064" s="83"/>
      <c r="J1064" s="83"/>
      <c r="K1064" s="83"/>
      <c r="L1064" s="83"/>
    </row>
    <row r="1065" spans="2:12" x14ac:dyDescent="0.25">
      <c r="B1065" s="82">
        <v>68895</v>
      </c>
      <c r="C1065" s="82"/>
      <c r="D1065" s="82"/>
      <c r="E1065" s="82"/>
      <c r="F1065" s="82"/>
      <c r="G1065" s="82"/>
      <c r="H1065" s="82"/>
      <c r="I1065" s="82"/>
      <c r="J1065" s="82"/>
      <c r="K1065" s="82"/>
      <c r="L1065" s="82"/>
    </row>
    <row r="1066" spans="2:12" x14ac:dyDescent="0.25">
      <c r="B1066" s="83">
        <v>68995</v>
      </c>
      <c r="C1066" s="83"/>
      <c r="D1066" s="83"/>
      <c r="E1066" s="83"/>
      <c r="F1066" s="83"/>
      <c r="G1066" s="83"/>
      <c r="H1066" s="83"/>
      <c r="I1066" s="83"/>
      <c r="J1066" s="83"/>
      <c r="K1066" s="83"/>
      <c r="L1066" s="83"/>
    </row>
    <row r="1067" spans="2:12" x14ac:dyDescent="0.25">
      <c r="B1067" s="82">
        <v>69095</v>
      </c>
      <c r="C1067" s="82"/>
      <c r="D1067" s="82"/>
      <c r="E1067" s="82"/>
      <c r="F1067" s="82"/>
      <c r="G1067" s="82"/>
      <c r="H1067" s="82"/>
      <c r="I1067" s="82"/>
      <c r="J1067" s="82"/>
      <c r="K1067" s="82"/>
      <c r="L1067" s="82"/>
    </row>
    <row r="1068" spans="2:12" x14ac:dyDescent="0.25">
      <c r="B1068" s="83">
        <v>69195</v>
      </c>
      <c r="C1068" s="83"/>
      <c r="D1068" s="83"/>
      <c r="E1068" s="83"/>
      <c r="F1068" s="83"/>
      <c r="G1068" s="83"/>
      <c r="H1068" s="83"/>
      <c r="I1068" s="83"/>
      <c r="J1068" s="83"/>
      <c r="K1068" s="83"/>
      <c r="L1068" s="83"/>
    </row>
    <row r="1069" spans="2:12" x14ac:dyDescent="0.25">
      <c r="B1069" s="82">
        <v>69295</v>
      </c>
      <c r="C1069" s="82"/>
      <c r="D1069" s="82"/>
      <c r="E1069" s="82"/>
      <c r="F1069" s="82"/>
      <c r="G1069" s="82"/>
      <c r="H1069" s="82"/>
      <c r="I1069" s="82"/>
      <c r="J1069" s="82"/>
      <c r="K1069" s="82"/>
      <c r="L1069" s="82"/>
    </row>
    <row r="1070" spans="2:12" x14ac:dyDescent="0.25">
      <c r="B1070" s="83">
        <v>69395</v>
      </c>
      <c r="C1070" s="83"/>
      <c r="D1070" s="83"/>
      <c r="E1070" s="83"/>
      <c r="F1070" s="83"/>
      <c r="G1070" s="83"/>
      <c r="H1070" s="83"/>
      <c r="I1070" s="83"/>
      <c r="J1070" s="83"/>
      <c r="K1070" s="83"/>
      <c r="L1070" s="83"/>
    </row>
    <row r="1071" spans="2:12" x14ac:dyDescent="0.25">
      <c r="B1071" s="82">
        <v>69495</v>
      </c>
      <c r="C1071" s="82"/>
      <c r="D1071" s="82"/>
      <c r="E1071" s="82"/>
      <c r="F1071" s="82"/>
      <c r="G1071" s="82"/>
      <c r="H1071" s="82"/>
      <c r="I1071" s="82"/>
      <c r="J1071" s="82"/>
      <c r="K1071" s="82"/>
      <c r="L1071" s="82"/>
    </row>
    <row r="1072" spans="2:12" x14ac:dyDescent="0.25">
      <c r="B1072" s="83">
        <v>69595</v>
      </c>
      <c r="C1072" s="83"/>
      <c r="D1072" s="83"/>
      <c r="E1072" s="83"/>
      <c r="F1072" s="83"/>
      <c r="G1072" s="83"/>
      <c r="H1072" s="83"/>
      <c r="I1072" s="83"/>
      <c r="J1072" s="83"/>
      <c r="K1072" s="83"/>
      <c r="L1072" s="83"/>
    </row>
    <row r="1073" spans="2:12" x14ac:dyDescent="0.25">
      <c r="B1073" s="82">
        <v>69695</v>
      </c>
      <c r="C1073" s="82"/>
      <c r="D1073" s="82"/>
      <c r="E1073" s="82"/>
      <c r="F1073" s="82"/>
      <c r="G1073" s="82"/>
      <c r="H1073" s="82"/>
      <c r="I1073" s="82"/>
      <c r="J1073" s="82"/>
      <c r="K1073" s="82"/>
      <c r="L1073" s="82"/>
    </row>
    <row r="1074" spans="2:12" x14ac:dyDescent="0.25">
      <c r="B1074" s="83">
        <v>69795</v>
      </c>
      <c r="C1074" s="83"/>
      <c r="D1074" s="83"/>
      <c r="E1074" s="83"/>
      <c r="F1074" s="83"/>
      <c r="G1074" s="83"/>
      <c r="H1074" s="83"/>
      <c r="I1074" s="83"/>
      <c r="J1074" s="83"/>
      <c r="K1074" s="83"/>
      <c r="L1074" s="83"/>
    </row>
    <row r="1075" spans="2:12" x14ac:dyDescent="0.25">
      <c r="B1075" s="82">
        <v>69895</v>
      </c>
      <c r="C1075" s="82"/>
      <c r="D1075" s="82"/>
      <c r="E1075" s="82"/>
      <c r="F1075" s="82"/>
      <c r="G1075" s="82"/>
      <c r="H1075" s="82"/>
      <c r="I1075" s="82"/>
      <c r="J1075" s="82"/>
      <c r="K1075" s="82"/>
      <c r="L1075" s="82"/>
    </row>
    <row r="1076" spans="2:12" x14ac:dyDescent="0.25">
      <c r="B1076" s="83">
        <v>69995</v>
      </c>
      <c r="C1076" s="83"/>
      <c r="D1076" s="83"/>
      <c r="E1076" s="83"/>
      <c r="F1076" s="83"/>
      <c r="G1076" s="83"/>
      <c r="H1076" s="83"/>
      <c r="I1076" s="83"/>
      <c r="J1076" s="83"/>
      <c r="K1076" s="83"/>
      <c r="L1076" s="83"/>
    </row>
    <row r="1077" spans="2:12" x14ac:dyDescent="0.25">
      <c r="B1077" s="82">
        <v>70095</v>
      </c>
      <c r="C1077" s="82"/>
      <c r="D1077" s="82"/>
      <c r="E1077" s="82"/>
      <c r="F1077" s="82"/>
      <c r="G1077" s="82"/>
      <c r="H1077" s="82"/>
      <c r="I1077" s="82"/>
      <c r="J1077" s="82"/>
      <c r="K1077" s="82"/>
      <c r="L1077" s="82"/>
    </row>
    <row r="1078" spans="2:12" x14ac:dyDescent="0.25">
      <c r="B1078" s="83">
        <v>70195</v>
      </c>
      <c r="C1078" s="83"/>
      <c r="D1078" s="83"/>
      <c r="E1078" s="83"/>
      <c r="F1078" s="83"/>
      <c r="G1078" s="83"/>
      <c r="H1078" s="83"/>
      <c r="I1078" s="83"/>
      <c r="J1078" s="83"/>
      <c r="K1078" s="83"/>
      <c r="L1078" s="83"/>
    </row>
    <row r="1079" spans="2:12" x14ac:dyDescent="0.25">
      <c r="B1079" s="82">
        <v>70295</v>
      </c>
      <c r="C1079" s="82"/>
      <c r="D1079" s="82"/>
      <c r="E1079" s="82"/>
      <c r="F1079" s="82"/>
      <c r="G1079" s="82"/>
      <c r="H1079" s="82"/>
      <c r="I1079" s="82"/>
      <c r="J1079" s="82"/>
      <c r="K1079" s="82"/>
      <c r="L1079" s="82"/>
    </row>
    <row r="1080" spans="2:12" x14ac:dyDescent="0.25">
      <c r="B1080" s="83">
        <v>70395</v>
      </c>
      <c r="C1080" s="83"/>
      <c r="D1080" s="83"/>
      <c r="E1080" s="83"/>
      <c r="F1080" s="83"/>
      <c r="G1080" s="83"/>
      <c r="H1080" s="83"/>
      <c r="I1080" s="83"/>
      <c r="J1080" s="83"/>
      <c r="K1080" s="83"/>
      <c r="L1080" s="83"/>
    </row>
    <row r="1081" spans="2:12" x14ac:dyDescent="0.25">
      <c r="B1081" s="82">
        <v>70495</v>
      </c>
      <c r="C1081" s="82"/>
      <c r="D1081" s="82"/>
      <c r="E1081" s="82"/>
      <c r="F1081" s="82"/>
      <c r="G1081" s="82"/>
      <c r="H1081" s="82"/>
      <c r="I1081" s="82"/>
      <c r="J1081" s="82"/>
      <c r="K1081" s="82"/>
      <c r="L1081" s="82"/>
    </row>
    <row r="1082" spans="2:12" x14ac:dyDescent="0.25">
      <c r="B1082" s="83">
        <v>70595</v>
      </c>
      <c r="C1082" s="83"/>
      <c r="D1082" s="83"/>
      <c r="E1082" s="83"/>
      <c r="F1082" s="83"/>
      <c r="G1082" s="83"/>
      <c r="H1082" s="83"/>
      <c r="I1082" s="83"/>
      <c r="J1082" s="83"/>
      <c r="K1082" s="83"/>
      <c r="L1082" s="83"/>
    </row>
    <row r="1083" spans="2:12" x14ac:dyDescent="0.25">
      <c r="B1083" s="82">
        <v>70695</v>
      </c>
      <c r="C1083" s="82"/>
      <c r="D1083" s="82"/>
      <c r="E1083" s="82"/>
      <c r="F1083" s="82"/>
      <c r="G1083" s="82"/>
      <c r="H1083" s="82"/>
      <c r="I1083" s="82"/>
      <c r="J1083" s="82"/>
      <c r="K1083" s="82"/>
      <c r="L1083" s="82"/>
    </row>
    <row r="1084" spans="2:12" x14ac:dyDescent="0.25">
      <c r="B1084" s="83">
        <v>70795</v>
      </c>
      <c r="C1084" s="83"/>
      <c r="D1084" s="83"/>
      <c r="E1084" s="83"/>
      <c r="F1084" s="83"/>
      <c r="G1084" s="83"/>
      <c r="H1084" s="83"/>
      <c r="I1084" s="83"/>
      <c r="J1084" s="83"/>
      <c r="K1084" s="83"/>
      <c r="L1084" s="83"/>
    </row>
    <row r="1085" spans="2:12" x14ac:dyDescent="0.25">
      <c r="B1085" s="82">
        <v>70895</v>
      </c>
      <c r="C1085" s="82"/>
      <c r="D1085" s="82"/>
      <c r="E1085" s="82"/>
      <c r="F1085" s="82"/>
      <c r="G1085" s="82"/>
      <c r="H1085" s="82"/>
      <c r="I1085" s="82"/>
      <c r="J1085" s="82"/>
      <c r="K1085" s="82"/>
      <c r="L1085" s="82"/>
    </row>
    <row r="1086" spans="2:12" x14ac:dyDescent="0.25">
      <c r="B1086" s="83">
        <v>70995</v>
      </c>
      <c r="C1086" s="83"/>
      <c r="D1086" s="83"/>
      <c r="E1086" s="83"/>
      <c r="F1086" s="83"/>
      <c r="G1086" s="83"/>
      <c r="H1086" s="83"/>
      <c r="I1086" s="83"/>
      <c r="J1086" s="83"/>
      <c r="K1086" s="83"/>
      <c r="L1086" s="83"/>
    </row>
    <row r="1087" spans="2:12" x14ac:dyDescent="0.25">
      <c r="B1087" s="82">
        <v>71095</v>
      </c>
      <c r="C1087" s="82"/>
      <c r="D1087" s="82"/>
      <c r="E1087" s="82"/>
      <c r="F1087" s="82"/>
      <c r="G1087" s="82"/>
      <c r="H1087" s="82"/>
      <c r="I1087" s="82"/>
      <c r="J1087" s="82"/>
      <c r="K1087" s="82"/>
      <c r="L1087" s="82"/>
    </row>
    <row r="1088" spans="2:12" x14ac:dyDescent="0.25">
      <c r="B1088" s="83">
        <v>71195</v>
      </c>
      <c r="C1088" s="83"/>
      <c r="D1088" s="83"/>
      <c r="E1088" s="83"/>
      <c r="F1088" s="83"/>
      <c r="G1088" s="83"/>
      <c r="H1088" s="83"/>
      <c r="I1088" s="83"/>
      <c r="J1088" s="83"/>
      <c r="K1088" s="83"/>
      <c r="L1088" s="83"/>
    </row>
    <row r="1089" spans="2:12" x14ac:dyDescent="0.25">
      <c r="B1089" s="82">
        <v>71295</v>
      </c>
      <c r="C1089" s="82"/>
      <c r="D1089" s="82"/>
      <c r="E1089" s="82"/>
      <c r="F1089" s="82"/>
      <c r="G1089" s="82"/>
      <c r="H1089" s="82"/>
      <c r="I1089" s="82"/>
      <c r="J1089" s="82"/>
      <c r="K1089" s="82"/>
      <c r="L1089" s="82"/>
    </row>
    <row r="1090" spans="2:12" x14ac:dyDescent="0.25">
      <c r="B1090" s="83">
        <v>71395</v>
      </c>
      <c r="C1090" s="83"/>
      <c r="D1090" s="83"/>
      <c r="E1090" s="83"/>
      <c r="F1090" s="83"/>
      <c r="G1090" s="83"/>
      <c r="H1090" s="83"/>
      <c r="I1090" s="83"/>
      <c r="J1090" s="83"/>
      <c r="K1090" s="83"/>
      <c r="L1090" s="83"/>
    </row>
    <row r="1091" spans="2:12" x14ac:dyDescent="0.25">
      <c r="B1091" s="82">
        <v>71495</v>
      </c>
      <c r="C1091" s="82"/>
      <c r="D1091" s="82"/>
      <c r="E1091" s="82"/>
      <c r="F1091" s="82"/>
      <c r="G1091" s="82"/>
      <c r="H1091" s="82"/>
      <c r="I1091" s="82"/>
      <c r="J1091" s="82"/>
      <c r="K1091" s="82"/>
      <c r="L1091" s="82"/>
    </row>
    <row r="1092" spans="2:12" x14ac:dyDescent="0.25">
      <c r="B1092" s="83">
        <v>71595</v>
      </c>
      <c r="C1092" s="83"/>
      <c r="D1092" s="83"/>
      <c r="E1092" s="83"/>
      <c r="F1092" s="83"/>
      <c r="G1092" s="83"/>
      <c r="H1092" s="83"/>
      <c r="I1092" s="83"/>
      <c r="J1092" s="83"/>
      <c r="K1092" s="83"/>
      <c r="L1092" s="83"/>
    </row>
    <row r="1093" spans="2:12" x14ac:dyDescent="0.25">
      <c r="B1093" s="82">
        <v>71695</v>
      </c>
      <c r="C1093" s="82"/>
      <c r="D1093" s="82"/>
      <c r="E1093" s="82"/>
      <c r="F1093" s="82"/>
      <c r="G1093" s="82"/>
      <c r="H1093" s="82"/>
      <c r="I1093" s="82"/>
      <c r="J1093" s="82"/>
      <c r="K1093" s="82"/>
      <c r="L1093" s="82"/>
    </row>
    <row r="1094" spans="2:12" x14ac:dyDescent="0.25">
      <c r="B1094" s="83">
        <v>71795</v>
      </c>
      <c r="C1094" s="83"/>
      <c r="D1094" s="83"/>
      <c r="E1094" s="83"/>
      <c r="F1094" s="83"/>
      <c r="G1094" s="83"/>
      <c r="H1094" s="83"/>
      <c r="I1094" s="83"/>
      <c r="J1094" s="83"/>
      <c r="K1094" s="83"/>
      <c r="L1094" s="83"/>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79"/>
      <c r="B1" s="36"/>
      <c r="C1" s="36"/>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36"/>
      <c r="AL1" s="36"/>
      <c r="AM1" s="36"/>
      <c r="AN1" s="36"/>
      <c r="AO1" s="36"/>
      <c r="AP1" s="36"/>
      <c r="AQ1" s="36"/>
      <c r="AR1" s="36"/>
      <c r="AS1" s="36"/>
      <c r="AT1" s="36"/>
      <c r="AU1" s="36"/>
      <c r="AV1" s="36"/>
      <c r="AW1" s="36"/>
      <c r="AX1" s="36"/>
      <c r="AY1" s="36"/>
      <c r="AZ1" s="36"/>
      <c r="BA1" s="36"/>
      <c r="BB1" s="36"/>
      <c r="BC1" s="36"/>
    </row>
    <row r="2" spans="1:55" x14ac:dyDescent="0.25">
      <c r="A2" s="36"/>
      <c r="B2" s="36"/>
      <c r="C2" s="36"/>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c r="AI2" s="93"/>
      <c r="AJ2" s="93"/>
      <c r="AK2" s="36"/>
      <c r="AL2" s="36"/>
      <c r="AM2" s="36"/>
      <c r="AN2" s="36"/>
      <c r="AO2" s="36"/>
      <c r="AP2" s="36"/>
      <c r="AQ2" s="36"/>
      <c r="AR2" s="36"/>
      <c r="AS2" s="36"/>
      <c r="AT2" s="36"/>
      <c r="AU2" s="36"/>
      <c r="AV2" s="36"/>
      <c r="AW2" s="36"/>
      <c r="AX2" s="36"/>
      <c r="AY2" s="36"/>
      <c r="AZ2" s="36"/>
      <c r="BA2" s="36"/>
      <c r="BB2" s="36"/>
      <c r="BC2" s="36"/>
    </row>
    <row r="3" spans="1:55" x14ac:dyDescent="0.25">
      <c r="A3" s="85"/>
      <c r="B3" s="36"/>
      <c r="C3" s="36"/>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36"/>
      <c r="AL3" s="36"/>
      <c r="AM3" s="36"/>
      <c r="AN3" s="36"/>
      <c r="AO3" s="36"/>
      <c r="AP3" s="36"/>
      <c r="AQ3" s="36"/>
      <c r="AR3" s="36"/>
      <c r="AS3" s="36"/>
      <c r="AT3" s="36"/>
      <c r="AU3" s="36"/>
      <c r="AV3" s="36"/>
      <c r="AW3" s="36"/>
      <c r="AX3" s="36"/>
      <c r="AY3" s="36"/>
      <c r="AZ3" s="36"/>
      <c r="BA3" s="36"/>
      <c r="BB3" s="36"/>
      <c r="BC3" s="36"/>
    </row>
    <row r="4" spans="1:55" x14ac:dyDescent="0.25">
      <c r="M4" s="93"/>
      <c r="N4" s="93"/>
      <c r="O4" s="93"/>
      <c r="P4" s="93"/>
      <c r="Q4" s="93"/>
      <c r="R4" s="93"/>
      <c r="S4" s="93"/>
      <c r="T4" s="93"/>
      <c r="U4" s="93"/>
      <c r="V4" s="93"/>
      <c r="W4" s="93"/>
      <c r="X4" s="93"/>
      <c r="Y4" s="93"/>
      <c r="Z4" s="93"/>
      <c r="AA4" s="93"/>
      <c r="AB4" s="93"/>
      <c r="AC4" s="93"/>
      <c r="AD4" s="93"/>
      <c r="AE4" s="93"/>
      <c r="AF4" s="93"/>
      <c r="AG4" s="93"/>
      <c r="AH4" s="93"/>
      <c r="AI4" s="93"/>
      <c r="AJ4" s="93"/>
      <c r="AK4" s="36"/>
      <c r="AL4" s="36"/>
      <c r="AM4" s="36"/>
      <c r="AN4" s="36"/>
      <c r="AO4" s="36"/>
      <c r="AP4" s="36"/>
      <c r="AQ4" s="36"/>
      <c r="AR4" s="36"/>
      <c r="AS4" s="36"/>
      <c r="AT4" s="36"/>
      <c r="AU4" s="36"/>
      <c r="AV4" s="36"/>
      <c r="AW4" s="36"/>
      <c r="AX4" s="36"/>
      <c r="AY4" s="36"/>
      <c r="AZ4" s="36"/>
      <c r="BA4" s="36"/>
      <c r="BB4" s="36"/>
      <c r="BC4" s="36"/>
    </row>
    <row r="5" spans="1:55" x14ac:dyDescent="0.25">
      <c r="M5" s="36"/>
      <c r="N5" s="93"/>
      <c r="O5" s="93"/>
      <c r="P5" s="93"/>
      <c r="Q5" s="93"/>
      <c r="R5" s="93"/>
      <c r="S5" s="93"/>
      <c r="T5" s="93"/>
      <c r="U5" s="93"/>
      <c r="V5" s="93"/>
      <c r="W5" s="93"/>
      <c r="X5" s="93"/>
      <c r="Y5" s="93"/>
      <c r="Z5" s="93"/>
      <c r="AA5" s="93"/>
      <c r="AB5" s="93"/>
      <c r="AC5" s="93"/>
      <c r="AD5" s="93"/>
      <c r="AE5" s="93"/>
      <c r="AF5" s="93"/>
      <c r="AG5" s="93"/>
      <c r="AH5" s="93"/>
      <c r="AI5" s="93"/>
      <c r="AJ5" s="93"/>
      <c r="AK5" s="36"/>
      <c r="AL5" s="36"/>
      <c r="AM5" s="36"/>
      <c r="AN5" s="36"/>
      <c r="AO5" s="36"/>
      <c r="AP5" s="36"/>
      <c r="AQ5" s="36"/>
      <c r="AR5" s="36"/>
      <c r="AS5" s="36"/>
      <c r="AT5" s="36"/>
      <c r="AU5" s="36"/>
      <c r="AV5" s="36"/>
      <c r="AW5" s="36"/>
      <c r="AX5" s="36"/>
      <c r="AY5" s="36"/>
      <c r="AZ5" s="36"/>
      <c r="BA5" s="36"/>
      <c r="BB5" s="36"/>
      <c r="BC5" s="36"/>
    </row>
    <row r="6" spans="1:55" x14ac:dyDescent="0.25">
      <c r="M6" s="94"/>
      <c r="N6" s="93"/>
      <c r="O6" s="93"/>
      <c r="P6" s="93"/>
      <c r="Q6" s="93"/>
      <c r="R6" s="93"/>
      <c r="S6" s="93"/>
      <c r="T6" s="93"/>
      <c r="U6" s="93"/>
      <c r="V6" s="93"/>
      <c r="W6" s="93"/>
      <c r="X6" s="93"/>
      <c r="Y6" s="93"/>
      <c r="Z6" s="93"/>
      <c r="AA6" s="93"/>
      <c r="AB6" s="93"/>
      <c r="AC6" s="93"/>
      <c r="AD6" s="93"/>
      <c r="AE6" s="93"/>
      <c r="AF6" s="93"/>
      <c r="AG6" s="93"/>
      <c r="AH6" s="93"/>
      <c r="AI6" s="93"/>
      <c r="AJ6" s="93"/>
      <c r="AK6" s="36"/>
      <c r="AL6" s="36"/>
      <c r="AM6" s="36"/>
      <c r="AN6" s="36"/>
      <c r="AO6" s="36"/>
      <c r="AP6" s="36"/>
      <c r="AQ6" s="36"/>
      <c r="AR6" s="36"/>
      <c r="AS6" s="36"/>
      <c r="AT6" s="36"/>
      <c r="AU6" s="36"/>
      <c r="AV6" s="36"/>
      <c r="AW6" s="36"/>
      <c r="AX6" s="36"/>
      <c r="AY6" s="36"/>
      <c r="AZ6" s="36"/>
      <c r="BA6" s="36"/>
      <c r="BB6" s="36"/>
      <c r="BC6" s="36"/>
    </row>
    <row r="7" spans="1:55" x14ac:dyDescent="0.25">
      <c r="M7" s="95"/>
      <c r="N7" s="93"/>
      <c r="O7" s="93"/>
      <c r="P7" s="93"/>
      <c r="Q7" s="93"/>
      <c r="R7" s="93"/>
      <c r="S7" s="93"/>
      <c r="T7" s="93"/>
      <c r="U7" s="93"/>
      <c r="V7" s="93"/>
      <c r="W7" s="93"/>
      <c r="X7" s="93"/>
      <c r="Y7" s="93"/>
      <c r="Z7" s="93"/>
      <c r="AA7" s="93"/>
      <c r="AB7" s="93"/>
      <c r="AC7" s="93"/>
      <c r="AD7" s="93"/>
      <c r="AE7" s="93"/>
      <c r="AF7" s="93"/>
      <c r="AG7" s="93"/>
      <c r="AH7" s="93"/>
      <c r="AI7" s="93"/>
      <c r="AJ7" s="93"/>
      <c r="AK7" s="36"/>
      <c r="AL7" s="36"/>
      <c r="AM7" s="36"/>
      <c r="AN7" s="36"/>
      <c r="AO7" s="36"/>
      <c r="AP7" s="36"/>
      <c r="AQ7" s="36"/>
      <c r="AR7" s="36"/>
      <c r="AS7" s="36"/>
      <c r="AT7" s="36"/>
      <c r="AU7" s="36"/>
      <c r="AV7" s="36"/>
      <c r="AW7" s="36"/>
      <c r="AX7" s="36"/>
      <c r="AY7" s="36"/>
      <c r="AZ7" s="36"/>
      <c r="BA7" s="36"/>
      <c r="BB7" s="36"/>
      <c r="BC7" s="36"/>
    </row>
    <row r="8" spans="1:55" x14ac:dyDescent="0.25">
      <c r="M8" s="95"/>
      <c r="N8" s="93"/>
      <c r="O8" s="93"/>
      <c r="P8" s="93"/>
      <c r="Q8" s="93"/>
      <c r="R8" s="93"/>
      <c r="S8" s="93"/>
      <c r="T8" s="93"/>
      <c r="U8" s="93"/>
      <c r="V8" s="93"/>
      <c r="W8" s="93"/>
      <c r="X8" s="93"/>
      <c r="Y8" s="93"/>
      <c r="Z8" s="93"/>
      <c r="AA8" s="93"/>
      <c r="AB8" s="93"/>
      <c r="AC8" s="93"/>
      <c r="AD8" s="93"/>
      <c r="AE8" s="93"/>
      <c r="AF8" s="93"/>
      <c r="AG8" s="93"/>
      <c r="AH8" s="93"/>
      <c r="AI8" s="93"/>
      <c r="AJ8" s="93"/>
      <c r="AK8" s="36"/>
      <c r="AL8" s="36"/>
      <c r="AM8" s="36"/>
      <c r="AN8" s="36"/>
      <c r="AO8" s="36"/>
      <c r="AP8" s="36"/>
      <c r="AQ8" s="36"/>
      <c r="AR8" s="36"/>
      <c r="AS8" s="36"/>
      <c r="AT8" s="36"/>
      <c r="AU8" s="36"/>
      <c r="AV8" s="36"/>
      <c r="AW8" s="36"/>
      <c r="AX8" s="36"/>
      <c r="AY8" s="36"/>
      <c r="AZ8" s="36"/>
      <c r="BA8" s="36"/>
      <c r="BB8" s="36"/>
      <c r="BC8" s="36"/>
    </row>
    <row r="9" spans="1:55" x14ac:dyDescent="0.25">
      <c r="M9" s="36"/>
      <c r="N9" s="93"/>
      <c r="O9" s="93"/>
      <c r="P9" s="93"/>
      <c r="Q9" s="93"/>
      <c r="R9" s="93"/>
      <c r="S9" s="93"/>
      <c r="T9" s="93"/>
      <c r="U9" s="93"/>
      <c r="V9" s="93"/>
      <c r="W9" s="93"/>
      <c r="X9" s="93"/>
      <c r="Y9" s="93"/>
      <c r="Z9" s="93"/>
      <c r="AA9" s="93"/>
      <c r="AB9" s="93"/>
      <c r="AC9" s="93"/>
      <c r="AD9" s="93"/>
      <c r="AE9" s="93"/>
      <c r="AF9" s="93"/>
      <c r="AG9" s="93"/>
      <c r="AH9" s="93"/>
      <c r="AI9" s="93"/>
      <c r="AJ9" s="93"/>
      <c r="AK9" s="36"/>
      <c r="AL9" s="36"/>
      <c r="AM9" s="36"/>
      <c r="AN9" s="36"/>
      <c r="AO9" s="36"/>
      <c r="AP9" s="36"/>
      <c r="AQ9" s="36"/>
      <c r="AR9" s="36"/>
      <c r="AS9" s="36"/>
      <c r="AT9" s="36"/>
      <c r="AU9" s="36"/>
      <c r="AV9" s="36"/>
      <c r="AW9" s="36"/>
      <c r="AX9" s="36"/>
      <c r="AY9" s="36"/>
      <c r="AZ9" s="36"/>
      <c r="BA9" s="36"/>
      <c r="BB9" s="36"/>
      <c r="BC9" s="36"/>
    </row>
    <row r="10" spans="1:55" x14ac:dyDescent="0.25">
      <c r="M10" s="96"/>
      <c r="N10" s="93"/>
      <c r="O10" s="93"/>
      <c r="P10" s="93"/>
      <c r="Q10" s="93"/>
      <c r="R10" s="93"/>
      <c r="S10" s="93"/>
      <c r="T10" s="93"/>
      <c r="U10" s="93"/>
      <c r="V10" s="93"/>
      <c r="W10" s="93"/>
      <c r="X10" s="93"/>
      <c r="Y10" s="93"/>
      <c r="Z10" s="93"/>
      <c r="AA10" s="93"/>
      <c r="AB10" s="93"/>
      <c r="AC10" s="93"/>
      <c r="AD10" s="93"/>
      <c r="AE10" s="93"/>
      <c r="AF10" s="93"/>
      <c r="AG10" s="93"/>
      <c r="AH10" s="93"/>
      <c r="AI10" s="93"/>
      <c r="AJ10" s="93"/>
      <c r="AK10" s="36"/>
      <c r="AL10" s="36"/>
      <c r="AM10" s="36"/>
      <c r="AN10" s="36"/>
      <c r="AO10" s="36"/>
      <c r="AP10" s="36"/>
      <c r="AQ10" s="36"/>
      <c r="AR10" s="36"/>
      <c r="AS10" s="36"/>
      <c r="AT10" s="36"/>
      <c r="AU10" s="36"/>
      <c r="AV10" s="36"/>
      <c r="AW10" s="36"/>
      <c r="AX10" s="36"/>
      <c r="AY10" s="36"/>
      <c r="AZ10" s="36"/>
      <c r="BA10" s="36"/>
      <c r="BB10" s="36"/>
      <c r="BC10" s="36"/>
    </row>
    <row r="11" spans="1:55" x14ac:dyDescent="0.25">
      <c r="M11" s="97"/>
      <c r="N11" s="93"/>
      <c r="O11" s="93"/>
      <c r="P11" s="93"/>
      <c r="Q11" s="93"/>
      <c r="R11" s="93"/>
      <c r="S11" s="93"/>
      <c r="T11" s="93"/>
      <c r="U11" s="93"/>
      <c r="V11" s="93"/>
      <c r="W11" s="93"/>
      <c r="X11" s="93"/>
      <c r="Y11" s="93"/>
      <c r="Z11" s="93"/>
      <c r="AA11" s="93"/>
      <c r="AB11" s="93"/>
      <c r="AC11" s="93"/>
      <c r="AD11" s="93"/>
      <c r="AE11" s="93"/>
      <c r="AF11" s="93"/>
      <c r="AG11" s="93"/>
      <c r="AH11" s="93"/>
      <c r="AI11" s="93"/>
      <c r="AJ11" s="93"/>
      <c r="AK11" s="36"/>
      <c r="AL11" s="36"/>
      <c r="AM11" s="36"/>
      <c r="AN11" s="36"/>
      <c r="AO11" s="36"/>
      <c r="AP11" s="36"/>
      <c r="AQ11" s="36"/>
      <c r="AR11" s="36"/>
      <c r="AS11" s="36"/>
      <c r="AT11" s="36"/>
      <c r="AU11" s="36"/>
      <c r="AV11" s="36"/>
      <c r="AW11" s="36"/>
      <c r="AX11" s="36"/>
      <c r="AY11" s="36"/>
      <c r="AZ11" s="36"/>
      <c r="BA11" s="36"/>
      <c r="BB11" s="36"/>
      <c r="BC11" s="36"/>
    </row>
    <row r="12" spans="1:55" x14ac:dyDescent="0.25">
      <c r="M12" s="97"/>
      <c r="N12" s="93"/>
      <c r="O12" s="93"/>
      <c r="P12" s="93"/>
      <c r="Q12" s="93"/>
      <c r="R12" s="93"/>
      <c r="S12" s="93"/>
      <c r="T12" s="93"/>
      <c r="U12" s="93"/>
      <c r="V12" s="93"/>
      <c r="W12" s="93"/>
      <c r="X12" s="93"/>
      <c r="Y12" s="93"/>
      <c r="Z12" s="93"/>
      <c r="AA12" s="93"/>
      <c r="AB12" s="93"/>
      <c r="AC12" s="93"/>
      <c r="AD12" s="93"/>
      <c r="AE12" s="93"/>
      <c r="AF12" s="93"/>
      <c r="AG12" s="93"/>
      <c r="AH12" s="93"/>
      <c r="AI12" s="93"/>
      <c r="AJ12" s="93"/>
      <c r="AK12" s="36"/>
      <c r="AL12" s="36"/>
      <c r="AM12" s="36"/>
      <c r="AN12" s="36"/>
      <c r="AO12" s="36"/>
      <c r="AP12" s="36"/>
      <c r="AQ12" s="36"/>
      <c r="AR12" s="36"/>
      <c r="AS12" s="36"/>
      <c r="AT12" s="36"/>
      <c r="AU12" s="36"/>
      <c r="AV12" s="36"/>
      <c r="AW12" s="36"/>
      <c r="AX12" s="36"/>
      <c r="AY12" s="36"/>
      <c r="AZ12" s="36"/>
      <c r="BA12" s="36"/>
      <c r="BB12" s="36"/>
      <c r="BC12" s="36"/>
    </row>
    <row r="13" spans="1:55" x14ac:dyDescent="0.25">
      <c r="M13" s="97"/>
      <c r="N13" s="93"/>
      <c r="O13" s="93"/>
      <c r="P13" s="93"/>
      <c r="Q13" s="93"/>
      <c r="R13" s="93"/>
      <c r="S13" s="93"/>
      <c r="T13" s="93"/>
      <c r="U13" s="93"/>
      <c r="V13" s="93"/>
      <c r="W13" s="93"/>
      <c r="X13" s="93"/>
      <c r="Y13" s="93"/>
      <c r="Z13" s="93"/>
      <c r="AA13" s="93"/>
      <c r="AB13" s="93"/>
      <c r="AC13" s="93"/>
      <c r="AD13" s="93"/>
      <c r="AE13" s="93"/>
      <c r="AF13" s="93"/>
      <c r="AG13" s="93"/>
      <c r="AH13" s="93"/>
      <c r="AI13" s="93"/>
      <c r="AJ13" s="93"/>
      <c r="AK13" s="36"/>
      <c r="AL13" s="36"/>
      <c r="AM13" s="36"/>
      <c r="AN13" s="36"/>
      <c r="AO13" s="36"/>
      <c r="AP13" s="36"/>
      <c r="AQ13" s="36"/>
      <c r="AR13" s="36"/>
      <c r="AS13" s="36"/>
      <c r="AT13" s="36"/>
      <c r="AU13" s="36"/>
      <c r="AV13" s="36"/>
      <c r="AW13" s="36"/>
      <c r="AX13" s="36"/>
      <c r="AY13" s="36"/>
      <c r="AZ13" s="36"/>
      <c r="BA13" s="36"/>
      <c r="BB13" s="36"/>
      <c r="BC13" s="36"/>
    </row>
    <row r="14" spans="1:55" x14ac:dyDescent="0.25">
      <c r="M14" s="97"/>
      <c r="N14" s="93"/>
      <c r="O14" s="93"/>
      <c r="P14" s="93"/>
      <c r="Q14" s="93"/>
      <c r="R14" s="93"/>
      <c r="S14" s="93"/>
      <c r="T14" s="93"/>
      <c r="U14" s="93"/>
      <c r="V14" s="93"/>
      <c r="W14" s="93"/>
      <c r="X14" s="93"/>
      <c r="Y14" s="93"/>
      <c r="Z14" s="93"/>
      <c r="AA14" s="93"/>
      <c r="AB14" s="93"/>
      <c r="AC14" s="93"/>
      <c r="AD14" s="93"/>
      <c r="AE14" s="93"/>
      <c r="AF14" s="93"/>
      <c r="AG14" s="93"/>
      <c r="AH14" s="93"/>
      <c r="AI14" s="93"/>
      <c r="AJ14" s="93"/>
      <c r="AK14" s="36"/>
      <c r="AL14" s="36"/>
      <c r="AM14" s="36"/>
      <c r="AN14" s="36"/>
      <c r="AO14" s="36"/>
      <c r="AP14" s="36"/>
      <c r="AQ14" s="36"/>
      <c r="AR14" s="36"/>
      <c r="AS14" s="36"/>
      <c r="AT14" s="36"/>
      <c r="AU14" s="36"/>
      <c r="AV14" s="36"/>
      <c r="AW14" s="36"/>
      <c r="AX14" s="36"/>
      <c r="AY14" s="36"/>
      <c r="AZ14" s="36"/>
      <c r="BA14" s="36"/>
      <c r="BB14" s="36"/>
      <c r="BC14" s="36"/>
    </row>
    <row r="15" spans="1:55" x14ac:dyDescent="0.25">
      <c r="M15" s="97"/>
      <c r="N15" s="93"/>
      <c r="O15" s="93"/>
      <c r="P15" s="93"/>
      <c r="Q15" s="93"/>
      <c r="R15" s="93"/>
      <c r="S15" s="93"/>
      <c r="T15" s="93"/>
      <c r="U15" s="93"/>
      <c r="V15" s="93"/>
      <c r="W15" s="93"/>
      <c r="X15" s="93"/>
      <c r="Y15" s="93"/>
      <c r="Z15" s="93"/>
      <c r="AA15" s="93"/>
      <c r="AB15" s="93"/>
      <c r="AC15" s="93"/>
      <c r="AD15" s="93"/>
      <c r="AE15" s="93"/>
      <c r="AF15" s="93"/>
      <c r="AG15" s="93"/>
      <c r="AH15" s="93"/>
      <c r="AI15" s="93"/>
      <c r="AJ15" s="93"/>
      <c r="AK15" s="36"/>
      <c r="AL15" s="36"/>
      <c r="AM15" s="36"/>
      <c r="AN15" s="36"/>
      <c r="AO15" s="36"/>
      <c r="AP15" s="36"/>
      <c r="AQ15" s="36"/>
      <c r="AR15" s="36"/>
      <c r="AS15" s="36"/>
      <c r="AT15" s="36"/>
      <c r="AU15" s="36"/>
      <c r="AV15" s="36"/>
      <c r="AW15" s="36"/>
      <c r="AX15" s="36"/>
      <c r="AY15" s="36"/>
      <c r="AZ15" s="36"/>
      <c r="BA15" s="36"/>
      <c r="BB15" s="36"/>
      <c r="BC15" s="36"/>
    </row>
    <row r="16" spans="1:55" x14ac:dyDescent="0.25">
      <c r="M16" s="97"/>
      <c r="N16" s="93"/>
      <c r="O16" s="93"/>
      <c r="P16" s="93"/>
      <c r="Q16" s="93"/>
      <c r="R16" s="93"/>
      <c r="S16" s="93"/>
      <c r="T16" s="93"/>
      <c r="U16" s="93"/>
      <c r="V16" s="93"/>
      <c r="W16" s="93"/>
      <c r="X16" s="93"/>
      <c r="Y16" s="93"/>
      <c r="Z16" s="93"/>
      <c r="AA16" s="93"/>
      <c r="AB16" s="93"/>
      <c r="AC16" s="93"/>
      <c r="AD16" s="93"/>
      <c r="AE16" s="93"/>
      <c r="AF16" s="93"/>
      <c r="AG16" s="93"/>
      <c r="AH16" s="93"/>
      <c r="AI16" s="93"/>
      <c r="AJ16" s="93"/>
      <c r="AK16" s="36"/>
      <c r="AL16" s="36"/>
      <c r="AM16" s="36"/>
      <c r="AN16" s="36"/>
      <c r="AO16" s="36"/>
      <c r="AP16" s="36"/>
      <c r="AQ16" s="36"/>
      <c r="AR16" s="36"/>
      <c r="AS16" s="36"/>
      <c r="AT16" s="36"/>
      <c r="AU16" s="36"/>
      <c r="AV16" s="36"/>
      <c r="AW16" s="36"/>
      <c r="AX16" s="36"/>
      <c r="AY16" s="36"/>
      <c r="AZ16" s="36"/>
      <c r="BA16" s="36"/>
      <c r="BB16" s="36"/>
      <c r="BC16" s="36"/>
    </row>
    <row r="17" spans="13:55" x14ac:dyDescent="0.25">
      <c r="M17" s="97"/>
      <c r="N17" s="93"/>
      <c r="O17" s="93"/>
      <c r="P17" s="93"/>
      <c r="Q17" s="93"/>
      <c r="R17" s="93"/>
      <c r="S17" s="93"/>
      <c r="T17" s="93"/>
      <c r="U17" s="93"/>
      <c r="V17" s="93"/>
      <c r="W17" s="93"/>
      <c r="X17" s="93"/>
      <c r="Y17" s="93"/>
      <c r="Z17" s="93"/>
      <c r="AA17" s="93"/>
      <c r="AB17" s="93"/>
      <c r="AC17" s="93"/>
      <c r="AD17" s="93"/>
      <c r="AE17" s="93"/>
      <c r="AF17" s="93"/>
      <c r="AG17" s="93"/>
      <c r="AH17" s="93"/>
      <c r="AI17" s="93"/>
      <c r="AJ17" s="93"/>
      <c r="AK17" s="36"/>
      <c r="AL17" s="36"/>
      <c r="AM17" s="36"/>
      <c r="AN17" s="36"/>
      <c r="AO17" s="36"/>
      <c r="AP17" s="36"/>
      <c r="AQ17" s="36"/>
      <c r="AR17" s="36"/>
      <c r="AS17" s="36"/>
      <c r="AT17" s="36"/>
      <c r="AU17" s="36"/>
      <c r="AV17" s="36"/>
      <c r="AW17" s="36"/>
      <c r="AX17" s="36"/>
      <c r="AY17" s="36"/>
      <c r="AZ17" s="36"/>
      <c r="BA17" s="36"/>
      <c r="BB17" s="36"/>
      <c r="BC17" s="36"/>
    </row>
    <row r="18" spans="13:55" x14ac:dyDescent="0.25">
      <c r="M18" s="97"/>
      <c r="N18" s="93"/>
      <c r="O18" s="93"/>
      <c r="P18" s="93"/>
      <c r="Q18" s="93"/>
      <c r="R18" s="93"/>
      <c r="S18" s="93"/>
      <c r="T18" s="93"/>
      <c r="U18" s="93"/>
      <c r="V18" s="93"/>
      <c r="W18" s="93"/>
      <c r="X18" s="93"/>
      <c r="Y18" s="93"/>
      <c r="Z18" s="93"/>
      <c r="AA18" s="93"/>
      <c r="AB18" s="93"/>
      <c r="AC18" s="93"/>
      <c r="AD18" s="93"/>
      <c r="AE18" s="93"/>
      <c r="AF18" s="93"/>
      <c r="AG18" s="93"/>
      <c r="AH18" s="93"/>
      <c r="AI18" s="93"/>
      <c r="AJ18" s="93"/>
      <c r="AK18" s="36"/>
      <c r="AL18" s="36"/>
      <c r="AM18" s="36"/>
      <c r="AN18" s="36"/>
      <c r="AO18" s="36"/>
      <c r="AP18" s="36"/>
      <c r="AQ18" s="36"/>
      <c r="AR18" s="36"/>
      <c r="AS18" s="36"/>
      <c r="AT18" s="36"/>
      <c r="AU18" s="36"/>
      <c r="AV18" s="36"/>
      <c r="AW18" s="36"/>
      <c r="AX18" s="36"/>
      <c r="AY18" s="36"/>
      <c r="AZ18" s="36"/>
      <c r="BA18" s="36"/>
      <c r="BB18" s="36"/>
      <c r="BC18" s="36"/>
    </row>
    <row r="19" spans="13:55" x14ac:dyDescent="0.25">
      <c r="M19" s="97"/>
      <c r="N19" s="93"/>
      <c r="O19" s="93"/>
      <c r="P19" s="93"/>
      <c r="Q19" s="93"/>
      <c r="R19" s="93"/>
      <c r="S19" s="93"/>
      <c r="T19" s="93"/>
      <c r="U19" s="93"/>
      <c r="V19" s="93"/>
      <c r="W19" s="93"/>
      <c r="X19" s="93"/>
      <c r="Y19" s="93"/>
      <c r="Z19" s="93"/>
      <c r="AA19" s="93"/>
      <c r="AB19" s="93"/>
      <c r="AC19" s="93"/>
      <c r="AD19" s="93"/>
      <c r="AE19" s="93"/>
      <c r="AF19" s="93"/>
      <c r="AG19" s="93"/>
      <c r="AH19" s="93"/>
      <c r="AI19" s="93"/>
      <c r="AJ19" s="93"/>
      <c r="AK19" s="36"/>
      <c r="AL19" s="36"/>
      <c r="AM19" s="36"/>
      <c r="AN19" s="36"/>
      <c r="AO19" s="36"/>
      <c r="AP19" s="36"/>
      <c r="AQ19" s="36"/>
      <c r="AR19" s="36"/>
      <c r="AS19" s="36"/>
      <c r="AT19" s="36"/>
      <c r="AU19" s="36"/>
      <c r="AV19" s="36"/>
      <c r="AW19" s="36"/>
      <c r="AX19" s="36"/>
      <c r="AY19" s="36"/>
      <c r="AZ19" s="36"/>
      <c r="BA19" s="36"/>
      <c r="BB19" s="36"/>
      <c r="BC19" s="36"/>
    </row>
    <row r="20" spans="13:55" x14ac:dyDescent="0.25">
      <c r="M20" s="97"/>
      <c r="N20" s="93"/>
      <c r="O20" s="93"/>
      <c r="P20" s="93"/>
      <c r="Q20" s="93"/>
      <c r="R20" s="93"/>
      <c r="S20" s="93"/>
      <c r="T20" s="93"/>
      <c r="U20" s="93"/>
      <c r="V20" s="93"/>
      <c r="W20" s="93"/>
      <c r="X20" s="93"/>
      <c r="Y20" s="93"/>
      <c r="Z20" s="93"/>
      <c r="AA20" s="93"/>
      <c r="AB20" s="93"/>
      <c r="AC20" s="93"/>
      <c r="AD20" s="93"/>
      <c r="AE20" s="93"/>
      <c r="AF20" s="93"/>
      <c r="AG20" s="93"/>
      <c r="AH20" s="93"/>
      <c r="AI20" s="93"/>
      <c r="AJ20" s="93"/>
      <c r="AK20" s="36"/>
      <c r="AL20" s="36"/>
      <c r="AM20" s="36"/>
      <c r="AN20" s="36"/>
      <c r="AO20" s="36"/>
      <c r="AP20" s="36"/>
      <c r="AQ20" s="36"/>
      <c r="AR20" s="36"/>
      <c r="AS20" s="36"/>
      <c r="AT20" s="36"/>
      <c r="AU20" s="36"/>
      <c r="AV20" s="36"/>
      <c r="AW20" s="36"/>
      <c r="AX20" s="36"/>
      <c r="AY20" s="36"/>
      <c r="AZ20" s="36"/>
      <c r="BA20" s="36"/>
      <c r="BB20" s="36"/>
      <c r="BC20" s="36"/>
    </row>
    <row r="21" spans="13:55" x14ac:dyDescent="0.25">
      <c r="M21" s="97"/>
      <c r="N21" s="93"/>
      <c r="O21" s="93"/>
      <c r="P21" s="93"/>
      <c r="Q21" s="93"/>
      <c r="R21" s="93"/>
      <c r="S21" s="93"/>
      <c r="T21" s="93"/>
      <c r="U21" s="93"/>
      <c r="V21" s="93"/>
      <c r="W21" s="93"/>
      <c r="X21" s="93"/>
      <c r="Y21" s="93"/>
      <c r="Z21" s="93"/>
      <c r="AA21" s="93"/>
      <c r="AB21" s="93"/>
      <c r="AC21" s="93"/>
      <c r="AD21" s="93"/>
      <c r="AE21" s="93"/>
      <c r="AF21" s="93"/>
      <c r="AG21" s="93"/>
      <c r="AH21" s="93"/>
      <c r="AI21" s="93"/>
      <c r="AJ21" s="93"/>
      <c r="AK21" s="36"/>
      <c r="AL21" s="36"/>
      <c r="AM21" s="36"/>
      <c r="AN21" s="36"/>
      <c r="AO21" s="36"/>
      <c r="AP21" s="36"/>
      <c r="AQ21" s="36"/>
      <c r="AR21" s="36"/>
      <c r="AS21" s="36"/>
      <c r="AT21" s="36"/>
      <c r="AU21" s="36"/>
      <c r="AV21" s="36"/>
      <c r="AW21" s="36"/>
      <c r="AX21" s="36"/>
      <c r="AY21" s="36"/>
      <c r="AZ21" s="36"/>
      <c r="BA21" s="36"/>
      <c r="BB21" s="36"/>
      <c r="BC21" s="36"/>
    </row>
    <row r="22" spans="13:55" x14ac:dyDescent="0.25">
      <c r="M22" s="97"/>
      <c r="N22" s="93"/>
      <c r="O22" s="93"/>
      <c r="P22" s="93"/>
      <c r="Q22" s="93"/>
      <c r="R22" s="93"/>
      <c r="S22" s="93"/>
      <c r="T22" s="93"/>
      <c r="U22" s="93"/>
      <c r="V22" s="93"/>
      <c r="W22" s="93"/>
      <c r="X22" s="93"/>
      <c r="Y22" s="93"/>
      <c r="Z22" s="93"/>
      <c r="AA22" s="93"/>
      <c r="AB22" s="93"/>
      <c r="AC22" s="93"/>
      <c r="AD22" s="93"/>
      <c r="AE22" s="93"/>
      <c r="AF22" s="93"/>
      <c r="AG22" s="93"/>
      <c r="AH22" s="93"/>
      <c r="AI22" s="93"/>
      <c r="AJ22" s="93"/>
      <c r="AK22" s="36"/>
      <c r="AL22" s="36"/>
      <c r="AM22" s="36"/>
      <c r="AN22" s="36"/>
      <c r="AO22" s="36"/>
      <c r="AP22" s="36"/>
      <c r="AQ22" s="36"/>
      <c r="AR22" s="36"/>
      <c r="AS22" s="36"/>
      <c r="AT22" s="36"/>
      <c r="AU22" s="36"/>
      <c r="AV22" s="36"/>
      <c r="AW22" s="36"/>
      <c r="AX22" s="36"/>
      <c r="AY22" s="36"/>
      <c r="AZ22" s="36"/>
      <c r="BA22" s="36"/>
      <c r="BB22" s="36"/>
      <c r="BC22" s="36"/>
    </row>
    <row r="23" spans="13:55" x14ac:dyDescent="0.25">
      <c r="M23" s="93"/>
      <c r="N23" s="93"/>
      <c r="O23" s="93"/>
      <c r="P23" s="93"/>
      <c r="Q23" s="93"/>
      <c r="R23" s="93"/>
      <c r="S23" s="93"/>
      <c r="T23" s="93"/>
      <c r="U23" s="93"/>
      <c r="V23" s="93"/>
      <c r="W23" s="93"/>
      <c r="X23" s="93"/>
      <c r="Y23" s="93"/>
      <c r="Z23" s="93"/>
      <c r="AA23" s="93"/>
      <c r="AB23" s="93"/>
      <c r="AC23" s="93"/>
      <c r="AD23" s="93"/>
      <c r="AE23" s="93"/>
      <c r="AF23" s="93"/>
      <c r="AG23" s="93"/>
      <c r="AH23" s="93"/>
      <c r="AI23" s="93"/>
      <c r="AJ23" s="93"/>
      <c r="AK23" s="36"/>
      <c r="AL23" s="36"/>
      <c r="AM23" s="36"/>
      <c r="AN23" s="36"/>
      <c r="AO23" s="36"/>
      <c r="AP23" s="36"/>
      <c r="AQ23" s="36"/>
      <c r="AR23" s="36"/>
      <c r="AS23" s="36"/>
      <c r="AT23" s="36"/>
      <c r="AU23" s="36"/>
      <c r="AV23" s="36"/>
      <c r="AW23" s="36"/>
      <c r="AX23" s="36"/>
      <c r="AY23" s="36"/>
      <c r="AZ23" s="36"/>
      <c r="BA23" s="36"/>
      <c r="BB23" s="36"/>
      <c r="BC23" s="36"/>
    </row>
    <row r="24" spans="13:55" x14ac:dyDescent="0.25">
      <c r="M24" s="93"/>
      <c r="N24" s="93"/>
      <c r="O24" s="93"/>
      <c r="P24" s="93"/>
      <c r="Q24" s="93"/>
      <c r="R24" s="93"/>
      <c r="S24" s="93"/>
      <c r="T24" s="93"/>
      <c r="U24" s="93"/>
      <c r="V24" s="93"/>
      <c r="W24" s="93"/>
      <c r="X24" s="93"/>
      <c r="Y24" s="93"/>
      <c r="Z24" s="93"/>
      <c r="AA24" s="93"/>
      <c r="AB24" s="93"/>
      <c r="AC24" s="93"/>
      <c r="AD24" s="93"/>
      <c r="AE24" s="93"/>
      <c r="AF24" s="93"/>
      <c r="AG24" s="93"/>
      <c r="AH24" s="93"/>
      <c r="AI24" s="93"/>
      <c r="AJ24" s="93"/>
      <c r="AK24" s="36"/>
      <c r="AL24" s="36"/>
      <c r="AM24" s="36"/>
      <c r="AN24" s="36"/>
      <c r="AO24" s="36"/>
      <c r="AP24" s="36"/>
      <c r="AQ24" s="36"/>
      <c r="AR24" s="36"/>
      <c r="AS24" s="36"/>
      <c r="AT24" s="36"/>
      <c r="AU24" s="36"/>
      <c r="AV24" s="36"/>
      <c r="AW24" s="36"/>
      <c r="AX24" s="36"/>
      <c r="AY24" s="36"/>
      <c r="AZ24" s="36"/>
      <c r="BA24" s="36"/>
      <c r="BB24" s="36"/>
      <c r="BC24" s="36"/>
    </row>
    <row r="25" spans="13:55" x14ac:dyDescent="0.25">
      <c r="M25" s="93"/>
      <c r="N25" s="93"/>
      <c r="O25" s="93"/>
      <c r="P25" s="93"/>
      <c r="Q25" s="93"/>
      <c r="R25" s="93"/>
      <c r="S25" s="93"/>
      <c r="T25" s="93"/>
      <c r="U25" s="93"/>
      <c r="V25" s="93"/>
      <c r="W25" s="93"/>
      <c r="X25" s="93"/>
      <c r="Y25" s="93"/>
      <c r="Z25" s="93"/>
      <c r="AA25" s="93"/>
      <c r="AB25" s="93"/>
      <c r="AC25" s="93"/>
      <c r="AD25" s="93"/>
      <c r="AE25" s="93"/>
      <c r="AF25" s="93"/>
      <c r="AG25" s="93"/>
      <c r="AH25" s="93"/>
      <c r="AI25" s="93"/>
      <c r="AJ25" s="93"/>
      <c r="AK25" s="36"/>
      <c r="AL25" s="36"/>
      <c r="AM25" s="36"/>
      <c r="AN25" s="36"/>
      <c r="AO25" s="36"/>
      <c r="AP25" s="36"/>
      <c r="AQ25" s="36"/>
      <c r="AR25" s="36"/>
      <c r="AS25" s="36"/>
      <c r="AT25" s="36"/>
      <c r="AU25" s="36"/>
      <c r="AV25" s="36"/>
      <c r="AW25" s="36"/>
      <c r="AX25" s="36"/>
      <c r="AY25" s="36"/>
      <c r="AZ25" s="36"/>
      <c r="BA25" s="36"/>
      <c r="BB25" s="36"/>
      <c r="BC25" s="36"/>
    </row>
    <row r="26" spans="13:55" x14ac:dyDescent="0.25">
      <c r="M26" s="93"/>
      <c r="N26" s="93"/>
      <c r="O26" s="93"/>
      <c r="P26" s="93"/>
      <c r="Q26" s="93"/>
      <c r="R26" s="93"/>
      <c r="S26" s="93"/>
      <c r="T26" s="93"/>
      <c r="U26" s="93"/>
      <c r="V26" s="93"/>
      <c r="W26" s="93"/>
      <c r="X26" s="93"/>
      <c r="Y26" s="93"/>
      <c r="Z26" s="93"/>
      <c r="AA26" s="93"/>
      <c r="AB26" s="93"/>
      <c r="AC26" s="93"/>
      <c r="AD26" s="93"/>
      <c r="AE26" s="93"/>
      <c r="AF26" s="93"/>
      <c r="AG26" s="93"/>
      <c r="AH26" s="93"/>
      <c r="AI26" s="93"/>
      <c r="AJ26" s="93"/>
      <c r="AK26" s="36"/>
      <c r="AL26" s="36"/>
      <c r="AM26" s="36"/>
      <c r="AN26" s="36"/>
      <c r="AO26" s="36"/>
      <c r="AP26" s="36"/>
      <c r="AQ26" s="36"/>
      <c r="AR26" s="36"/>
      <c r="AS26" s="36"/>
      <c r="AT26" s="36"/>
      <c r="AU26" s="36"/>
      <c r="AV26" s="36"/>
      <c r="AW26" s="36"/>
      <c r="AX26" s="36"/>
      <c r="AY26" s="36"/>
      <c r="AZ26" s="36"/>
      <c r="BA26" s="36"/>
      <c r="BB26" s="36"/>
      <c r="BC26" s="36"/>
    </row>
    <row r="27" spans="13:55" x14ac:dyDescent="0.25">
      <c r="M27" s="93"/>
      <c r="N27" s="93"/>
      <c r="O27" s="93"/>
      <c r="P27" s="93"/>
      <c r="Q27" s="93"/>
      <c r="R27" s="93"/>
      <c r="S27" s="93"/>
      <c r="T27" s="93"/>
      <c r="U27" s="93"/>
      <c r="V27" s="93"/>
      <c r="W27" s="93"/>
      <c r="X27" s="93"/>
      <c r="Y27" s="93"/>
      <c r="Z27" s="93"/>
      <c r="AA27" s="93"/>
      <c r="AB27" s="93"/>
      <c r="AC27" s="93"/>
      <c r="AD27" s="93"/>
      <c r="AE27" s="93"/>
      <c r="AF27" s="93"/>
      <c r="AG27" s="93"/>
      <c r="AH27" s="93"/>
      <c r="AI27" s="93"/>
      <c r="AJ27" s="93"/>
      <c r="AK27" s="36"/>
      <c r="AL27" s="36"/>
      <c r="AM27" s="36"/>
      <c r="AN27" s="36"/>
      <c r="AO27" s="36"/>
      <c r="AP27" s="36"/>
      <c r="AQ27" s="36"/>
      <c r="AR27" s="36"/>
      <c r="AS27" s="36"/>
      <c r="AT27" s="36"/>
      <c r="AU27" s="36"/>
      <c r="AV27" s="36"/>
      <c r="AW27" s="36"/>
      <c r="AX27" s="36"/>
      <c r="AY27" s="36"/>
      <c r="AZ27" s="36"/>
      <c r="BA27" s="36"/>
      <c r="BB27" s="36"/>
      <c r="BC27" s="36"/>
    </row>
    <row r="28" spans="13:55" x14ac:dyDescent="0.25">
      <c r="M28" s="93"/>
      <c r="N28" s="93"/>
      <c r="O28" s="93"/>
      <c r="P28" s="93"/>
      <c r="Q28" s="93"/>
      <c r="R28" s="93"/>
      <c r="S28" s="93"/>
      <c r="T28" s="93"/>
      <c r="U28" s="93"/>
      <c r="V28" s="93"/>
      <c r="W28" s="93"/>
      <c r="X28" s="93"/>
      <c r="Y28" s="93"/>
      <c r="Z28" s="93"/>
      <c r="AA28" s="93"/>
      <c r="AB28" s="93"/>
      <c r="AC28" s="93"/>
      <c r="AD28" s="93"/>
      <c r="AE28" s="93"/>
      <c r="AF28" s="93"/>
      <c r="AG28" s="93"/>
      <c r="AH28" s="93"/>
      <c r="AI28" s="93"/>
      <c r="AJ28" s="93"/>
      <c r="AK28" s="36"/>
      <c r="AL28" s="36"/>
      <c r="AM28" s="36"/>
      <c r="AN28" s="36"/>
      <c r="AO28" s="36"/>
      <c r="AP28" s="36"/>
      <c r="AQ28" s="36"/>
      <c r="AR28" s="36"/>
      <c r="AS28" s="36"/>
      <c r="AT28" s="36"/>
      <c r="AU28" s="36"/>
      <c r="AV28" s="36"/>
      <c r="AW28" s="36"/>
      <c r="AX28" s="36"/>
      <c r="AY28" s="36"/>
      <c r="AZ28" s="36"/>
      <c r="BA28" s="36"/>
      <c r="BB28" s="36"/>
      <c r="BC28" s="36"/>
    </row>
    <row r="29" spans="13:55" x14ac:dyDescent="0.25">
      <c r="M29" s="93"/>
      <c r="N29" s="93"/>
      <c r="O29" s="93"/>
      <c r="P29" s="93"/>
      <c r="Q29" s="93"/>
      <c r="R29" s="93"/>
      <c r="S29" s="93"/>
      <c r="T29" s="93"/>
      <c r="U29" s="93"/>
      <c r="V29" s="93"/>
      <c r="W29" s="93"/>
      <c r="X29" s="93"/>
      <c r="Y29" s="93"/>
      <c r="Z29" s="93"/>
      <c r="AA29" s="93"/>
      <c r="AB29" s="93"/>
      <c r="AC29" s="93"/>
      <c r="AD29" s="93"/>
      <c r="AE29" s="93"/>
      <c r="AF29" s="93"/>
      <c r="AG29" s="93"/>
      <c r="AH29" s="93"/>
      <c r="AI29" s="93"/>
      <c r="AJ29" s="93"/>
      <c r="AK29" s="36"/>
      <c r="AL29" s="36"/>
      <c r="AM29" s="36"/>
      <c r="AN29" s="36"/>
      <c r="AO29" s="36"/>
      <c r="AP29" s="36"/>
      <c r="AQ29" s="36"/>
      <c r="AR29" s="36"/>
      <c r="AS29" s="36"/>
      <c r="AT29" s="36"/>
      <c r="AU29" s="36"/>
      <c r="AV29" s="36"/>
      <c r="AW29" s="36"/>
      <c r="AX29" s="36"/>
      <c r="AY29" s="36"/>
      <c r="AZ29" s="36"/>
      <c r="BA29" s="36"/>
      <c r="BB29" s="36"/>
      <c r="BC29" s="36"/>
    </row>
    <row r="30" spans="13:55" x14ac:dyDescent="0.25">
      <c r="M30" s="93"/>
      <c r="N30" s="93"/>
      <c r="O30" s="93"/>
      <c r="P30" s="93"/>
      <c r="Q30" s="93"/>
      <c r="R30" s="93"/>
      <c r="S30" s="93"/>
      <c r="T30" s="93"/>
      <c r="U30" s="93"/>
      <c r="V30" s="93"/>
      <c r="W30" s="93"/>
      <c r="X30" s="93"/>
      <c r="Y30" s="93"/>
      <c r="Z30" s="93"/>
      <c r="AA30" s="93"/>
      <c r="AB30" s="93"/>
      <c r="AC30" s="93"/>
      <c r="AD30" s="93"/>
      <c r="AE30" s="93"/>
      <c r="AF30" s="93"/>
      <c r="AG30" s="93"/>
      <c r="AH30" s="93"/>
      <c r="AI30" s="93"/>
      <c r="AJ30" s="93"/>
      <c r="AK30" s="36"/>
      <c r="AL30" s="36"/>
      <c r="AM30" s="36"/>
      <c r="AN30" s="36"/>
      <c r="AO30" s="36"/>
      <c r="AP30" s="36"/>
      <c r="AQ30" s="36"/>
      <c r="AR30" s="36"/>
      <c r="AS30" s="36"/>
      <c r="AT30" s="36"/>
      <c r="AU30" s="36"/>
      <c r="AV30" s="36"/>
      <c r="AW30" s="36"/>
      <c r="AX30" s="36"/>
      <c r="AY30" s="36"/>
      <c r="AZ30" s="36"/>
      <c r="BA30" s="36"/>
      <c r="BB30" s="36"/>
      <c r="BC30" s="36"/>
    </row>
    <row r="31" spans="13:55" x14ac:dyDescent="0.25">
      <c r="M31" s="93"/>
      <c r="N31" s="93"/>
      <c r="O31" s="93"/>
      <c r="P31" s="93"/>
      <c r="Q31" s="93"/>
      <c r="R31" s="93"/>
      <c r="S31" s="93"/>
      <c r="T31" s="93"/>
      <c r="U31" s="93"/>
      <c r="V31" s="93"/>
      <c r="W31" s="93"/>
      <c r="X31" s="93"/>
      <c r="Y31" s="93"/>
      <c r="Z31" s="93"/>
      <c r="AA31" s="93"/>
      <c r="AB31" s="93"/>
      <c r="AC31" s="93"/>
      <c r="AD31" s="93"/>
      <c r="AE31" s="93"/>
      <c r="AF31" s="93"/>
      <c r="AG31" s="93"/>
      <c r="AH31" s="93"/>
      <c r="AI31" s="93"/>
      <c r="AJ31" s="93"/>
      <c r="AK31" s="36"/>
      <c r="AL31" s="36"/>
      <c r="AM31" s="36"/>
      <c r="AN31" s="36"/>
      <c r="AO31" s="36"/>
      <c r="AP31" s="36"/>
      <c r="AQ31" s="36"/>
      <c r="AR31" s="36"/>
      <c r="AS31" s="36"/>
      <c r="AT31" s="36"/>
      <c r="AU31" s="36"/>
      <c r="AV31" s="36"/>
      <c r="AW31" s="36"/>
      <c r="AX31" s="36"/>
      <c r="AY31" s="36"/>
      <c r="AZ31" s="36"/>
      <c r="BA31" s="36"/>
      <c r="BB31" s="36"/>
      <c r="BC31" s="36"/>
    </row>
    <row r="32" spans="13:55" x14ac:dyDescent="0.25">
      <c r="M32" s="93"/>
      <c r="N32" s="93"/>
      <c r="O32" s="93"/>
      <c r="P32" s="93"/>
      <c r="Q32" s="93"/>
      <c r="R32" s="93"/>
      <c r="S32" s="93"/>
      <c r="T32" s="93"/>
      <c r="U32" s="93"/>
      <c r="V32" s="93"/>
      <c r="W32" s="93"/>
      <c r="X32" s="93"/>
      <c r="Y32" s="93"/>
      <c r="Z32" s="93"/>
      <c r="AA32" s="93"/>
      <c r="AB32" s="93"/>
      <c r="AC32" s="93"/>
      <c r="AD32" s="93"/>
      <c r="AE32" s="93"/>
      <c r="AF32" s="93"/>
      <c r="AG32" s="93"/>
      <c r="AH32" s="93"/>
      <c r="AI32" s="93"/>
      <c r="AJ32" s="93"/>
      <c r="AK32" s="36"/>
      <c r="AL32" s="36"/>
      <c r="AM32" s="36"/>
      <c r="AN32" s="36"/>
      <c r="AO32" s="36"/>
      <c r="AP32" s="36"/>
      <c r="AQ32" s="36"/>
      <c r="AR32" s="36"/>
      <c r="AS32" s="36"/>
      <c r="AT32" s="36"/>
      <c r="AU32" s="36"/>
      <c r="AV32" s="36"/>
      <c r="AW32" s="36"/>
      <c r="AX32" s="36"/>
      <c r="AY32" s="36"/>
      <c r="AZ32" s="36"/>
      <c r="BA32" s="36"/>
      <c r="BB32" s="36"/>
      <c r="BC32" s="36"/>
    </row>
    <row r="33" spans="1:55" x14ac:dyDescent="0.25">
      <c r="M33" s="93"/>
      <c r="N33" s="93"/>
      <c r="O33" s="93"/>
      <c r="P33" s="93"/>
      <c r="Q33" s="93"/>
      <c r="R33" s="93"/>
      <c r="S33" s="93"/>
      <c r="T33" s="93"/>
      <c r="U33" s="93"/>
      <c r="V33" s="93"/>
      <c r="W33" s="93"/>
      <c r="X33" s="93"/>
      <c r="Y33" s="93"/>
      <c r="Z33" s="93"/>
      <c r="AA33" s="93"/>
      <c r="AB33" s="93"/>
      <c r="AC33" s="93"/>
      <c r="AD33" s="93"/>
      <c r="AE33" s="93"/>
      <c r="AF33" s="93"/>
      <c r="AG33" s="93"/>
      <c r="AH33" s="93"/>
      <c r="AI33" s="93"/>
      <c r="AJ33" s="93"/>
      <c r="AK33" s="36"/>
      <c r="AL33" s="36"/>
      <c r="AM33" s="36"/>
      <c r="AN33" s="36"/>
      <c r="AO33" s="36"/>
      <c r="AP33" s="36"/>
      <c r="AQ33" s="36"/>
      <c r="AR33" s="36"/>
      <c r="AS33" s="36"/>
      <c r="AT33" s="36"/>
      <c r="AU33" s="36"/>
      <c r="AV33" s="36"/>
      <c r="AW33" s="36"/>
      <c r="AX33" s="36"/>
      <c r="AY33" s="36"/>
      <c r="AZ33" s="36"/>
      <c r="BA33" s="36"/>
      <c r="BB33" s="36"/>
      <c r="BC33" s="36"/>
    </row>
    <row r="34" spans="1:55" x14ac:dyDescent="0.25">
      <c r="M34" s="93"/>
      <c r="N34" s="93"/>
      <c r="O34" s="93"/>
      <c r="P34" s="93"/>
      <c r="Q34" s="93"/>
      <c r="R34" s="93"/>
      <c r="S34" s="93"/>
      <c r="T34" s="93"/>
      <c r="U34" s="93"/>
      <c r="V34" s="93"/>
      <c r="W34" s="93"/>
      <c r="X34" s="93"/>
      <c r="Y34" s="93"/>
      <c r="Z34" s="93"/>
      <c r="AA34" s="93"/>
      <c r="AB34" s="93"/>
      <c r="AC34" s="93"/>
      <c r="AD34" s="93"/>
      <c r="AE34" s="93"/>
      <c r="AF34" s="93"/>
      <c r="AG34" s="93"/>
      <c r="AH34" s="93"/>
      <c r="AI34" s="93"/>
      <c r="AJ34" s="93"/>
      <c r="AK34" s="36"/>
      <c r="AL34" s="36"/>
      <c r="AM34" s="36"/>
      <c r="AN34" s="36"/>
      <c r="AO34" s="36"/>
      <c r="AP34" s="36"/>
      <c r="AQ34" s="36"/>
      <c r="AR34" s="36"/>
      <c r="AS34" s="36"/>
      <c r="AT34" s="36"/>
      <c r="AU34" s="36"/>
      <c r="AV34" s="36"/>
      <c r="AW34" s="36"/>
      <c r="AX34" s="36"/>
      <c r="AY34" s="36"/>
      <c r="AZ34" s="36"/>
      <c r="BA34" s="36"/>
      <c r="BB34" s="36"/>
      <c r="BC34" s="36"/>
    </row>
    <row r="35" spans="1:55" x14ac:dyDescent="0.25">
      <c r="M35" s="93"/>
      <c r="N35" s="93"/>
      <c r="O35" s="93"/>
      <c r="P35" s="93"/>
      <c r="Q35" s="93"/>
      <c r="R35" s="93"/>
      <c r="S35" s="93"/>
      <c r="T35" s="93"/>
      <c r="U35" s="93"/>
      <c r="V35" s="93"/>
      <c r="W35" s="93"/>
      <c r="X35" s="93"/>
      <c r="Y35" s="93"/>
      <c r="Z35" s="93"/>
      <c r="AA35" s="93"/>
      <c r="AB35" s="93"/>
      <c r="AC35" s="93"/>
      <c r="AD35" s="93"/>
      <c r="AE35" s="93"/>
      <c r="AF35" s="93"/>
      <c r="AG35" s="93"/>
      <c r="AH35" s="93"/>
      <c r="AI35" s="93"/>
      <c r="AJ35" s="93"/>
      <c r="AK35" s="36"/>
      <c r="AL35" s="36"/>
      <c r="AM35" s="36"/>
      <c r="AN35" s="36"/>
      <c r="AO35" s="36"/>
      <c r="AP35" s="36"/>
      <c r="AQ35" s="36"/>
      <c r="AR35" s="36"/>
      <c r="AS35" s="36"/>
      <c r="AT35" s="36"/>
      <c r="AU35" s="36"/>
      <c r="AV35" s="36"/>
      <c r="AW35" s="36"/>
      <c r="AX35" s="36"/>
      <c r="AY35" s="36"/>
      <c r="AZ35" s="36"/>
      <c r="BA35" s="36"/>
      <c r="BB35" s="36"/>
      <c r="BC35" s="36"/>
    </row>
    <row r="36" spans="1:55" x14ac:dyDescent="0.25">
      <c r="A36" s="36"/>
      <c r="B36" s="36"/>
      <c r="C36" s="36"/>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93"/>
      <c r="AG36" s="93"/>
      <c r="AH36" s="93"/>
      <c r="AI36" s="93"/>
      <c r="AJ36" s="93"/>
      <c r="AK36" s="36"/>
      <c r="AL36" s="36"/>
      <c r="AM36" s="36"/>
      <c r="AN36" s="36"/>
      <c r="AO36" s="36"/>
      <c r="AP36" s="36"/>
      <c r="AQ36" s="36"/>
      <c r="AR36" s="36"/>
      <c r="AS36" s="36"/>
      <c r="AT36" s="36"/>
      <c r="AU36" s="36"/>
      <c r="AV36" s="36"/>
      <c r="AW36" s="36"/>
      <c r="AX36" s="36"/>
      <c r="AY36" s="36"/>
      <c r="AZ36" s="36"/>
      <c r="BA36" s="36"/>
      <c r="BB36" s="36"/>
      <c r="BC36" s="36"/>
    </row>
    <row r="37" spans="1:55" x14ac:dyDescent="0.25">
      <c r="A37" s="36"/>
      <c r="B37" s="36"/>
      <c r="C37" s="36"/>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93"/>
      <c r="AG37" s="93"/>
      <c r="AH37" s="93"/>
      <c r="AI37" s="93"/>
      <c r="AJ37" s="93"/>
      <c r="AK37" s="36"/>
      <c r="AL37" s="36"/>
      <c r="AM37" s="36"/>
      <c r="AN37" s="36"/>
      <c r="AO37" s="36"/>
      <c r="AP37" s="36"/>
      <c r="AQ37" s="36"/>
      <c r="AR37" s="36"/>
      <c r="AS37" s="36"/>
      <c r="AT37" s="36"/>
      <c r="AU37" s="36"/>
      <c r="AV37" s="36"/>
      <c r="AW37" s="36"/>
      <c r="AX37" s="36"/>
      <c r="AY37" s="36"/>
      <c r="AZ37" s="36"/>
      <c r="BA37" s="36"/>
      <c r="BB37" s="36"/>
      <c r="BC37" s="36"/>
    </row>
    <row r="38" spans="1:55" x14ac:dyDescent="0.25">
      <c r="A38" s="36"/>
      <c r="B38" s="36"/>
      <c r="C38" s="36"/>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93"/>
      <c r="AG38" s="93"/>
      <c r="AH38" s="93"/>
      <c r="AI38" s="93"/>
      <c r="AJ38" s="93"/>
      <c r="AK38" s="36"/>
      <c r="AL38" s="36"/>
      <c r="AM38" s="36"/>
      <c r="AN38" s="36"/>
      <c r="AO38" s="36"/>
      <c r="AP38" s="36"/>
      <c r="AQ38" s="36"/>
      <c r="AR38" s="36"/>
      <c r="AS38" s="36"/>
      <c r="AT38" s="36"/>
      <c r="AU38" s="36"/>
      <c r="AV38" s="36"/>
      <c r="AW38" s="36"/>
      <c r="AX38" s="36"/>
      <c r="AY38" s="36"/>
      <c r="AZ38" s="36"/>
      <c r="BA38" s="36"/>
      <c r="BB38" s="36"/>
      <c r="BC38" s="36"/>
    </row>
    <row r="39" spans="1:55" x14ac:dyDescent="0.25">
      <c r="A39" s="36"/>
      <c r="B39" s="36"/>
      <c r="C39" s="36"/>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93"/>
      <c r="AG39" s="93"/>
      <c r="AH39" s="93"/>
      <c r="AI39" s="93"/>
      <c r="AJ39" s="93"/>
      <c r="AK39" s="36"/>
      <c r="AL39" s="36"/>
      <c r="AM39" s="36"/>
      <c r="AN39" s="36"/>
      <c r="AO39" s="36"/>
      <c r="AP39" s="36"/>
      <c r="AQ39" s="36"/>
      <c r="AR39" s="36"/>
      <c r="AS39" s="36"/>
      <c r="AT39" s="36"/>
      <c r="AU39" s="36"/>
      <c r="AV39" s="36"/>
      <c r="AW39" s="36"/>
      <c r="AX39" s="36"/>
      <c r="AY39" s="36"/>
      <c r="AZ39" s="36"/>
      <c r="BA39" s="36"/>
      <c r="BB39" s="36"/>
      <c r="BC39" s="36"/>
    </row>
    <row r="40" spans="1:55" x14ac:dyDescent="0.25">
      <c r="A40" s="36"/>
      <c r="B40" s="36"/>
      <c r="C40" s="36"/>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93"/>
      <c r="AG40" s="93"/>
      <c r="AH40" s="93"/>
      <c r="AI40" s="93"/>
      <c r="AJ40" s="93"/>
      <c r="AK40" s="36"/>
      <c r="AL40" s="36"/>
      <c r="AM40" s="36"/>
      <c r="AN40" s="36"/>
      <c r="AO40" s="36"/>
      <c r="AP40" s="36"/>
      <c r="AQ40" s="36"/>
      <c r="AR40" s="36"/>
      <c r="AS40" s="36"/>
      <c r="AT40" s="36"/>
      <c r="AU40" s="36"/>
      <c r="AV40" s="36"/>
      <c r="AW40" s="36"/>
      <c r="AX40" s="36"/>
      <c r="AY40" s="36"/>
      <c r="AZ40" s="36"/>
      <c r="BA40" s="36"/>
      <c r="BB40" s="36"/>
      <c r="BC40" s="36"/>
    </row>
    <row r="41" spans="1:55" x14ac:dyDescent="0.25">
      <c r="A41" s="36"/>
      <c r="B41" s="36"/>
      <c r="C41" s="36"/>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93"/>
      <c r="AI41" s="93"/>
      <c r="AJ41" s="93"/>
      <c r="AK41" s="36"/>
      <c r="AL41" s="36"/>
      <c r="AM41" s="36"/>
      <c r="AN41" s="36"/>
      <c r="AO41" s="36"/>
      <c r="AP41" s="36"/>
      <c r="AQ41" s="36"/>
      <c r="AR41" s="36"/>
      <c r="AS41" s="36"/>
      <c r="AT41" s="36"/>
      <c r="AU41" s="36"/>
      <c r="AV41" s="36"/>
      <c r="AW41" s="36"/>
      <c r="AX41" s="36"/>
      <c r="AY41" s="36"/>
      <c r="AZ41" s="36"/>
      <c r="BA41" s="36"/>
      <c r="BB41" s="36"/>
      <c r="BC41" s="36"/>
    </row>
    <row r="42" spans="1:55" x14ac:dyDescent="0.25">
      <c r="A42" s="36"/>
      <c r="B42" s="36"/>
      <c r="C42" s="36"/>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93"/>
      <c r="AG42" s="93"/>
      <c r="AH42" s="93"/>
      <c r="AI42" s="93"/>
      <c r="AJ42" s="93"/>
      <c r="AK42" s="36"/>
      <c r="AL42" s="36"/>
      <c r="AM42" s="36"/>
      <c r="AN42" s="36"/>
      <c r="AO42" s="36"/>
      <c r="AP42" s="36"/>
      <c r="AQ42" s="36"/>
      <c r="AR42" s="36"/>
      <c r="AS42" s="36"/>
      <c r="AT42" s="36"/>
      <c r="AU42" s="36"/>
      <c r="AV42" s="36"/>
      <c r="AW42" s="36"/>
      <c r="AX42" s="36"/>
      <c r="AY42" s="36"/>
      <c r="AZ42" s="36"/>
      <c r="BA42" s="36"/>
      <c r="BB42" s="36"/>
      <c r="BC42" s="36"/>
    </row>
    <row r="43" spans="1:55" x14ac:dyDescent="0.25">
      <c r="A43" s="36"/>
      <c r="B43" s="36"/>
      <c r="C43" s="36"/>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93"/>
      <c r="AG43" s="93"/>
      <c r="AH43" s="93"/>
      <c r="AI43" s="93"/>
      <c r="AJ43" s="93"/>
      <c r="AK43" s="36"/>
      <c r="AL43" s="36"/>
      <c r="AM43" s="36"/>
      <c r="AN43" s="36"/>
      <c r="AO43" s="36"/>
      <c r="AP43" s="36"/>
      <c r="AQ43" s="36"/>
      <c r="AR43" s="36"/>
      <c r="AS43" s="36"/>
      <c r="AT43" s="36"/>
      <c r="AU43" s="36"/>
      <c r="AV43" s="36"/>
      <c r="AW43" s="36"/>
      <c r="AX43" s="36"/>
      <c r="AY43" s="36"/>
      <c r="AZ43" s="36"/>
      <c r="BA43" s="36"/>
      <c r="BB43" s="36"/>
      <c r="BC43" s="36"/>
    </row>
    <row r="44" spans="1:55" x14ac:dyDescent="0.25">
      <c r="A44" s="36"/>
      <c r="B44" s="36"/>
      <c r="C44" s="36"/>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93"/>
      <c r="AI44" s="93"/>
      <c r="AJ44" s="93"/>
      <c r="AK44" s="36"/>
      <c r="AL44" s="36"/>
      <c r="AM44" s="36"/>
      <c r="AN44" s="36"/>
      <c r="AO44" s="36"/>
      <c r="AP44" s="36"/>
      <c r="AQ44" s="36"/>
      <c r="AR44" s="36"/>
      <c r="AS44" s="36"/>
      <c r="AT44" s="36"/>
      <c r="AU44" s="36"/>
      <c r="AV44" s="36"/>
      <c r="AW44" s="36"/>
      <c r="AX44" s="36"/>
      <c r="AY44" s="36"/>
      <c r="AZ44" s="36"/>
      <c r="BA44" s="36"/>
      <c r="BB44" s="36"/>
      <c r="BC44" s="36"/>
    </row>
    <row r="45" spans="1:55" x14ac:dyDescent="0.25">
      <c r="A45" s="36"/>
      <c r="B45" s="36"/>
      <c r="C45" s="36"/>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c r="AF45" s="93"/>
      <c r="AG45" s="93"/>
      <c r="AH45" s="93"/>
      <c r="AI45" s="93"/>
      <c r="AJ45" s="93"/>
      <c r="AK45" s="36"/>
      <c r="AL45" s="36"/>
      <c r="AM45" s="36"/>
      <c r="AN45" s="36"/>
      <c r="AO45" s="36"/>
      <c r="AP45" s="36"/>
      <c r="AQ45" s="36"/>
      <c r="AR45" s="36"/>
      <c r="AS45" s="36"/>
      <c r="AT45" s="36"/>
      <c r="AU45" s="36"/>
      <c r="AV45" s="36"/>
      <c r="AW45" s="36"/>
      <c r="AX45" s="36"/>
      <c r="AY45" s="36"/>
      <c r="AZ45" s="36"/>
      <c r="BA45" s="36"/>
      <c r="BB45" s="36"/>
      <c r="BC45" s="36"/>
    </row>
    <row r="46" spans="1:55" x14ac:dyDescent="0.25">
      <c r="A46" s="36"/>
      <c r="B46" s="36"/>
      <c r="C46" s="36"/>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c r="AF46" s="93"/>
      <c r="AG46" s="93"/>
      <c r="AH46" s="93"/>
      <c r="AI46" s="93"/>
      <c r="AJ46" s="93"/>
      <c r="AK46" s="36"/>
      <c r="AL46" s="36"/>
      <c r="AM46" s="36"/>
      <c r="AN46" s="36"/>
      <c r="AO46" s="36"/>
      <c r="AP46" s="36"/>
      <c r="AQ46" s="36"/>
      <c r="AR46" s="36"/>
      <c r="AS46" s="36"/>
      <c r="AT46" s="36"/>
      <c r="AU46" s="36"/>
      <c r="AV46" s="36"/>
      <c r="AW46" s="36"/>
      <c r="AX46" s="36"/>
      <c r="AY46" s="36"/>
      <c r="AZ46" s="36"/>
      <c r="BA46" s="36"/>
      <c r="BB46" s="36"/>
      <c r="BC46" s="36"/>
    </row>
    <row r="47" spans="1:55" x14ac:dyDescent="0.25">
      <c r="A47" s="36"/>
      <c r="B47" s="845"/>
      <c r="C47" s="845"/>
      <c r="D47" s="845"/>
      <c r="E47" s="845"/>
      <c r="F47" s="845"/>
      <c r="G47" s="845"/>
      <c r="H47" s="845"/>
      <c r="I47" s="845"/>
      <c r="J47" s="845"/>
      <c r="K47" s="845"/>
      <c r="L47" s="845"/>
      <c r="M47" s="845"/>
      <c r="N47" s="845"/>
      <c r="O47" s="93"/>
      <c r="P47" s="93"/>
      <c r="Q47" s="93"/>
      <c r="R47" s="93"/>
      <c r="S47" s="93"/>
      <c r="T47" s="93"/>
      <c r="U47" s="93"/>
      <c r="V47" s="93"/>
      <c r="W47" s="93"/>
      <c r="X47" s="93"/>
      <c r="Y47" s="93"/>
      <c r="Z47" s="93"/>
      <c r="AA47" s="93"/>
      <c r="AB47" s="93"/>
      <c r="AC47" s="93"/>
      <c r="AD47" s="93"/>
      <c r="AE47" s="93"/>
      <c r="AF47" s="93"/>
      <c r="AG47" s="93"/>
      <c r="AH47" s="93"/>
      <c r="AI47" s="93"/>
      <c r="AJ47" s="93"/>
      <c r="AK47" s="36"/>
      <c r="AL47" s="36"/>
      <c r="AM47" s="36"/>
      <c r="AN47" s="36"/>
      <c r="AO47" s="36"/>
      <c r="AP47" s="36"/>
      <c r="AQ47" s="36"/>
      <c r="AR47" s="36"/>
      <c r="AS47" s="36"/>
      <c r="AT47" s="36"/>
      <c r="AU47" s="36"/>
      <c r="AV47" s="36"/>
      <c r="AW47" s="36"/>
      <c r="AX47" s="36"/>
      <c r="AY47" s="36"/>
      <c r="AZ47" s="36"/>
      <c r="BA47" s="36"/>
      <c r="BB47" s="36"/>
      <c r="BC47" s="36"/>
    </row>
    <row r="48" spans="1:55" x14ac:dyDescent="0.25">
      <c r="A48" s="36"/>
      <c r="B48" s="845"/>
      <c r="C48" s="845"/>
      <c r="D48" s="845"/>
      <c r="E48" s="845"/>
      <c r="F48" s="845"/>
      <c r="G48" s="845"/>
      <c r="H48" s="845"/>
      <c r="I48" s="845"/>
      <c r="J48" s="845"/>
      <c r="K48" s="845"/>
      <c r="L48" s="845"/>
      <c r="M48" s="845"/>
      <c r="N48" s="845"/>
      <c r="O48" s="93"/>
      <c r="P48" s="93"/>
      <c r="Q48" s="93"/>
      <c r="R48" s="93"/>
      <c r="S48" s="93"/>
      <c r="T48" s="93"/>
      <c r="U48" s="93"/>
      <c r="V48" s="93"/>
      <c r="W48" s="93"/>
      <c r="X48" s="93"/>
      <c r="Y48" s="93"/>
      <c r="Z48" s="93"/>
      <c r="AA48" s="93"/>
      <c r="AB48" s="93"/>
      <c r="AC48" s="93"/>
      <c r="AD48" s="93"/>
      <c r="AE48" s="93"/>
      <c r="AF48" s="93"/>
      <c r="AG48" s="93"/>
      <c r="AH48" s="93"/>
      <c r="AI48" s="93"/>
      <c r="AJ48" s="93"/>
      <c r="AK48" s="36"/>
      <c r="AL48" s="36"/>
      <c r="AM48" s="36"/>
      <c r="AN48" s="36"/>
      <c r="AO48" s="36"/>
      <c r="AP48" s="36"/>
      <c r="AQ48" s="36"/>
      <c r="AR48" s="36"/>
      <c r="AS48" s="36"/>
      <c r="AT48" s="36"/>
      <c r="AU48" s="36"/>
      <c r="AV48" s="36"/>
      <c r="AW48" s="36"/>
      <c r="AX48" s="36"/>
      <c r="AY48" s="36"/>
      <c r="AZ48" s="36"/>
      <c r="BA48" s="36"/>
      <c r="BB48" s="36"/>
      <c r="BC48" s="36"/>
    </row>
    <row r="49" spans="1:55" x14ac:dyDescent="0.25">
      <c r="A49" s="36"/>
      <c r="B49" s="36"/>
      <c r="C49" s="36"/>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c r="AF49" s="93"/>
      <c r="AG49" s="93"/>
      <c r="AH49" s="93"/>
      <c r="AI49" s="93"/>
      <c r="AJ49" s="93"/>
      <c r="AK49" s="36"/>
      <c r="AL49" s="36"/>
      <c r="AM49" s="36"/>
      <c r="AN49" s="36"/>
      <c r="AO49" s="36"/>
      <c r="AP49" s="36"/>
      <c r="AQ49" s="36"/>
      <c r="AR49" s="36"/>
      <c r="AS49" s="36"/>
      <c r="AT49" s="36"/>
      <c r="AU49" s="36"/>
      <c r="AV49" s="36"/>
      <c r="AW49" s="36"/>
      <c r="AX49" s="36"/>
      <c r="AY49" s="36"/>
      <c r="AZ49" s="36"/>
      <c r="BA49" s="36"/>
      <c r="BB49" s="36"/>
      <c r="BC49" s="36"/>
    </row>
    <row r="50" spans="1:55" x14ac:dyDescent="0.25">
      <c r="A50" s="36"/>
      <c r="B50" s="36"/>
      <c r="C50" s="36"/>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c r="AF50" s="93"/>
      <c r="AG50" s="93"/>
      <c r="AH50" s="93"/>
      <c r="AI50" s="93"/>
      <c r="AJ50" s="93"/>
      <c r="AK50" s="36"/>
      <c r="AL50" s="36"/>
      <c r="AM50" s="36"/>
      <c r="AN50" s="36"/>
      <c r="AO50" s="36"/>
      <c r="AP50" s="36"/>
      <c r="AQ50" s="36"/>
      <c r="AR50" s="36"/>
      <c r="AS50" s="36"/>
      <c r="AT50" s="36"/>
      <c r="AU50" s="36"/>
      <c r="AV50" s="36"/>
      <c r="AW50" s="36"/>
      <c r="AX50" s="36"/>
      <c r="AY50" s="36"/>
      <c r="AZ50" s="36"/>
      <c r="BA50" s="36"/>
      <c r="BB50" s="36"/>
      <c r="BC50" s="36"/>
    </row>
    <row r="51" spans="1:55" x14ac:dyDescent="0.25">
      <c r="A51" s="36"/>
      <c r="B51" s="36"/>
      <c r="C51" s="36"/>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c r="AF51" s="93"/>
      <c r="AG51" s="93"/>
      <c r="AH51" s="93"/>
      <c r="AI51" s="93"/>
      <c r="AJ51" s="93"/>
      <c r="AK51" s="36"/>
      <c r="AL51" s="36"/>
      <c r="AM51" s="36"/>
      <c r="AN51" s="36"/>
      <c r="AO51" s="36"/>
      <c r="AP51" s="36"/>
      <c r="AQ51" s="36"/>
      <c r="AR51" s="36"/>
      <c r="AS51" s="36"/>
      <c r="AT51" s="36"/>
      <c r="AU51" s="36"/>
      <c r="AV51" s="36"/>
      <c r="AW51" s="36"/>
      <c r="AX51" s="36"/>
      <c r="AY51" s="36"/>
      <c r="AZ51" s="36"/>
      <c r="BA51" s="36"/>
      <c r="BB51" s="36"/>
      <c r="BC51" s="36"/>
    </row>
    <row r="52" spans="1:55" x14ac:dyDescent="0.25">
      <c r="A52" s="36"/>
      <c r="B52" s="36"/>
      <c r="C52" s="36"/>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93"/>
      <c r="AG52" s="93"/>
      <c r="AH52" s="93"/>
      <c r="AI52" s="93"/>
      <c r="AJ52" s="93"/>
      <c r="AK52" s="36"/>
      <c r="AL52" s="36"/>
      <c r="AM52" s="36"/>
      <c r="AN52" s="36"/>
      <c r="AO52" s="36"/>
      <c r="AP52" s="36"/>
      <c r="AQ52" s="36"/>
      <c r="AR52" s="36"/>
      <c r="AS52" s="36"/>
      <c r="AT52" s="36"/>
      <c r="AU52" s="36"/>
      <c r="AV52" s="36"/>
      <c r="AW52" s="36"/>
      <c r="AX52" s="36"/>
      <c r="AY52" s="36"/>
      <c r="AZ52" s="36"/>
      <c r="BA52" s="36"/>
      <c r="BB52" s="36"/>
      <c r="BC52" s="36"/>
    </row>
    <row r="53" spans="1:55" x14ac:dyDescent="0.25">
      <c r="A53" s="36"/>
      <c r="B53" s="36"/>
      <c r="C53" s="36"/>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c r="AF53" s="93"/>
      <c r="AG53" s="93"/>
      <c r="AH53" s="93"/>
      <c r="AI53" s="93"/>
      <c r="AJ53" s="93"/>
      <c r="AK53" s="36"/>
      <c r="AL53" s="36"/>
      <c r="AM53" s="36"/>
      <c r="AN53" s="36"/>
      <c r="AO53" s="36"/>
      <c r="AP53" s="36"/>
      <c r="AQ53" s="36"/>
      <c r="AR53" s="36"/>
      <c r="AS53" s="36"/>
      <c r="AT53" s="36"/>
      <c r="AU53" s="36"/>
      <c r="AV53" s="36"/>
      <c r="AW53" s="36"/>
      <c r="AX53" s="36"/>
      <c r="AY53" s="36"/>
      <c r="AZ53" s="36"/>
      <c r="BA53" s="36"/>
      <c r="BB53" s="36"/>
      <c r="BC53" s="36"/>
    </row>
    <row r="54" spans="1:55" x14ac:dyDescent="0.25">
      <c r="A54" s="36"/>
      <c r="B54" s="36"/>
      <c r="C54" s="36"/>
      <c r="D54" s="93"/>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c r="AF54" s="93"/>
      <c r="AG54" s="93"/>
      <c r="AH54" s="93"/>
      <c r="AI54" s="93"/>
      <c r="AJ54" s="93"/>
      <c r="AK54" s="36"/>
      <c r="AL54" s="36"/>
      <c r="AM54" s="36"/>
      <c r="AN54" s="36"/>
      <c r="AO54" s="36"/>
      <c r="AP54" s="36"/>
      <c r="AQ54" s="36"/>
      <c r="AR54" s="36"/>
      <c r="AS54" s="36"/>
      <c r="AT54" s="36"/>
      <c r="AU54" s="36"/>
      <c r="AV54" s="36"/>
      <c r="AW54" s="36"/>
      <c r="AX54" s="36"/>
      <c r="AY54" s="36"/>
      <c r="AZ54" s="36"/>
      <c r="BA54" s="36"/>
      <c r="BB54" s="36"/>
      <c r="BC54" s="36"/>
    </row>
    <row r="55" spans="1:55" x14ac:dyDescent="0.25">
      <c r="A55" s="36"/>
      <c r="B55" s="36"/>
      <c r="C55" s="36"/>
      <c r="D55" s="93"/>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c r="AF55" s="93"/>
      <c r="AG55" s="93"/>
      <c r="AH55" s="93"/>
      <c r="AI55" s="93"/>
      <c r="AJ55" s="93"/>
      <c r="AK55" s="36"/>
      <c r="AL55" s="36"/>
      <c r="AM55" s="36"/>
      <c r="AN55" s="36"/>
      <c r="AO55" s="36"/>
      <c r="AP55" s="36"/>
      <c r="AQ55" s="36"/>
      <c r="AR55" s="36"/>
      <c r="AS55" s="36"/>
      <c r="AT55" s="36"/>
      <c r="AU55" s="36"/>
      <c r="AV55" s="36"/>
      <c r="AW55" s="36"/>
      <c r="AX55" s="36"/>
      <c r="AY55" s="36"/>
      <c r="AZ55" s="36"/>
      <c r="BA55" s="36"/>
      <c r="BB55" s="36"/>
      <c r="BC55" s="36"/>
    </row>
    <row r="56" spans="1:55" x14ac:dyDescent="0.25">
      <c r="A56" s="36"/>
      <c r="B56" s="36"/>
      <c r="C56" s="36"/>
      <c r="D56" s="93"/>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c r="AF56" s="93"/>
      <c r="AG56" s="93"/>
      <c r="AH56" s="93"/>
      <c r="AI56" s="93"/>
      <c r="AJ56" s="93"/>
      <c r="AK56" s="36"/>
      <c r="AL56" s="36"/>
      <c r="AM56" s="36"/>
      <c r="AN56" s="36"/>
      <c r="AO56" s="36"/>
      <c r="AP56" s="36"/>
      <c r="AQ56" s="36"/>
      <c r="AR56" s="36"/>
      <c r="AS56" s="36"/>
      <c r="AT56" s="36"/>
      <c r="AU56" s="36"/>
      <c r="AV56" s="36"/>
      <c r="AW56" s="36"/>
      <c r="AX56" s="36"/>
      <c r="AY56" s="36"/>
      <c r="AZ56" s="36"/>
      <c r="BA56" s="36"/>
      <c r="BB56" s="36"/>
      <c r="BC56" s="36"/>
    </row>
    <row r="57" spans="1:55" x14ac:dyDescent="0.25">
      <c r="A57" s="36"/>
      <c r="B57" s="36"/>
      <c r="C57" s="36"/>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93"/>
      <c r="AG57" s="93"/>
      <c r="AH57" s="93"/>
      <c r="AI57" s="93"/>
      <c r="AJ57" s="93"/>
      <c r="AK57" s="36"/>
      <c r="AL57" s="36"/>
      <c r="AM57" s="36"/>
      <c r="AN57" s="36"/>
      <c r="AO57" s="36"/>
      <c r="AP57" s="36"/>
      <c r="AQ57" s="36"/>
      <c r="AR57" s="36"/>
      <c r="AS57" s="36"/>
      <c r="AT57" s="36"/>
      <c r="AU57" s="36"/>
      <c r="AV57" s="36"/>
      <c r="AW57" s="36"/>
      <c r="AX57" s="36"/>
      <c r="AY57" s="36"/>
      <c r="AZ57" s="36"/>
      <c r="BA57" s="36"/>
      <c r="BB57" s="36"/>
      <c r="BC57" s="36"/>
    </row>
    <row r="58" spans="1:55" x14ac:dyDescent="0.25">
      <c r="A58" s="36"/>
      <c r="B58" s="36"/>
      <c r="C58" s="36"/>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c r="AF58" s="93"/>
      <c r="AG58" s="93"/>
      <c r="AH58" s="93"/>
      <c r="AI58" s="93"/>
      <c r="AJ58" s="93"/>
      <c r="AK58" s="36"/>
      <c r="AL58" s="36"/>
      <c r="AM58" s="36"/>
      <c r="AN58" s="36"/>
      <c r="AO58" s="36"/>
      <c r="AP58" s="36"/>
      <c r="AQ58" s="36"/>
      <c r="AR58" s="36"/>
      <c r="AS58" s="36"/>
      <c r="AT58" s="36"/>
      <c r="AU58" s="36"/>
      <c r="AV58" s="36"/>
      <c r="AW58" s="36"/>
      <c r="AX58" s="36"/>
      <c r="AY58" s="36"/>
      <c r="AZ58" s="36"/>
      <c r="BA58" s="36"/>
      <c r="BB58" s="36"/>
      <c r="BC58" s="36"/>
    </row>
    <row r="59" spans="1:55" x14ac:dyDescent="0.25">
      <c r="A59" s="36"/>
      <c r="B59" s="36"/>
      <c r="C59" s="36"/>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c r="AF59" s="93"/>
      <c r="AG59" s="93"/>
      <c r="AH59" s="93"/>
      <c r="AI59" s="93"/>
      <c r="AJ59" s="93"/>
      <c r="AK59" s="36"/>
      <c r="AL59" s="36"/>
      <c r="AM59" s="36"/>
      <c r="AN59" s="36"/>
      <c r="AO59" s="36"/>
      <c r="AP59" s="36"/>
      <c r="AQ59" s="36"/>
      <c r="AR59" s="36"/>
      <c r="AS59" s="36"/>
      <c r="AT59" s="36"/>
      <c r="AU59" s="36"/>
      <c r="AV59" s="36"/>
      <c r="AW59" s="36"/>
      <c r="AX59" s="36"/>
      <c r="AY59" s="36"/>
      <c r="AZ59" s="36"/>
      <c r="BA59" s="36"/>
      <c r="BB59" s="36"/>
      <c r="BC59" s="36"/>
    </row>
    <row r="60" spans="1:55" x14ac:dyDescent="0.25">
      <c r="A60" s="36"/>
      <c r="B60" s="36"/>
      <c r="C60" s="36"/>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c r="AF60" s="93"/>
      <c r="AG60" s="93"/>
      <c r="AH60" s="93"/>
      <c r="AI60" s="93"/>
      <c r="AJ60" s="93"/>
      <c r="AK60" s="36"/>
      <c r="AL60" s="36"/>
      <c r="AM60" s="36"/>
      <c r="AN60" s="36"/>
      <c r="AO60" s="36"/>
      <c r="AP60" s="36"/>
      <c r="AQ60" s="36"/>
      <c r="AR60" s="36"/>
      <c r="AS60" s="36"/>
      <c r="AT60" s="36"/>
      <c r="AU60" s="36"/>
      <c r="AV60" s="36"/>
      <c r="AW60" s="36"/>
      <c r="AX60" s="36"/>
      <c r="AY60" s="36"/>
      <c r="AZ60" s="36"/>
      <c r="BA60" s="36"/>
      <c r="BB60" s="36"/>
      <c r="BC60" s="36"/>
    </row>
    <row r="61" spans="1:55" x14ac:dyDescent="0.25">
      <c r="A61" s="36"/>
      <c r="B61" s="36"/>
      <c r="C61" s="36"/>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93"/>
      <c r="AG61" s="93"/>
      <c r="AH61" s="93"/>
      <c r="AI61" s="93"/>
      <c r="AJ61" s="93"/>
      <c r="AK61" s="36"/>
      <c r="AL61" s="36"/>
      <c r="AM61" s="36"/>
      <c r="AN61" s="36"/>
      <c r="AO61" s="36"/>
      <c r="AP61" s="36"/>
      <c r="AQ61" s="36"/>
      <c r="AR61" s="36"/>
      <c r="AS61" s="36"/>
      <c r="AT61" s="36"/>
      <c r="AU61" s="36"/>
      <c r="AV61" s="36"/>
      <c r="AW61" s="36"/>
      <c r="AX61" s="36"/>
      <c r="AY61" s="36"/>
      <c r="AZ61" s="36"/>
      <c r="BA61" s="36"/>
      <c r="BB61" s="36"/>
      <c r="BC61" s="36"/>
    </row>
    <row r="62" spans="1:55" x14ac:dyDescent="0.25">
      <c r="A62" s="36"/>
      <c r="B62" s="36"/>
      <c r="C62" s="36"/>
      <c r="D62" s="93"/>
      <c r="E62" s="93"/>
      <c r="F62" s="93"/>
      <c r="G62" s="93"/>
      <c r="H62" s="93"/>
      <c r="I62" s="93"/>
      <c r="J62" s="93"/>
      <c r="K62" s="93"/>
      <c r="L62" s="93"/>
      <c r="Z62" s="93"/>
      <c r="AA62" s="93"/>
      <c r="AB62" s="93"/>
      <c r="AC62" s="93"/>
      <c r="AD62" s="93"/>
      <c r="AE62" s="93"/>
      <c r="AF62" s="93"/>
      <c r="AG62" s="93"/>
      <c r="AH62" s="93"/>
      <c r="AI62" s="93"/>
      <c r="AJ62" s="93"/>
      <c r="AK62" s="36"/>
      <c r="AL62" s="36"/>
      <c r="AM62" s="36"/>
      <c r="AN62" s="36"/>
      <c r="AO62" s="36"/>
      <c r="AP62" s="36"/>
      <c r="AQ62" s="36"/>
      <c r="AR62" s="36"/>
      <c r="AS62" s="36"/>
      <c r="AT62" s="36"/>
      <c r="AU62" s="36"/>
      <c r="AV62" s="36"/>
      <c r="AW62" s="36"/>
      <c r="AX62" s="36"/>
      <c r="AY62" s="36"/>
      <c r="AZ62" s="36"/>
      <c r="BA62" s="36"/>
      <c r="BB62" s="36"/>
      <c r="BC62" s="36"/>
    </row>
    <row r="63" spans="1:55" x14ac:dyDescent="0.25">
      <c r="A63" s="36"/>
      <c r="B63" s="36"/>
      <c r="C63" s="36"/>
      <c r="D63" s="93"/>
      <c r="E63" s="93"/>
      <c r="F63" s="93"/>
      <c r="G63" s="93"/>
      <c r="H63" s="93"/>
      <c r="I63" s="93"/>
      <c r="J63" s="93"/>
      <c r="K63" s="93"/>
      <c r="L63" s="93"/>
      <c r="Z63" s="93"/>
      <c r="AA63" s="93"/>
      <c r="AB63" s="93"/>
      <c r="AC63" s="93"/>
      <c r="AD63" s="93"/>
      <c r="AE63" s="93"/>
      <c r="AF63" s="93"/>
      <c r="AG63" s="93"/>
      <c r="AH63" s="93"/>
      <c r="AI63" s="93"/>
      <c r="AJ63" s="93"/>
      <c r="AK63" s="36"/>
      <c r="AL63" s="36"/>
      <c r="AM63" s="36"/>
      <c r="AN63" s="36"/>
      <c r="AO63" s="36"/>
      <c r="AP63" s="36"/>
      <c r="AQ63" s="36"/>
      <c r="AR63" s="36"/>
      <c r="AS63" s="36"/>
      <c r="AT63" s="36"/>
      <c r="AU63" s="36"/>
      <c r="AV63" s="36"/>
      <c r="AW63" s="36"/>
      <c r="AX63" s="36"/>
      <c r="AY63" s="36"/>
      <c r="AZ63" s="36"/>
      <c r="BA63" s="36"/>
      <c r="BB63" s="36"/>
      <c r="BC63" s="36"/>
    </row>
    <row r="64" spans="1:55" x14ac:dyDescent="0.25">
      <c r="A64" s="36"/>
      <c r="B64" s="36"/>
      <c r="C64" s="36"/>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c r="AF64" s="93"/>
      <c r="AG64" s="93"/>
      <c r="AH64" s="93"/>
      <c r="AI64" s="93"/>
      <c r="AJ64" s="93"/>
      <c r="AK64" s="36"/>
      <c r="AL64" s="36"/>
      <c r="AM64" s="36"/>
      <c r="AN64" s="36"/>
      <c r="AO64" s="36"/>
      <c r="AP64" s="36"/>
      <c r="AQ64" s="36"/>
      <c r="AR64" s="36"/>
      <c r="AS64" s="36"/>
      <c r="AT64" s="36"/>
      <c r="AU64" s="36"/>
      <c r="AV64" s="36"/>
      <c r="AW64" s="36"/>
      <c r="AX64" s="36"/>
      <c r="AY64" s="36"/>
      <c r="AZ64" s="36"/>
      <c r="BA64" s="36"/>
      <c r="BB64" s="36"/>
      <c r="BC64" s="36"/>
    </row>
    <row r="65" spans="1:55" x14ac:dyDescent="0.25">
      <c r="A65" s="36"/>
      <c r="B65" s="36"/>
      <c r="C65" s="36"/>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c r="AF65" s="93"/>
      <c r="AG65" s="93"/>
      <c r="AH65" s="93"/>
      <c r="AI65" s="93"/>
      <c r="AJ65" s="93"/>
      <c r="AK65" s="36"/>
      <c r="AL65" s="36"/>
      <c r="AM65" s="36"/>
      <c r="AN65" s="36"/>
      <c r="AO65" s="36"/>
      <c r="AP65" s="36"/>
      <c r="AQ65" s="36"/>
      <c r="AR65" s="36"/>
      <c r="AS65" s="36"/>
      <c r="AT65" s="36"/>
      <c r="AU65" s="36"/>
      <c r="AV65" s="36"/>
      <c r="AW65" s="36"/>
      <c r="AX65" s="36"/>
      <c r="AY65" s="36"/>
      <c r="AZ65" s="36"/>
      <c r="BA65" s="36"/>
      <c r="BB65" s="36"/>
      <c r="BC65" s="36"/>
    </row>
    <row r="66" spans="1:55" x14ac:dyDescent="0.25">
      <c r="A66" s="36"/>
      <c r="B66" s="36"/>
      <c r="C66" s="36"/>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c r="AF66" s="93"/>
      <c r="AG66" s="93"/>
      <c r="AH66" s="93"/>
      <c r="AI66" s="93"/>
      <c r="AJ66" s="93"/>
      <c r="AK66" s="36"/>
      <c r="AL66" s="36"/>
      <c r="AM66" s="36"/>
      <c r="AN66" s="36"/>
      <c r="AO66" s="36"/>
      <c r="AP66" s="36"/>
      <c r="AQ66" s="36"/>
      <c r="AR66" s="36"/>
      <c r="AS66" s="36"/>
      <c r="AT66" s="36"/>
      <c r="AU66" s="36"/>
      <c r="AV66" s="36"/>
      <c r="AW66" s="36"/>
      <c r="AX66" s="36"/>
      <c r="AY66" s="36"/>
      <c r="AZ66" s="36"/>
      <c r="BA66" s="36"/>
      <c r="BB66" s="36"/>
      <c r="BC66" s="36"/>
    </row>
    <row r="67" spans="1:55" x14ac:dyDescent="0.25">
      <c r="A67" s="36"/>
      <c r="B67" s="36"/>
      <c r="C67" s="36"/>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c r="AF67" s="93"/>
      <c r="AG67" s="93"/>
      <c r="AH67" s="93"/>
      <c r="AI67" s="93"/>
      <c r="AJ67" s="93"/>
      <c r="AK67" s="36"/>
      <c r="AL67" s="36"/>
      <c r="AM67" s="36"/>
      <c r="AN67" s="36"/>
      <c r="AO67" s="36"/>
      <c r="AP67" s="36"/>
      <c r="AQ67" s="36"/>
      <c r="AR67" s="36"/>
      <c r="AS67" s="36"/>
      <c r="AT67" s="36"/>
      <c r="AU67" s="36"/>
      <c r="AV67" s="36"/>
      <c r="AW67" s="36"/>
      <c r="AX67" s="36"/>
      <c r="AY67" s="36"/>
      <c r="AZ67" s="36"/>
      <c r="BA67" s="36"/>
      <c r="BB67" s="36"/>
      <c r="BC67" s="36"/>
    </row>
    <row r="68" spans="1:55" x14ac:dyDescent="0.25">
      <c r="A68" s="36"/>
      <c r="B68" s="36"/>
      <c r="C68" s="36"/>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c r="AF68" s="93"/>
      <c r="AG68" s="93"/>
      <c r="AH68" s="93"/>
      <c r="AI68" s="93"/>
      <c r="AJ68" s="93"/>
      <c r="AK68" s="36"/>
      <c r="AL68" s="36"/>
      <c r="AM68" s="36"/>
      <c r="AN68" s="36"/>
      <c r="AO68" s="36"/>
      <c r="AP68" s="36"/>
      <c r="AQ68" s="36"/>
      <c r="AR68" s="36"/>
      <c r="AS68" s="36"/>
      <c r="AT68" s="36"/>
      <c r="AU68" s="36"/>
      <c r="AV68" s="36"/>
      <c r="AW68" s="36"/>
      <c r="AX68" s="36"/>
      <c r="AY68" s="36"/>
      <c r="AZ68" s="36"/>
      <c r="BA68" s="36"/>
      <c r="BB68" s="36"/>
      <c r="BC68" s="36"/>
    </row>
    <row r="69" spans="1:55" x14ac:dyDescent="0.25">
      <c r="A69" s="36"/>
      <c r="B69" s="36"/>
      <c r="C69" s="36"/>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93"/>
      <c r="AG69" s="93"/>
      <c r="AH69" s="93"/>
      <c r="AI69" s="93"/>
      <c r="AJ69" s="93"/>
      <c r="AK69" s="36"/>
      <c r="AL69" s="36"/>
      <c r="AM69" s="36"/>
      <c r="AN69" s="36"/>
      <c r="AO69" s="36"/>
      <c r="AP69" s="36"/>
      <c r="AQ69" s="36"/>
      <c r="AR69" s="36"/>
      <c r="AS69" s="36"/>
      <c r="AT69" s="36"/>
      <c r="AU69" s="36"/>
      <c r="AV69" s="36"/>
      <c r="AW69" s="36"/>
      <c r="AX69" s="36"/>
      <c r="AY69" s="36"/>
      <c r="AZ69" s="36"/>
      <c r="BA69" s="36"/>
      <c r="BB69" s="36"/>
      <c r="BC69" s="36"/>
    </row>
    <row r="70" spans="1:55" x14ac:dyDescent="0.25">
      <c r="A70" s="36"/>
      <c r="B70" s="36"/>
      <c r="C70" s="36"/>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93"/>
      <c r="AI70" s="93"/>
      <c r="AJ70" s="93"/>
      <c r="AK70" s="36"/>
      <c r="AL70" s="36"/>
      <c r="AM70" s="36"/>
      <c r="AN70" s="36"/>
      <c r="AO70" s="36"/>
      <c r="AP70" s="36"/>
      <c r="AQ70" s="36"/>
      <c r="AR70" s="36"/>
      <c r="AS70" s="36"/>
      <c r="AT70" s="36"/>
      <c r="AU70" s="36"/>
      <c r="AV70" s="36"/>
      <c r="AW70" s="36"/>
      <c r="AX70" s="36"/>
      <c r="AY70" s="36"/>
      <c r="AZ70" s="36"/>
      <c r="BA70" s="36"/>
      <c r="BB70" s="36"/>
      <c r="BC70" s="36"/>
    </row>
    <row r="71" spans="1:55" x14ac:dyDescent="0.25">
      <c r="A71" s="36"/>
      <c r="B71" s="36"/>
      <c r="C71" s="36"/>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36"/>
      <c r="AL71" s="36"/>
      <c r="AM71" s="36"/>
      <c r="AN71" s="36"/>
      <c r="AO71" s="36"/>
      <c r="AP71" s="36"/>
      <c r="AQ71" s="36"/>
      <c r="AR71" s="36"/>
      <c r="AS71" s="36"/>
      <c r="AT71" s="36"/>
      <c r="AU71" s="36"/>
      <c r="AV71" s="36"/>
      <c r="AW71" s="36"/>
      <c r="AX71" s="36"/>
      <c r="AY71" s="36"/>
      <c r="AZ71" s="36"/>
      <c r="BA71" s="36"/>
      <c r="BB71" s="36"/>
      <c r="BC71" s="36"/>
    </row>
    <row r="72" spans="1:55" x14ac:dyDescent="0.25">
      <c r="A72" s="36"/>
      <c r="B72" s="36"/>
      <c r="C72" s="36"/>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93"/>
      <c r="AI72" s="93"/>
      <c r="AJ72" s="93"/>
      <c r="AK72" s="36"/>
      <c r="AL72" s="36"/>
      <c r="AM72" s="36"/>
      <c r="AN72" s="36"/>
      <c r="AO72" s="36"/>
      <c r="AP72" s="36"/>
      <c r="AQ72" s="36"/>
      <c r="AR72" s="36"/>
      <c r="AS72" s="36"/>
      <c r="AT72" s="36"/>
      <c r="AU72" s="36"/>
      <c r="AV72" s="36"/>
      <c r="AW72" s="36"/>
      <c r="AX72" s="36"/>
      <c r="AY72" s="36"/>
      <c r="AZ72" s="36"/>
      <c r="BA72" s="36"/>
      <c r="BB72" s="36"/>
      <c r="BC72" s="36"/>
    </row>
    <row r="73" spans="1:55" x14ac:dyDescent="0.25">
      <c r="A73" s="36"/>
      <c r="B73" s="36"/>
      <c r="C73" s="36"/>
      <c r="D73" s="93"/>
      <c r="E73" s="93"/>
      <c r="F73" s="93"/>
      <c r="G73" s="93"/>
      <c r="H73" s="93"/>
      <c r="I73" s="93"/>
      <c r="J73" s="93"/>
      <c r="K73" s="93"/>
      <c r="L73" s="93"/>
      <c r="M73" s="93"/>
      <c r="N73" s="93"/>
      <c r="O73" s="93"/>
      <c r="P73" s="93"/>
      <c r="Q73" s="93"/>
      <c r="R73" s="93"/>
      <c r="S73" s="93"/>
      <c r="T73" s="93"/>
      <c r="U73" s="93"/>
      <c r="V73" s="93"/>
      <c r="W73" s="93"/>
      <c r="X73" s="93"/>
      <c r="Y73" s="93"/>
      <c r="Z73" s="93"/>
      <c r="AA73" s="93"/>
      <c r="AB73" s="93"/>
      <c r="AC73" s="93"/>
      <c r="AD73" s="93"/>
      <c r="AE73" s="93"/>
      <c r="AF73" s="93"/>
      <c r="AG73" s="93"/>
      <c r="AH73" s="93"/>
      <c r="AI73" s="93"/>
      <c r="AJ73" s="93"/>
      <c r="AK73" s="36"/>
      <c r="AL73" s="36"/>
      <c r="AM73" s="36"/>
      <c r="AN73" s="36"/>
      <c r="AO73" s="36"/>
      <c r="AP73" s="36"/>
      <c r="AQ73" s="36"/>
      <c r="AR73" s="36"/>
      <c r="AS73" s="36"/>
      <c r="AT73" s="36"/>
      <c r="AU73" s="36"/>
      <c r="AV73" s="36"/>
      <c r="AW73" s="36"/>
      <c r="AX73" s="36"/>
      <c r="AY73" s="36"/>
      <c r="AZ73" s="36"/>
      <c r="BA73" s="36"/>
      <c r="BB73" s="36"/>
      <c r="BC73" s="36"/>
    </row>
    <row r="74" spans="1:55" x14ac:dyDescent="0.25">
      <c r="A74" s="36"/>
      <c r="B74" s="36"/>
      <c r="C74" s="36"/>
      <c r="D74" s="93"/>
      <c r="E74" s="93"/>
      <c r="F74" s="93"/>
      <c r="G74" s="93"/>
      <c r="H74" s="93"/>
      <c r="I74" s="93"/>
      <c r="J74" s="93"/>
      <c r="K74" s="93"/>
      <c r="L74" s="93"/>
      <c r="M74" s="93"/>
      <c r="N74" s="93"/>
      <c r="O74" s="93"/>
      <c r="P74" s="93"/>
      <c r="Q74" s="93"/>
      <c r="R74" s="93"/>
      <c r="S74" s="93"/>
      <c r="T74" s="93"/>
      <c r="U74" s="93"/>
      <c r="V74" s="93"/>
      <c r="W74" s="93"/>
      <c r="X74" s="93"/>
      <c r="Y74" s="93"/>
      <c r="Z74" s="93"/>
      <c r="AA74" s="93"/>
      <c r="AB74" s="93"/>
      <c r="AC74" s="93"/>
      <c r="AD74" s="93"/>
      <c r="AE74" s="93"/>
      <c r="AF74" s="93"/>
      <c r="AG74" s="93"/>
      <c r="AH74" s="93"/>
      <c r="AI74" s="93"/>
      <c r="AJ74" s="93"/>
      <c r="AK74" s="36"/>
      <c r="AL74" s="36"/>
      <c r="AM74" s="36"/>
      <c r="AN74" s="36"/>
      <c r="AO74" s="36"/>
      <c r="AP74" s="36"/>
      <c r="AQ74" s="36"/>
      <c r="AR74" s="36"/>
      <c r="AS74" s="36"/>
      <c r="AT74" s="36"/>
      <c r="AU74" s="36"/>
      <c r="AV74" s="36"/>
      <c r="AW74" s="36"/>
      <c r="AX74" s="36"/>
      <c r="AY74" s="36"/>
      <c r="AZ74" s="36"/>
      <c r="BA74" s="36"/>
      <c r="BB74" s="36"/>
      <c r="BC74" s="36"/>
    </row>
    <row r="75" spans="1:55" x14ac:dyDescent="0.25">
      <c r="A75" s="36"/>
      <c r="B75" s="36"/>
      <c r="C75" s="36"/>
      <c r="D75" s="93"/>
      <c r="E75" s="93"/>
      <c r="F75" s="93"/>
      <c r="G75" s="93"/>
      <c r="H75" s="93"/>
      <c r="I75" s="93"/>
      <c r="J75" s="93"/>
      <c r="K75" s="93"/>
      <c r="L75" s="93"/>
      <c r="M75" s="93"/>
      <c r="N75" s="93"/>
      <c r="O75" s="93"/>
      <c r="P75" s="93"/>
      <c r="Q75" s="93"/>
      <c r="R75" s="93"/>
      <c r="S75" s="93"/>
      <c r="T75" s="93"/>
      <c r="U75" s="93"/>
      <c r="V75" s="93"/>
      <c r="W75" s="93"/>
      <c r="X75" s="93"/>
      <c r="Y75" s="93"/>
      <c r="Z75" s="93"/>
      <c r="AA75" s="93"/>
      <c r="AB75" s="93"/>
      <c r="AC75" s="93"/>
      <c r="AD75" s="93"/>
      <c r="AE75" s="93"/>
      <c r="AF75" s="93"/>
      <c r="AG75" s="93"/>
      <c r="AH75" s="93"/>
      <c r="AI75" s="93"/>
      <c r="AJ75" s="93"/>
      <c r="AK75" s="36"/>
      <c r="AL75" s="36"/>
      <c r="AM75" s="36"/>
      <c r="AN75" s="36"/>
      <c r="AO75" s="36"/>
      <c r="AP75" s="36"/>
      <c r="AQ75" s="36"/>
      <c r="AR75" s="36"/>
      <c r="AS75" s="36"/>
      <c r="AT75" s="36"/>
      <c r="AU75" s="36"/>
      <c r="AV75" s="36"/>
      <c r="AW75" s="36"/>
      <c r="AX75" s="36"/>
      <c r="AY75" s="36"/>
      <c r="AZ75" s="36"/>
      <c r="BA75" s="36"/>
      <c r="BB75" s="36"/>
      <c r="BC75" s="36"/>
    </row>
    <row r="76" spans="1:55" x14ac:dyDescent="0.25">
      <c r="A76" s="36"/>
      <c r="B76" s="36"/>
      <c r="C76" s="36"/>
      <c r="D76" s="93"/>
      <c r="E76" s="93"/>
      <c r="F76" s="93"/>
      <c r="G76" s="93"/>
      <c r="H76" s="93"/>
      <c r="I76" s="93"/>
      <c r="J76" s="93"/>
      <c r="K76" s="93"/>
      <c r="L76" s="93"/>
      <c r="M76" s="93"/>
      <c r="N76" s="93"/>
      <c r="O76" s="93"/>
      <c r="P76" s="93"/>
      <c r="Q76" s="93"/>
      <c r="R76" s="93"/>
      <c r="S76" s="93"/>
      <c r="T76" s="93"/>
      <c r="U76" s="93"/>
      <c r="V76" s="93"/>
      <c r="W76" s="93"/>
      <c r="X76" s="93"/>
      <c r="Y76" s="93"/>
      <c r="Z76" s="93"/>
      <c r="AA76" s="93"/>
      <c r="AB76" s="93"/>
      <c r="AC76" s="93"/>
      <c r="AD76" s="93"/>
      <c r="AE76" s="93"/>
      <c r="AF76" s="93"/>
      <c r="AG76" s="93"/>
      <c r="AH76" s="93"/>
      <c r="AI76" s="93"/>
      <c r="AJ76" s="93"/>
      <c r="AK76" s="36"/>
      <c r="AL76" s="36"/>
      <c r="AM76" s="36"/>
      <c r="AN76" s="36"/>
      <c r="AO76" s="36"/>
      <c r="AP76" s="36"/>
      <c r="AQ76" s="36"/>
      <c r="AR76" s="36"/>
      <c r="AS76" s="36"/>
      <c r="AT76" s="36"/>
      <c r="AU76" s="36"/>
      <c r="AV76" s="36"/>
      <c r="AW76" s="36"/>
      <c r="AX76" s="36"/>
      <c r="AY76" s="36"/>
      <c r="AZ76" s="36"/>
      <c r="BA76" s="36"/>
      <c r="BB76" s="36"/>
      <c r="BC76" s="36"/>
    </row>
    <row r="77" spans="1:55" x14ac:dyDescent="0.25">
      <c r="A77" s="36"/>
      <c r="B77" s="36"/>
      <c r="C77" s="36"/>
      <c r="D77" s="93"/>
      <c r="E77" s="93"/>
      <c r="F77" s="93"/>
      <c r="G77" s="93"/>
      <c r="H77" s="93"/>
      <c r="I77" s="93"/>
      <c r="J77" s="93"/>
      <c r="K77" s="93"/>
      <c r="L77" s="93"/>
      <c r="M77" s="93"/>
      <c r="N77" s="93"/>
      <c r="O77" s="93"/>
      <c r="P77" s="93"/>
      <c r="Q77" s="93"/>
      <c r="R77" s="93"/>
      <c r="S77" s="93"/>
      <c r="T77" s="93"/>
      <c r="U77" s="93"/>
      <c r="V77" s="93"/>
      <c r="W77" s="93"/>
      <c r="X77" s="93"/>
      <c r="Y77" s="93"/>
      <c r="Z77" s="93"/>
      <c r="AA77" s="93"/>
      <c r="AB77" s="93"/>
      <c r="AC77" s="93"/>
      <c r="AD77" s="93"/>
      <c r="AE77" s="93"/>
      <c r="AF77" s="93"/>
      <c r="AG77" s="93"/>
      <c r="AH77" s="93"/>
      <c r="AI77" s="93"/>
      <c r="AJ77" s="93"/>
      <c r="AK77" s="36"/>
      <c r="AL77" s="36"/>
      <c r="AM77" s="36"/>
      <c r="AN77" s="36"/>
      <c r="AO77" s="36"/>
      <c r="AP77" s="36"/>
      <c r="AQ77" s="36"/>
      <c r="AR77" s="36"/>
      <c r="AS77" s="36"/>
      <c r="AT77" s="36"/>
      <c r="AU77" s="36"/>
      <c r="AV77" s="36"/>
      <c r="AW77" s="36"/>
      <c r="AX77" s="36"/>
      <c r="AY77" s="36"/>
      <c r="AZ77" s="36"/>
      <c r="BA77" s="36"/>
      <c r="BB77" s="36"/>
      <c r="BC77" s="36"/>
    </row>
    <row r="78" spans="1:55" x14ac:dyDescent="0.25">
      <c r="A78" s="36"/>
      <c r="B78" s="36"/>
      <c r="C78" s="36"/>
      <c r="D78" s="93"/>
      <c r="E78" s="93"/>
      <c r="F78" s="93"/>
      <c r="G78" s="93"/>
      <c r="H78" s="93"/>
      <c r="I78" s="93"/>
      <c r="J78" s="93"/>
      <c r="K78" s="93"/>
      <c r="L78" s="93"/>
      <c r="M78" s="93"/>
      <c r="N78" s="93"/>
      <c r="O78" s="93"/>
      <c r="P78" s="93"/>
      <c r="Q78" s="93"/>
      <c r="R78" s="93"/>
      <c r="S78" s="93"/>
      <c r="T78" s="93"/>
      <c r="U78" s="93"/>
      <c r="V78" s="93"/>
      <c r="W78" s="93"/>
      <c r="X78" s="93"/>
      <c r="Y78" s="93"/>
      <c r="Z78" s="93"/>
      <c r="AA78" s="93"/>
      <c r="AB78" s="93"/>
      <c r="AC78" s="93"/>
      <c r="AD78" s="93"/>
      <c r="AE78" s="93"/>
      <c r="AF78" s="93"/>
      <c r="AG78" s="93"/>
      <c r="AH78" s="93"/>
      <c r="AI78" s="93"/>
      <c r="AJ78" s="93"/>
    </row>
    <row r="79" spans="1:55" x14ac:dyDescent="0.25">
      <c r="A79" s="36"/>
      <c r="B79" s="36"/>
      <c r="C79" s="36"/>
      <c r="D79" s="93"/>
      <c r="E79" s="93"/>
      <c r="F79" s="93"/>
      <c r="G79" s="93"/>
      <c r="H79" s="93"/>
      <c r="I79" s="93"/>
      <c r="J79" s="93"/>
      <c r="K79" s="93"/>
      <c r="L79" s="93"/>
      <c r="M79" s="93"/>
      <c r="N79" s="93"/>
      <c r="O79" s="93"/>
      <c r="P79" s="93"/>
      <c r="Q79" s="93"/>
      <c r="R79" s="93"/>
      <c r="S79" s="93"/>
      <c r="T79" s="93"/>
      <c r="U79" s="93"/>
      <c r="V79" s="93"/>
      <c r="W79" s="93"/>
      <c r="X79" s="93"/>
      <c r="Y79" s="93"/>
      <c r="Z79" s="93"/>
      <c r="AA79" s="93"/>
      <c r="AB79" s="93"/>
      <c r="AC79" s="93"/>
      <c r="AD79" s="93"/>
      <c r="AE79" s="93"/>
      <c r="AF79" s="93"/>
      <c r="AG79" s="93"/>
      <c r="AH79" s="93"/>
      <c r="AI79" s="93"/>
      <c r="AJ79" s="93"/>
    </row>
    <row r="80" spans="1:55" x14ac:dyDescent="0.25">
      <c r="A80" s="36"/>
      <c r="B80" s="36"/>
      <c r="C80" s="36"/>
      <c r="D80" s="93"/>
      <c r="E80" s="93"/>
      <c r="F80" s="93"/>
      <c r="G80" s="93"/>
      <c r="H80" s="93"/>
      <c r="I80" s="93"/>
      <c r="J80" s="93"/>
      <c r="K80" s="93"/>
      <c r="L80" s="93"/>
      <c r="M80" s="93"/>
      <c r="N80" s="93"/>
      <c r="O80" s="93"/>
      <c r="P80" s="93"/>
      <c r="Q80" s="93"/>
      <c r="R80" s="93"/>
      <c r="S80" s="93"/>
      <c r="T80" s="93"/>
      <c r="U80" s="93"/>
      <c r="V80" s="93"/>
      <c r="W80" s="93"/>
      <c r="X80" s="93"/>
      <c r="Y80" s="93"/>
      <c r="Z80" s="93"/>
      <c r="AA80" s="93"/>
      <c r="AB80" s="93"/>
      <c r="AC80" s="93"/>
      <c r="AD80" s="93"/>
      <c r="AE80" s="93"/>
      <c r="AF80" s="93"/>
      <c r="AG80" s="93"/>
      <c r="AH80" s="93"/>
      <c r="AI80" s="93"/>
      <c r="AJ80" s="93"/>
    </row>
    <row r="81" spans="1:36" x14ac:dyDescent="0.25">
      <c r="A81" s="36"/>
      <c r="B81" s="36"/>
      <c r="C81" s="36"/>
      <c r="D81" s="93"/>
      <c r="E81" s="93"/>
      <c r="F81" s="93"/>
      <c r="G81" s="93"/>
      <c r="H81" s="93"/>
      <c r="I81" s="93"/>
      <c r="J81" s="93"/>
      <c r="K81" s="93"/>
      <c r="L81" s="93"/>
      <c r="M81" s="93"/>
      <c r="N81" s="93"/>
      <c r="O81" s="93"/>
      <c r="P81" s="93"/>
      <c r="Q81" s="93"/>
      <c r="R81" s="93"/>
      <c r="S81" s="93"/>
      <c r="T81" s="93"/>
      <c r="U81" s="93"/>
      <c r="V81" s="93"/>
      <c r="W81" s="93"/>
      <c r="X81" s="93"/>
      <c r="Y81" s="93"/>
      <c r="Z81" s="93"/>
      <c r="AA81" s="93"/>
      <c r="AB81" s="93"/>
      <c r="AC81" s="93"/>
      <c r="AD81" s="93"/>
      <c r="AE81" s="93"/>
      <c r="AF81" s="93"/>
      <c r="AG81" s="93"/>
      <c r="AH81" s="93"/>
      <c r="AI81" s="93"/>
      <c r="AJ81" s="93"/>
    </row>
    <row r="82" spans="1:36" x14ac:dyDescent="0.25">
      <c r="A82" s="36"/>
      <c r="B82" s="36"/>
      <c r="C82" s="36"/>
      <c r="D82" s="93"/>
      <c r="E82" s="93"/>
      <c r="F82" s="93"/>
      <c r="G82" s="93"/>
      <c r="H82" s="93"/>
      <c r="I82" s="93"/>
      <c r="J82" s="93"/>
      <c r="K82" s="93"/>
      <c r="L82" s="93"/>
      <c r="M82" s="93"/>
      <c r="N82" s="93"/>
      <c r="O82" s="93"/>
      <c r="P82" s="93"/>
      <c r="Q82" s="93"/>
      <c r="R82" s="93"/>
      <c r="S82" s="93"/>
      <c r="T82" s="93"/>
      <c r="U82" s="93"/>
      <c r="V82" s="93"/>
      <c r="W82" s="93"/>
      <c r="X82" s="93"/>
      <c r="Y82" s="93"/>
      <c r="Z82" s="93"/>
      <c r="AA82" s="93"/>
      <c r="AB82" s="93"/>
      <c r="AC82" s="93"/>
      <c r="AD82" s="93"/>
      <c r="AE82" s="93"/>
      <c r="AF82" s="93"/>
      <c r="AG82" s="93"/>
      <c r="AH82" s="93"/>
      <c r="AI82" s="93"/>
      <c r="AJ82" s="93"/>
    </row>
    <row r="83" spans="1:36" x14ac:dyDescent="0.25">
      <c r="A83" s="36"/>
      <c r="B83" s="36"/>
      <c r="C83" s="36"/>
      <c r="D83" s="93"/>
      <c r="E83" s="93"/>
      <c r="F83" s="93"/>
      <c r="G83" s="93"/>
      <c r="H83" s="93"/>
      <c r="I83" s="93"/>
      <c r="J83" s="93"/>
      <c r="K83" s="93"/>
      <c r="L83" s="93"/>
      <c r="M83" s="93"/>
      <c r="N83" s="93"/>
      <c r="O83" s="93"/>
      <c r="P83" s="93"/>
      <c r="Q83" s="93"/>
      <c r="R83" s="93"/>
      <c r="S83" s="93"/>
      <c r="T83" s="93"/>
      <c r="U83" s="93"/>
      <c r="V83" s="93"/>
      <c r="W83" s="93"/>
      <c r="X83" s="93"/>
      <c r="Y83" s="93"/>
      <c r="Z83" s="93"/>
      <c r="AA83" s="93"/>
      <c r="AB83" s="93"/>
      <c r="AC83" s="93"/>
      <c r="AD83" s="93"/>
      <c r="AE83" s="93"/>
      <c r="AF83" s="93"/>
      <c r="AG83" s="93"/>
      <c r="AH83" s="93"/>
      <c r="AI83" s="93"/>
      <c r="AJ83" s="93"/>
    </row>
    <row r="84" spans="1:36" x14ac:dyDescent="0.25">
      <c r="A84" s="36"/>
      <c r="B84" s="36"/>
      <c r="C84" s="36"/>
      <c r="D84" s="93"/>
      <c r="E84" s="93"/>
      <c r="F84" s="93"/>
      <c r="G84" s="93"/>
      <c r="H84" s="93"/>
      <c r="I84" s="93"/>
      <c r="J84" s="93"/>
      <c r="K84" s="93"/>
      <c r="L84" s="93"/>
      <c r="M84" s="93"/>
      <c r="N84" s="93"/>
      <c r="O84" s="93"/>
      <c r="P84" s="93"/>
      <c r="Q84" s="93"/>
      <c r="R84" s="93"/>
      <c r="S84" s="93"/>
      <c r="T84" s="93"/>
      <c r="U84" s="93"/>
      <c r="V84" s="93"/>
      <c r="W84" s="93"/>
      <c r="X84" s="93"/>
      <c r="Y84" s="93"/>
      <c r="Z84" s="93"/>
      <c r="AA84" s="93"/>
      <c r="AB84" s="93"/>
      <c r="AC84" s="93"/>
      <c r="AD84" s="93"/>
      <c r="AE84" s="93"/>
      <c r="AF84" s="93"/>
      <c r="AG84" s="93"/>
      <c r="AH84" s="93"/>
      <c r="AI84" s="93"/>
      <c r="AJ84" s="93"/>
    </row>
    <row r="85" spans="1:36" x14ac:dyDescent="0.25">
      <c r="A85" s="36"/>
      <c r="B85" s="36"/>
      <c r="C85" s="36"/>
      <c r="D85" s="93"/>
      <c r="E85" s="93"/>
      <c r="F85" s="93"/>
      <c r="G85" s="93"/>
      <c r="H85" s="93"/>
      <c r="I85" s="93"/>
      <c r="J85" s="93"/>
      <c r="K85" s="93"/>
      <c r="L85" s="93"/>
      <c r="M85" s="93"/>
      <c r="N85" s="93"/>
      <c r="O85" s="93"/>
      <c r="P85" s="93"/>
      <c r="Q85" s="93"/>
      <c r="R85" s="93"/>
      <c r="S85" s="93"/>
      <c r="T85" s="93"/>
      <c r="U85" s="93"/>
      <c r="V85" s="93"/>
      <c r="W85" s="93"/>
      <c r="X85" s="93"/>
      <c r="Y85" s="93"/>
      <c r="Z85" s="93"/>
      <c r="AA85" s="93"/>
      <c r="AB85" s="93"/>
      <c r="AC85" s="93"/>
      <c r="AD85" s="93"/>
      <c r="AE85" s="93"/>
      <c r="AF85" s="93"/>
      <c r="AG85" s="93"/>
      <c r="AH85" s="93"/>
      <c r="AI85" s="93"/>
      <c r="AJ85" s="93"/>
    </row>
    <row r="86" spans="1:36" x14ac:dyDescent="0.25">
      <c r="A86" s="36"/>
      <c r="B86" s="36"/>
      <c r="C86" s="36"/>
      <c r="D86" s="93"/>
      <c r="E86" s="93"/>
      <c r="F86" s="93"/>
      <c r="G86" s="93"/>
      <c r="H86" s="93"/>
      <c r="I86" s="93"/>
      <c r="J86" s="93"/>
      <c r="K86" s="93"/>
      <c r="L86" s="93"/>
      <c r="M86" s="93"/>
      <c r="N86" s="93"/>
      <c r="O86" s="93"/>
      <c r="P86" s="93"/>
      <c r="Q86" s="93"/>
      <c r="R86" s="93"/>
      <c r="S86" s="93"/>
      <c r="T86" s="93"/>
      <c r="U86" s="93"/>
      <c r="V86" s="93"/>
      <c r="W86" s="93"/>
      <c r="X86" s="93"/>
      <c r="Y86" s="93"/>
      <c r="Z86" s="93"/>
      <c r="AA86" s="93"/>
      <c r="AB86" s="93"/>
      <c r="AC86" s="93"/>
      <c r="AD86" s="93"/>
      <c r="AE86" s="93"/>
      <c r="AF86" s="93"/>
      <c r="AG86" s="93"/>
      <c r="AH86" s="93"/>
      <c r="AI86" s="93"/>
      <c r="AJ86" s="93"/>
    </row>
    <row r="87" spans="1:36" hidden="1" x14ac:dyDescent="0.25">
      <c r="A87" s="36"/>
      <c r="B87" s="36"/>
      <c r="C87" s="36"/>
      <c r="D87" s="93"/>
      <c r="E87" s="93"/>
      <c r="F87" s="93"/>
      <c r="G87" s="93"/>
      <c r="H87" s="93"/>
      <c r="I87" s="93"/>
      <c r="J87" s="93"/>
      <c r="K87" s="93"/>
      <c r="L87" s="93"/>
      <c r="M87" s="93"/>
      <c r="N87" s="93"/>
      <c r="O87" s="93"/>
      <c r="P87" s="93"/>
      <c r="Q87" s="93"/>
      <c r="R87" s="93"/>
      <c r="S87" s="93"/>
      <c r="T87" s="93"/>
      <c r="U87" s="93"/>
      <c r="V87" s="93"/>
      <c r="W87" s="93"/>
      <c r="X87" s="93"/>
      <c r="Y87" s="93"/>
      <c r="Z87" s="93"/>
      <c r="AA87" s="93"/>
      <c r="AB87" s="93"/>
      <c r="AC87" s="93"/>
      <c r="AD87" s="93"/>
      <c r="AE87" s="93"/>
      <c r="AF87" s="93"/>
      <c r="AG87" s="93"/>
      <c r="AH87" s="93"/>
      <c r="AI87" s="93"/>
      <c r="AJ87" s="93"/>
    </row>
    <row r="88" spans="1:36" hidden="1" x14ac:dyDescent="0.25">
      <c r="A88" s="36"/>
      <c r="B88" s="36"/>
      <c r="C88" s="36"/>
      <c r="D88" s="93"/>
      <c r="E88" s="93"/>
      <c r="F88" s="93"/>
      <c r="G88" s="93"/>
      <c r="H88" s="93"/>
      <c r="I88" s="93"/>
      <c r="J88" s="93"/>
      <c r="K88" s="93"/>
      <c r="L88" s="93"/>
      <c r="M88" s="93"/>
      <c r="N88" s="93"/>
      <c r="O88" s="93"/>
      <c r="P88" s="93"/>
      <c r="Q88" s="93"/>
      <c r="R88" s="93"/>
      <c r="S88" s="93"/>
      <c r="T88" s="93"/>
      <c r="U88" s="93"/>
      <c r="V88" s="93"/>
      <c r="W88" s="93"/>
      <c r="X88" s="93"/>
      <c r="Y88" s="93"/>
      <c r="Z88" s="93"/>
      <c r="AA88" s="93"/>
      <c r="AB88" s="93"/>
      <c r="AC88" s="93"/>
      <c r="AD88" s="93"/>
      <c r="AE88" s="93"/>
      <c r="AF88" s="93"/>
      <c r="AG88" s="93"/>
      <c r="AH88" s="93"/>
      <c r="AI88" s="93"/>
      <c r="AJ88" s="93"/>
    </row>
    <row r="89" spans="1:36" hidden="1" x14ac:dyDescent="0.25">
      <c r="A89" s="36"/>
      <c r="B89" s="36"/>
      <c r="C89" s="36"/>
      <c r="D89" s="93"/>
      <c r="E89" s="93"/>
      <c r="F89" s="93"/>
      <c r="G89" s="93"/>
      <c r="H89" s="93"/>
      <c r="I89" s="93"/>
      <c r="J89" s="93"/>
      <c r="K89" s="93"/>
      <c r="L89" s="93"/>
      <c r="M89" s="93"/>
      <c r="N89" s="93"/>
      <c r="O89" s="93"/>
      <c r="P89" s="93"/>
      <c r="Q89" s="93"/>
      <c r="R89" s="93"/>
      <c r="S89" s="93"/>
      <c r="T89" s="93"/>
      <c r="U89" s="93"/>
      <c r="V89" s="93"/>
      <c r="W89" s="93"/>
      <c r="X89" s="93"/>
      <c r="Y89" s="93"/>
      <c r="Z89" s="93"/>
      <c r="AA89" s="93"/>
      <c r="AB89" s="93"/>
      <c r="AC89" s="93"/>
      <c r="AD89" s="93"/>
      <c r="AE89" s="93"/>
      <c r="AF89" s="93"/>
      <c r="AG89" s="93"/>
      <c r="AH89" s="93"/>
      <c r="AI89" s="93"/>
      <c r="AJ89" s="93"/>
    </row>
    <row r="90" spans="1:36" hidden="1" x14ac:dyDescent="0.25">
      <c r="A90" s="36"/>
      <c r="B90" s="36"/>
      <c r="C90" s="36"/>
      <c r="D90" s="93"/>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c r="AE90" s="93"/>
      <c r="AF90" s="93"/>
      <c r="AG90" s="93"/>
      <c r="AH90" s="93"/>
      <c r="AI90" s="93"/>
      <c r="AJ90" s="93"/>
    </row>
    <row r="91" spans="1:36" hidden="1" x14ac:dyDescent="0.25">
      <c r="A91" s="36"/>
      <c r="B91" s="36"/>
      <c r="C91" s="36"/>
      <c r="D91" s="93"/>
      <c r="E91" s="93"/>
      <c r="F91" s="93"/>
      <c r="G91" s="93"/>
      <c r="H91" s="93"/>
      <c r="I91" s="93"/>
      <c r="J91" s="93"/>
      <c r="K91" s="93"/>
      <c r="L91" s="93"/>
      <c r="M91" s="93"/>
      <c r="N91" s="93"/>
      <c r="O91" s="93"/>
      <c r="P91" s="93"/>
      <c r="Q91" s="93"/>
      <c r="R91" s="93"/>
      <c r="S91" s="93"/>
      <c r="T91" s="93"/>
      <c r="U91" s="93"/>
      <c r="V91" s="93"/>
      <c r="W91" s="93"/>
      <c r="X91" s="93"/>
      <c r="Y91" s="93"/>
      <c r="Z91" s="93"/>
      <c r="AA91" s="93"/>
      <c r="AB91" s="93"/>
      <c r="AC91" s="93"/>
      <c r="AD91" s="93"/>
      <c r="AE91" s="93"/>
      <c r="AF91" s="93"/>
      <c r="AG91" s="93"/>
      <c r="AH91" s="93"/>
      <c r="AI91" s="93"/>
      <c r="AJ91" s="93"/>
    </row>
    <row r="92" spans="1:36" hidden="1" x14ac:dyDescent="0.25">
      <c r="A92" s="36"/>
      <c r="B92" s="36"/>
      <c r="C92" s="36"/>
      <c r="D92" s="93"/>
      <c r="E92" s="93"/>
      <c r="F92" s="93"/>
      <c r="G92" s="93"/>
      <c r="H92" s="93"/>
      <c r="I92" s="93"/>
      <c r="J92" s="93"/>
      <c r="K92" s="93"/>
      <c r="L92" s="93"/>
      <c r="M92" s="93"/>
      <c r="N92" s="93"/>
      <c r="O92" s="93"/>
      <c r="P92" s="93"/>
      <c r="Q92" s="93"/>
      <c r="R92" s="93"/>
      <c r="S92" s="93"/>
      <c r="T92" s="93"/>
      <c r="U92" s="93"/>
      <c r="V92" s="93"/>
      <c r="W92" s="93"/>
      <c r="X92" s="93"/>
      <c r="Y92" s="93"/>
      <c r="Z92" s="93"/>
      <c r="AA92" s="93"/>
      <c r="AB92" s="93"/>
      <c r="AC92" s="93"/>
      <c r="AD92" s="93"/>
      <c r="AE92" s="93"/>
      <c r="AF92" s="93"/>
      <c r="AG92" s="93"/>
      <c r="AH92" s="93"/>
      <c r="AI92" s="93"/>
      <c r="AJ92" s="93"/>
    </row>
    <row r="93" spans="1:36" hidden="1" x14ac:dyDescent="0.25">
      <c r="A93" s="36"/>
      <c r="B93" s="36"/>
      <c r="C93" s="36"/>
      <c r="D93" s="93"/>
      <c r="E93" s="93"/>
      <c r="F93" s="93"/>
      <c r="G93" s="93"/>
      <c r="H93" s="93"/>
      <c r="I93" s="93"/>
      <c r="J93" s="93"/>
      <c r="K93" s="93"/>
      <c r="L93" s="93"/>
      <c r="M93" s="93"/>
      <c r="N93" s="93"/>
      <c r="O93" s="93"/>
      <c r="P93" s="93"/>
      <c r="Q93" s="93"/>
      <c r="R93" s="93"/>
      <c r="S93" s="93"/>
      <c r="T93" s="93"/>
      <c r="U93" s="93"/>
      <c r="V93" s="93"/>
      <c r="W93" s="93"/>
      <c r="X93" s="93"/>
      <c r="Y93" s="93"/>
      <c r="Z93" s="93"/>
      <c r="AA93" s="93"/>
      <c r="AB93" s="93"/>
      <c r="AC93" s="93"/>
      <c r="AD93" s="93"/>
      <c r="AE93" s="93"/>
      <c r="AF93" s="93"/>
      <c r="AG93" s="93"/>
      <c r="AH93" s="93"/>
      <c r="AI93" s="93"/>
      <c r="AJ93" s="93"/>
    </row>
    <row r="94" spans="1:36" hidden="1" x14ac:dyDescent="0.25">
      <c r="A94" s="36"/>
      <c r="B94" s="36"/>
      <c r="C94" s="36"/>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c r="AE94" s="93"/>
      <c r="AF94" s="93"/>
      <c r="AG94" s="93"/>
      <c r="AH94" s="93"/>
      <c r="AI94" s="93"/>
      <c r="AJ94" s="93"/>
    </row>
    <row r="95" spans="1:36" hidden="1" x14ac:dyDescent="0.25">
      <c r="A95" s="36"/>
      <c r="B95" s="36"/>
      <c r="C95" s="36"/>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c r="AF95" s="93"/>
      <c r="AG95" s="93"/>
      <c r="AH95" s="93"/>
      <c r="AI95" s="93"/>
      <c r="AJ95" s="93"/>
    </row>
    <row r="96" spans="1:36" hidden="1" x14ac:dyDescent="0.25">
      <c r="A96" s="36"/>
      <c r="B96" s="36"/>
      <c r="C96" s="36"/>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c r="AF96" s="93"/>
      <c r="AG96" s="93"/>
      <c r="AH96" s="93"/>
      <c r="AI96" s="93"/>
      <c r="AJ96" s="93"/>
    </row>
    <row r="97" spans="1:36" hidden="1" x14ac:dyDescent="0.25">
      <c r="A97" s="36"/>
      <c r="B97" s="36"/>
      <c r="C97" s="36"/>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c r="AF97" s="93"/>
      <c r="AG97" s="93"/>
      <c r="AH97" s="93"/>
      <c r="AI97" s="93"/>
      <c r="AJ97" s="93"/>
    </row>
    <row r="98" spans="1:36" hidden="1" x14ac:dyDescent="0.25">
      <c r="A98" s="36"/>
      <c r="B98" s="36"/>
      <c r="C98" s="36"/>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c r="AF98" s="93"/>
      <c r="AG98" s="93"/>
      <c r="AH98" s="93"/>
      <c r="AI98" s="93"/>
      <c r="AJ98" s="93"/>
    </row>
    <row r="99" spans="1:36" hidden="1" x14ac:dyDescent="0.25">
      <c r="A99" s="36"/>
      <c r="B99" s="36"/>
      <c r="C99" s="36"/>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c r="AF99" s="93"/>
      <c r="AG99" s="93"/>
      <c r="AH99" s="93"/>
      <c r="AI99" s="93"/>
      <c r="AJ99" s="93"/>
    </row>
    <row r="100" spans="1:36" hidden="1" x14ac:dyDescent="0.25">
      <c r="A100" s="36"/>
      <c r="B100" s="36"/>
      <c r="C100" s="36"/>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99" customWidth="1"/>
    <col min="2" max="2" width="14" style="99" customWidth="1"/>
    <col min="3" max="26" width="12.85546875" style="99" customWidth="1"/>
    <col min="27" max="32" width="0" style="99" hidden="1" customWidth="1"/>
    <col min="33" max="16384" width="11.5703125" style="99" hidden="1"/>
  </cols>
  <sheetData>
    <row r="1" spans="1:344" x14ac:dyDescent="0.25">
      <c r="A1" s="98"/>
      <c r="B1" s="98"/>
      <c r="C1" s="98"/>
      <c r="D1" s="98"/>
      <c r="E1" s="98"/>
      <c r="F1" s="98"/>
      <c r="G1" s="98"/>
      <c r="H1" s="98"/>
      <c r="I1" s="98"/>
      <c r="J1" s="98"/>
      <c r="K1" s="98"/>
      <c r="L1" s="98"/>
      <c r="M1" s="98"/>
      <c r="N1" s="98"/>
      <c r="O1" s="98"/>
      <c r="P1" s="98"/>
      <c r="Q1" s="98"/>
      <c r="R1" s="98"/>
      <c r="S1" s="98"/>
      <c r="T1" s="98"/>
      <c r="U1" s="98"/>
      <c r="V1" s="98"/>
      <c r="W1" s="98"/>
      <c r="X1" s="98"/>
      <c r="Y1" s="98"/>
      <c r="Z1" s="98"/>
    </row>
    <row r="2" spans="1:344" x14ac:dyDescent="0.25">
      <c r="A2" s="98"/>
      <c r="B2" s="98"/>
      <c r="C2" s="98"/>
      <c r="D2" s="98"/>
      <c r="E2" s="98"/>
      <c r="F2" s="98"/>
      <c r="G2" s="98"/>
      <c r="H2" s="98"/>
      <c r="I2" s="98"/>
      <c r="J2" s="98"/>
      <c r="K2" s="98"/>
      <c r="L2" s="98"/>
      <c r="M2" s="98"/>
      <c r="N2" s="98"/>
      <c r="O2" s="98"/>
      <c r="P2" s="98"/>
      <c r="Q2" s="98"/>
      <c r="R2" s="98"/>
      <c r="S2" s="98"/>
      <c r="T2" s="98"/>
      <c r="U2" s="98"/>
      <c r="V2" s="98"/>
      <c r="W2" s="98"/>
      <c r="X2" s="98"/>
      <c r="Y2" s="98"/>
      <c r="Z2" s="98"/>
    </row>
    <row r="3" spans="1:344" x14ac:dyDescent="0.25">
      <c r="A3" s="98"/>
      <c r="B3" s="98"/>
      <c r="C3" s="98"/>
      <c r="D3" s="98" t="s">
        <v>1267</v>
      </c>
      <c r="E3" s="98"/>
      <c r="F3" s="98"/>
      <c r="G3" s="98"/>
      <c r="H3" s="98"/>
      <c r="I3" s="98"/>
      <c r="J3" s="98"/>
      <c r="K3" s="98"/>
      <c r="L3" s="98"/>
      <c r="M3" s="98"/>
      <c r="N3" s="98"/>
      <c r="O3" s="98"/>
      <c r="P3" s="98"/>
      <c r="Q3" s="98"/>
      <c r="R3" s="98"/>
      <c r="S3" s="98"/>
      <c r="T3" s="98"/>
      <c r="U3" s="98"/>
      <c r="V3" s="98"/>
      <c r="W3" s="98"/>
      <c r="X3" s="98"/>
      <c r="Y3" s="98"/>
      <c r="Z3" s="98"/>
    </row>
    <row r="4" spans="1:344" ht="14.45" customHeight="1" thickBot="1" x14ac:dyDescent="0.3">
      <c r="A4" s="98"/>
      <c r="B4" s="98"/>
      <c r="C4" s="98"/>
      <c r="D4" s="98"/>
      <c r="E4" s="98"/>
      <c r="F4" s="98"/>
      <c r="G4" s="98"/>
      <c r="H4" s="98"/>
      <c r="I4" s="98"/>
      <c r="J4" s="98"/>
      <c r="K4" s="98"/>
      <c r="L4" s="98"/>
      <c r="M4" s="98"/>
      <c r="N4" s="98"/>
      <c r="O4" s="98"/>
      <c r="P4" s="98"/>
      <c r="Q4" s="98"/>
      <c r="R4" s="98"/>
      <c r="S4" s="98"/>
      <c r="T4" s="98"/>
      <c r="U4" s="98"/>
      <c r="V4" s="98"/>
      <c r="W4" s="98"/>
      <c r="X4" s="98"/>
      <c r="Y4" s="98"/>
      <c r="Z4" s="98"/>
    </row>
    <row r="5" spans="1:344" x14ac:dyDescent="0.25">
      <c r="A5" s="846" t="s">
        <v>1667</v>
      </c>
      <c r="B5" s="848" t="s">
        <v>2006</v>
      </c>
      <c r="C5" s="98"/>
      <c r="D5" s="98"/>
      <c r="E5" s="98"/>
      <c r="F5" s="98"/>
      <c r="G5" s="98"/>
      <c r="H5" s="98"/>
      <c r="I5" s="98"/>
      <c r="J5" s="98"/>
      <c r="K5" s="98"/>
      <c r="L5" s="98"/>
      <c r="M5" s="98"/>
      <c r="N5" s="98"/>
      <c r="O5" s="98"/>
      <c r="P5" s="98"/>
      <c r="Q5" s="98"/>
      <c r="R5" s="98"/>
      <c r="S5" s="98"/>
      <c r="T5" s="98"/>
      <c r="U5" s="98"/>
      <c r="V5" s="98"/>
      <c r="W5" s="98"/>
      <c r="X5" s="98"/>
      <c r="Y5" s="98"/>
      <c r="Z5" s="98"/>
    </row>
    <row r="6" spans="1:344" ht="15.75" thickBot="1" x14ac:dyDescent="0.3">
      <c r="A6" s="847"/>
      <c r="B6" s="849"/>
      <c r="C6" s="98"/>
      <c r="D6" s="98"/>
      <c r="F6" s="98"/>
      <c r="G6" s="98"/>
      <c r="H6" s="98"/>
      <c r="I6" s="98"/>
      <c r="J6" s="98"/>
      <c r="K6" s="98"/>
      <c r="L6" s="98"/>
      <c r="M6" s="98"/>
      <c r="N6" s="98"/>
      <c r="O6" s="98"/>
      <c r="P6" s="98"/>
      <c r="Q6" s="98"/>
      <c r="R6" s="98"/>
      <c r="S6" s="98"/>
      <c r="T6" s="98"/>
      <c r="U6" s="98"/>
      <c r="V6" s="98"/>
      <c r="W6" s="98"/>
      <c r="X6" s="98"/>
      <c r="Y6" s="98"/>
      <c r="Z6" s="98"/>
    </row>
    <row r="7" spans="1:344" ht="29.1" customHeight="1" thickBot="1" x14ac:dyDescent="0.3">
      <c r="A7" s="650" t="s">
        <v>1219</v>
      </c>
      <c r="B7" s="660">
        <v>2</v>
      </c>
      <c r="C7" s="36"/>
      <c r="D7" s="36"/>
      <c r="E7" s="36"/>
      <c r="F7" s="36"/>
      <c r="G7" s="36"/>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98"/>
      <c r="B8" s="36"/>
      <c r="C8" s="36"/>
      <c r="D8" s="36"/>
      <c r="E8" s="36"/>
      <c r="F8" s="98"/>
      <c r="G8" s="752" t="s">
        <v>1217</v>
      </c>
      <c r="H8" s="752" t="s">
        <v>1229</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98"/>
      <c r="B9" s="36"/>
      <c r="C9" s="94"/>
      <c r="D9" s="94"/>
      <c r="E9" s="94"/>
      <c r="F9" s="747" t="s">
        <v>1260</v>
      </c>
      <c r="G9" s="751">
        <v>600</v>
      </c>
      <c r="H9" s="751">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98"/>
      <c r="B10" s="94"/>
      <c r="C10" s="659"/>
      <c r="D10" s="659"/>
      <c r="E10" s="659"/>
      <c r="F10" s="748" t="s">
        <v>1669</v>
      </c>
      <c r="G10" s="751">
        <v>4</v>
      </c>
      <c r="H10" s="751">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98"/>
      <c r="B11" s="94"/>
      <c r="C11" s="659"/>
      <c r="D11" s="659"/>
      <c r="E11" s="659"/>
      <c r="F11" s="747" t="s">
        <v>1670</v>
      </c>
      <c r="G11" s="751">
        <v>10000</v>
      </c>
      <c r="H11" s="751">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98"/>
      <c r="B12" s="94"/>
      <c r="C12" s="659"/>
      <c r="D12" s="659"/>
      <c r="E12" s="659"/>
      <c r="F12" s="749"/>
      <c r="G12" s="753" t="s">
        <v>1218</v>
      </c>
      <c r="H12" s="753" t="s">
        <v>1218</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98"/>
      <c r="B13" s="94"/>
      <c r="C13" s="659"/>
      <c r="D13" s="659"/>
      <c r="E13" s="659"/>
      <c r="F13" s="750" t="s">
        <v>1662</v>
      </c>
      <c r="G13" s="754">
        <v>0</v>
      </c>
      <c r="H13" s="754">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98"/>
      <c r="B14" s="94"/>
      <c r="C14" s="659"/>
      <c r="D14" s="659"/>
      <c r="E14" s="659"/>
      <c r="F14" s="750" t="s">
        <v>1659</v>
      </c>
      <c r="G14" s="754">
        <v>233.89012702154142</v>
      </c>
      <c r="H14" s="754">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98"/>
      <c r="B15" s="94"/>
      <c r="C15" s="659"/>
      <c r="D15" s="659"/>
      <c r="E15" s="659"/>
      <c r="F15" s="750" t="s">
        <v>1257</v>
      </c>
      <c r="G15" s="754">
        <v>1.9260681608594872</v>
      </c>
      <c r="H15" s="754">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98"/>
      <c r="B16" s="658"/>
      <c r="C16" s="36"/>
      <c r="D16" s="36"/>
      <c r="E16" s="36"/>
      <c r="F16" s="750" t="s">
        <v>1258</v>
      </c>
      <c r="G16" s="754">
        <v>0</v>
      </c>
      <c r="H16" s="754">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98"/>
      <c r="B17" s="36"/>
      <c r="C17" s="36"/>
      <c r="D17" s="36"/>
      <c r="E17" s="36"/>
      <c r="F17" s="750" t="s">
        <v>1197</v>
      </c>
      <c r="G17" s="754">
        <v>4732.2879999999996</v>
      </c>
      <c r="H17" s="754">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98"/>
      <c r="B18" s="36"/>
      <c r="C18" s="36"/>
      <c r="D18" s="36"/>
      <c r="E18" s="36"/>
      <c r="F18" s="750" t="s">
        <v>1079</v>
      </c>
      <c r="G18" s="754">
        <v>0</v>
      </c>
      <c r="H18" s="754">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98"/>
      <c r="B19" s="36"/>
      <c r="C19" s="36"/>
      <c r="D19" s="36"/>
      <c r="E19" s="36"/>
      <c r="F19" s="750" t="s">
        <v>1080</v>
      </c>
      <c r="G19" s="754">
        <v>46.171730769230763</v>
      </c>
      <c r="H19" s="754">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98"/>
      <c r="B20" s="36"/>
      <c r="C20" s="36"/>
      <c r="D20" s="36"/>
      <c r="E20" s="36"/>
      <c r="F20" s="750" t="s">
        <v>1660</v>
      </c>
      <c r="G20" s="754">
        <v>358.95398399999999</v>
      </c>
      <c r="H20" s="754">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98"/>
      <c r="B21" s="36"/>
      <c r="C21" s="36"/>
      <c r="D21" s="36"/>
      <c r="E21" s="36"/>
      <c r="F21" s="750" t="s">
        <v>1661</v>
      </c>
      <c r="G21" s="754">
        <v>426.42935999999992</v>
      </c>
      <c r="H21" s="754">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98"/>
      <c r="B22" s="36"/>
      <c r="C22" s="36"/>
      <c r="D22" s="36"/>
      <c r="E22" s="36"/>
      <c r="F22" s="750" t="s">
        <v>1666</v>
      </c>
      <c r="G22" s="754">
        <v>676.87199999999984</v>
      </c>
      <c r="H22" s="754">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98"/>
      <c r="B23" s="36"/>
      <c r="C23" s="36"/>
      <c r="D23" s="36"/>
      <c r="E23" s="36"/>
      <c r="F23" s="750" t="s">
        <v>1215</v>
      </c>
      <c r="G23" s="754">
        <v>0</v>
      </c>
      <c r="H23" s="754">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98"/>
      <c r="B24" s="36"/>
      <c r="C24" s="36"/>
      <c r="D24" s="36"/>
      <c r="E24" s="36"/>
      <c r="F24" s="750" t="s">
        <v>1712</v>
      </c>
      <c r="G24" s="754">
        <v>0</v>
      </c>
      <c r="H24" s="754">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98"/>
      <c r="B25" s="36"/>
      <c r="C25" s="36"/>
      <c r="D25" s="36"/>
      <c r="E25" s="36"/>
      <c r="F25" s="750" t="s">
        <v>1658</v>
      </c>
      <c r="G25" s="754">
        <v>0</v>
      </c>
      <c r="H25" s="754">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98"/>
      <c r="B26" s="36"/>
      <c r="C26" s="36"/>
      <c r="D26" s="36"/>
      <c r="E26" s="36"/>
      <c r="F26" s="750" t="s">
        <v>1715</v>
      </c>
      <c r="G26" s="754">
        <v>0</v>
      </c>
      <c r="H26" s="754">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98"/>
      <c r="B27" s="36"/>
      <c r="C27" s="36"/>
      <c r="D27" s="36"/>
      <c r="E27" s="36"/>
      <c r="F27" s="750" t="s">
        <v>1729</v>
      </c>
      <c r="G27" s="754">
        <v>0</v>
      </c>
      <c r="H27" s="754">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98"/>
      <c r="B28" s="36"/>
      <c r="C28" s="36"/>
      <c r="D28" s="36"/>
      <c r="E28" s="36"/>
      <c r="F28" s="750" t="s">
        <v>1675</v>
      </c>
      <c r="G28" s="754">
        <v>1643.703982007683</v>
      </c>
      <c r="H28" s="754">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98"/>
      <c r="B29" s="36"/>
      <c r="C29" s="36"/>
      <c r="D29" s="36"/>
      <c r="E29" s="36"/>
      <c r="F29" s="750" t="s">
        <v>795</v>
      </c>
      <c r="G29" s="754">
        <v>328</v>
      </c>
      <c r="H29" s="754">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98"/>
      <c r="B30" s="36"/>
      <c r="C30" s="36"/>
      <c r="D30" s="98"/>
      <c r="E30" s="36"/>
      <c r="F30" s="750" t="s">
        <v>1668</v>
      </c>
      <c r="G30" s="754">
        <v>0</v>
      </c>
      <c r="H30" s="754">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98"/>
      <c r="B31" s="98"/>
      <c r="C31" s="98"/>
      <c r="D31" s="98"/>
      <c r="E31" s="98"/>
      <c r="F31"/>
      <c r="G31" s="755">
        <v>6476.5312699516307</v>
      </c>
      <c r="H31" s="755">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98"/>
      <c r="B32" s="98"/>
      <c r="C32" s="98"/>
      <c r="D32" s="98"/>
      <c r="E32" s="98"/>
      <c r="G32"/>
      <c r="H32"/>
      <c r="I32" s="36"/>
      <c r="J32" s="36"/>
      <c r="K32" s="36"/>
      <c r="L32" s="36"/>
      <c r="M32" s="36"/>
      <c r="N32" s="36"/>
      <c r="O32" s="36"/>
      <c r="P32"/>
      <c r="Q32"/>
      <c r="R32"/>
      <c r="S32"/>
      <c r="T32"/>
      <c r="U32"/>
      <c r="V32" s="98"/>
      <c r="W32" s="98"/>
      <c r="X32" s="98"/>
      <c r="Y32" s="98"/>
      <c r="Z32" s="98"/>
    </row>
    <row r="33" spans="1:305" ht="29.1" customHeight="1" x14ac:dyDescent="0.25">
      <c r="A33" s="98"/>
      <c r="B33" s="727" t="s">
        <v>1270</v>
      </c>
      <c r="C33" s="756" t="s">
        <v>1217</v>
      </c>
      <c r="D33" s="756" t="s">
        <v>1229</v>
      </c>
      <c r="E33" s="757" t="s">
        <v>1677</v>
      </c>
      <c r="F33"/>
      <c r="G33"/>
      <c r="H33"/>
      <c r="I33"/>
      <c r="J33"/>
      <c r="K33"/>
      <c r="L33"/>
      <c r="M33"/>
      <c r="N33"/>
      <c r="O33"/>
      <c r="P33"/>
      <c r="Q33"/>
      <c r="R33"/>
      <c r="S33"/>
      <c r="T33"/>
      <c r="U33"/>
      <c r="V33"/>
      <c r="W33"/>
      <c r="X33"/>
      <c r="Y33"/>
      <c r="Z33"/>
      <c r="AA33" s="738" t="s">
        <v>1706</v>
      </c>
      <c r="AB33" s="738" t="s">
        <v>1707</v>
      </c>
      <c r="AC33" s="738" t="s">
        <v>1708</v>
      </c>
      <c r="AD33" s="738" t="s">
        <v>1709</v>
      </c>
      <c r="AE33" s="738" t="s">
        <v>1710</v>
      </c>
      <c r="AF33" s="738" t="s">
        <v>1711</v>
      </c>
      <c r="AG33" s="727" t="s">
        <v>1730</v>
      </c>
      <c r="AH33" s="738" t="s">
        <v>1731</v>
      </c>
      <c r="AI33" s="738" t="s">
        <v>1732</v>
      </c>
      <c r="AJ33" s="738" t="s">
        <v>1733</v>
      </c>
      <c r="AK33" s="738" t="s">
        <v>1734</v>
      </c>
      <c r="AL33" s="738" t="s">
        <v>1735</v>
      </c>
      <c r="AM33" s="738" t="s">
        <v>1736</v>
      </c>
      <c r="AN33" s="738" t="s">
        <v>1737</v>
      </c>
      <c r="AO33" s="738" t="s">
        <v>1738</v>
      </c>
      <c r="AP33" s="738" t="s">
        <v>1739</v>
      </c>
      <c r="AQ33" s="738" t="s">
        <v>1740</v>
      </c>
      <c r="AR33" s="738" t="s">
        <v>1741</v>
      </c>
      <c r="AS33" s="738" t="s">
        <v>1742</v>
      </c>
      <c r="AT33" s="738" t="s">
        <v>1743</v>
      </c>
      <c r="AU33" s="738" t="s">
        <v>1744</v>
      </c>
      <c r="AV33" s="738" t="s">
        <v>1745</v>
      </c>
      <c r="AW33" s="738" t="s">
        <v>1746</v>
      </c>
      <c r="AX33" s="738" t="s">
        <v>1747</v>
      </c>
      <c r="AY33" s="738" t="s">
        <v>1748</v>
      </c>
      <c r="AZ33" s="738" t="s">
        <v>1749</v>
      </c>
      <c r="BA33" s="738" t="s">
        <v>1750</v>
      </c>
      <c r="BB33" s="738" t="s">
        <v>1751</v>
      </c>
      <c r="BC33" s="738" t="s">
        <v>1752</v>
      </c>
      <c r="BD33" s="738" t="s">
        <v>1753</v>
      </c>
      <c r="BE33" s="738" t="s">
        <v>1754</v>
      </c>
      <c r="BF33" s="738" t="s">
        <v>1755</v>
      </c>
      <c r="BG33" s="738" t="s">
        <v>1756</v>
      </c>
      <c r="BH33" s="738" t="s">
        <v>1757</v>
      </c>
      <c r="BI33" s="738" t="s">
        <v>1758</v>
      </c>
      <c r="BJ33" s="738" t="s">
        <v>1759</v>
      </c>
      <c r="BK33" s="738" t="s">
        <v>1760</v>
      </c>
      <c r="BL33" s="738" t="s">
        <v>1761</v>
      </c>
      <c r="BM33" s="738" t="s">
        <v>1762</v>
      </c>
      <c r="BN33" s="738" t="s">
        <v>1763</v>
      </c>
      <c r="BO33" s="738" t="s">
        <v>1764</v>
      </c>
      <c r="BP33" s="738" t="s">
        <v>1765</v>
      </c>
      <c r="BQ33" s="738" t="s">
        <v>1766</v>
      </c>
      <c r="BR33" s="738" t="s">
        <v>1767</v>
      </c>
      <c r="BS33" s="738" t="s">
        <v>1768</v>
      </c>
      <c r="BT33" s="738" t="s">
        <v>1769</v>
      </c>
      <c r="BU33" s="738" t="s">
        <v>1770</v>
      </c>
      <c r="BV33" s="738" t="s">
        <v>1771</v>
      </c>
      <c r="BW33" s="738" t="s">
        <v>1772</v>
      </c>
      <c r="BX33" s="738" t="s">
        <v>1773</v>
      </c>
      <c r="BY33" s="738" t="s">
        <v>1774</v>
      </c>
      <c r="BZ33" s="738" t="s">
        <v>1775</v>
      </c>
      <c r="CA33" s="738" t="s">
        <v>1776</v>
      </c>
      <c r="CB33" s="738" t="s">
        <v>1777</v>
      </c>
      <c r="CC33" s="738" t="s">
        <v>1778</v>
      </c>
      <c r="CD33" s="738" t="s">
        <v>1779</v>
      </c>
      <c r="CE33" s="738" t="s">
        <v>1780</v>
      </c>
      <c r="CF33" s="738" t="s">
        <v>1781</v>
      </c>
      <c r="CG33" s="738" t="s">
        <v>1782</v>
      </c>
      <c r="CH33" s="738" t="s">
        <v>1783</v>
      </c>
      <c r="CI33" s="738" t="s">
        <v>1784</v>
      </c>
      <c r="CJ33" s="738" t="s">
        <v>1785</v>
      </c>
      <c r="CK33" s="738" t="s">
        <v>1786</v>
      </c>
      <c r="CL33" s="738" t="s">
        <v>1787</v>
      </c>
      <c r="CM33" s="738" t="s">
        <v>1788</v>
      </c>
      <c r="CN33" s="738" t="s">
        <v>1789</v>
      </c>
      <c r="CO33" s="738" t="s">
        <v>1790</v>
      </c>
      <c r="CP33" s="738" t="s">
        <v>1791</v>
      </c>
      <c r="CQ33" s="738" t="s">
        <v>1792</v>
      </c>
      <c r="CR33" s="738" t="s">
        <v>1793</v>
      </c>
      <c r="CS33" s="738" t="s">
        <v>1794</v>
      </c>
      <c r="CT33" s="738" t="s">
        <v>1795</v>
      </c>
      <c r="CU33" s="738" t="s">
        <v>1796</v>
      </c>
      <c r="CV33" s="738" t="s">
        <v>1797</v>
      </c>
      <c r="CW33" s="738" t="s">
        <v>1798</v>
      </c>
      <c r="CX33" s="738" t="s">
        <v>1799</v>
      </c>
      <c r="CY33" s="738" t="s">
        <v>1800</v>
      </c>
      <c r="CZ33" s="738" t="s">
        <v>1801</v>
      </c>
      <c r="DA33" s="738" t="s">
        <v>1802</v>
      </c>
      <c r="DB33" s="738" t="s">
        <v>1803</v>
      </c>
      <c r="DC33" s="738" t="s">
        <v>1804</v>
      </c>
      <c r="DD33" s="738" t="s">
        <v>1805</v>
      </c>
      <c r="DE33" s="738" t="s">
        <v>1806</v>
      </c>
      <c r="DF33" s="738" t="s">
        <v>1807</v>
      </c>
      <c r="DG33" s="738" t="s">
        <v>1808</v>
      </c>
      <c r="DH33" s="738" t="s">
        <v>1809</v>
      </c>
      <c r="DI33" s="738" t="s">
        <v>1810</v>
      </c>
      <c r="DJ33" s="738" t="s">
        <v>1811</v>
      </c>
      <c r="DK33" s="738" t="s">
        <v>1812</v>
      </c>
      <c r="DL33" s="738" t="s">
        <v>1813</v>
      </c>
      <c r="DM33" s="738" t="s">
        <v>1814</v>
      </c>
      <c r="DN33" s="738" t="s">
        <v>1815</v>
      </c>
      <c r="DO33" s="738" t="s">
        <v>1816</v>
      </c>
      <c r="DP33" s="738" t="s">
        <v>1817</v>
      </c>
      <c r="DQ33" s="738" t="s">
        <v>1818</v>
      </c>
      <c r="DR33" s="738" t="s">
        <v>1819</v>
      </c>
      <c r="DS33" s="738" t="s">
        <v>1820</v>
      </c>
      <c r="DT33" s="738" t="s">
        <v>1821</v>
      </c>
      <c r="DU33" s="738" t="s">
        <v>1822</v>
      </c>
      <c r="DV33" s="738" t="s">
        <v>1823</v>
      </c>
      <c r="DW33" s="738" t="s">
        <v>1824</v>
      </c>
      <c r="DX33" s="738" t="s">
        <v>1825</v>
      </c>
      <c r="DY33" s="738" t="s">
        <v>1826</v>
      </c>
      <c r="DZ33" s="738" t="s">
        <v>1827</v>
      </c>
      <c r="EA33" s="738" t="s">
        <v>1828</v>
      </c>
      <c r="EB33" s="738" t="s">
        <v>1829</v>
      </c>
      <c r="EC33" s="738" t="s">
        <v>1830</v>
      </c>
      <c r="ED33" s="738" t="s">
        <v>1831</v>
      </c>
      <c r="EE33" s="738" t="s">
        <v>1832</v>
      </c>
      <c r="EF33" s="738" t="s">
        <v>1833</v>
      </c>
      <c r="EG33" s="738" t="s">
        <v>1834</v>
      </c>
      <c r="EH33" s="738" t="s">
        <v>1835</v>
      </c>
      <c r="EI33" s="738" t="s">
        <v>1836</v>
      </c>
      <c r="EJ33" s="738" t="s">
        <v>1837</v>
      </c>
      <c r="EK33" s="738" t="s">
        <v>1838</v>
      </c>
      <c r="EL33" s="738" t="s">
        <v>1839</v>
      </c>
      <c r="EM33" s="738" t="s">
        <v>1840</v>
      </c>
      <c r="EN33" s="738" t="s">
        <v>1841</v>
      </c>
      <c r="EO33" s="738" t="s">
        <v>1842</v>
      </c>
      <c r="EP33" s="738" t="s">
        <v>1843</v>
      </c>
      <c r="EQ33" s="738" t="s">
        <v>1844</v>
      </c>
      <c r="ER33" s="738" t="s">
        <v>1845</v>
      </c>
      <c r="ES33" s="738" t="s">
        <v>1846</v>
      </c>
      <c r="ET33" s="738" t="s">
        <v>1847</v>
      </c>
      <c r="EU33" s="738" t="s">
        <v>1848</v>
      </c>
      <c r="EV33" s="738" t="s">
        <v>1849</v>
      </c>
      <c r="EW33" s="738" t="s">
        <v>1850</v>
      </c>
      <c r="EX33" s="738" t="s">
        <v>1851</v>
      </c>
      <c r="EY33" s="738" t="s">
        <v>1852</v>
      </c>
      <c r="EZ33" s="738" t="s">
        <v>1853</v>
      </c>
      <c r="FA33" s="738" t="s">
        <v>1854</v>
      </c>
      <c r="FB33" s="738" t="s">
        <v>1855</v>
      </c>
      <c r="FC33" s="738" t="s">
        <v>1856</v>
      </c>
      <c r="FD33" s="738" t="s">
        <v>1857</v>
      </c>
      <c r="FE33" s="738" t="s">
        <v>1858</v>
      </c>
      <c r="FF33" s="738" t="s">
        <v>1859</v>
      </c>
      <c r="FG33" s="738" t="s">
        <v>1860</v>
      </c>
      <c r="FH33" s="738" t="s">
        <v>1861</v>
      </c>
      <c r="FI33" s="738" t="s">
        <v>1862</v>
      </c>
      <c r="FJ33" s="738" t="s">
        <v>1863</v>
      </c>
      <c r="FK33" s="738" t="s">
        <v>1864</v>
      </c>
      <c r="FL33" s="738" t="s">
        <v>1865</v>
      </c>
      <c r="FM33" s="738" t="s">
        <v>1866</v>
      </c>
      <c r="FN33" s="738" t="s">
        <v>1867</v>
      </c>
      <c r="FO33" s="738" t="s">
        <v>1868</v>
      </c>
      <c r="FP33" s="738" t="s">
        <v>1869</v>
      </c>
      <c r="FQ33" s="738" t="s">
        <v>1870</v>
      </c>
      <c r="FR33" s="738" t="s">
        <v>1871</v>
      </c>
      <c r="FS33" s="738" t="s">
        <v>1872</v>
      </c>
      <c r="FT33" s="738" t="s">
        <v>1873</v>
      </c>
      <c r="FU33" s="738" t="s">
        <v>1874</v>
      </c>
      <c r="FV33" s="738" t="s">
        <v>1875</v>
      </c>
      <c r="FW33" s="738" t="s">
        <v>1876</v>
      </c>
      <c r="FX33" s="738" t="s">
        <v>1877</v>
      </c>
      <c r="FY33" s="738" t="s">
        <v>1878</v>
      </c>
      <c r="FZ33" s="738" t="s">
        <v>1879</v>
      </c>
      <c r="GA33" s="738" t="s">
        <v>1880</v>
      </c>
      <c r="GB33" s="738" t="s">
        <v>1881</v>
      </c>
      <c r="GC33" s="738" t="s">
        <v>1882</v>
      </c>
      <c r="GD33" s="738" t="s">
        <v>1883</v>
      </c>
      <c r="GE33" s="738" t="s">
        <v>1884</v>
      </c>
      <c r="GF33" s="738" t="s">
        <v>1885</v>
      </c>
      <c r="GG33" s="738" t="s">
        <v>1886</v>
      </c>
      <c r="GH33" s="738" t="s">
        <v>1887</v>
      </c>
      <c r="GI33" s="738" t="s">
        <v>1888</v>
      </c>
      <c r="GJ33" s="738" t="s">
        <v>1889</v>
      </c>
      <c r="GK33" s="738" t="s">
        <v>1890</v>
      </c>
      <c r="GL33" s="738" t="s">
        <v>1891</v>
      </c>
      <c r="GM33" s="738" t="s">
        <v>1892</v>
      </c>
      <c r="GN33" s="738" t="s">
        <v>1893</v>
      </c>
      <c r="GO33" s="738" t="s">
        <v>1894</v>
      </c>
      <c r="GP33" s="738" t="s">
        <v>1895</v>
      </c>
      <c r="GQ33" s="738" t="s">
        <v>1896</v>
      </c>
      <c r="GR33" s="738" t="s">
        <v>1897</v>
      </c>
      <c r="GS33" s="738" t="s">
        <v>1898</v>
      </c>
      <c r="GT33" s="738" t="s">
        <v>1899</v>
      </c>
      <c r="GU33" s="738" t="s">
        <v>1900</v>
      </c>
      <c r="GV33" s="738" t="s">
        <v>1901</v>
      </c>
      <c r="GW33" s="738" t="s">
        <v>1902</v>
      </c>
      <c r="GX33" s="738" t="s">
        <v>1903</v>
      </c>
      <c r="GY33" s="738" t="s">
        <v>1904</v>
      </c>
      <c r="GZ33" s="738" t="s">
        <v>1905</v>
      </c>
      <c r="HA33" s="738" t="s">
        <v>1906</v>
      </c>
      <c r="HB33" s="738" t="s">
        <v>1907</v>
      </c>
      <c r="HC33" s="738" t="s">
        <v>1908</v>
      </c>
      <c r="HD33" s="738" t="s">
        <v>1909</v>
      </c>
      <c r="HE33" s="738" t="s">
        <v>1910</v>
      </c>
      <c r="HF33" s="738" t="s">
        <v>1911</v>
      </c>
      <c r="HG33" s="738" t="s">
        <v>1912</v>
      </c>
      <c r="HH33" s="738" t="s">
        <v>1913</v>
      </c>
      <c r="HI33" s="738" t="s">
        <v>1914</v>
      </c>
      <c r="HJ33" s="738" t="s">
        <v>1915</v>
      </c>
      <c r="HK33" s="738" t="s">
        <v>1916</v>
      </c>
      <c r="HL33" s="738" t="s">
        <v>1917</v>
      </c>
      <c r="HM33" s="738" t="s">
        <v>1918</v>
      </c>
      <c r="HN33" s="738" t="s">
        <v>1919</v>
      </c>
      <c r="HO33" s="738" t="s">
        <v>1920</v>
      </c>
      <c r="HP33" s="738" t="s">
        <v>1921</v>
      </c>
      <c r="HQ33" s="738" t="s">
        <v>1922</v>
      </c>
      <c r="HR33" s="738" t="s">
        <v>1923</v>
      </c>
      <c r="HS33" s="738" t="s">
        <v>1924</v>
      </c>
      <c r="HT33" s="738" t="s">
        <v>1925</v>
      </c>
      <c r="HU33" s="738" t="s">
        <v>1926</v>
      </c>
      <c r="HV33" s="738" t="s">
        <v>1927</v>
      </c>
      <c r="HW33" s="738" t="s">
        <v>1928</v>
      </c>
      <c r="HX33" s="738" t="s">
        <v>1929</v>
      </c>
      <c r="HY33" s="738" t="s">
        <v>1930</v>
      </c>
      <c r="HZ33" s="738" t="s">
        <v>1931</v>
      </c>
      <c r="IA33" s="738" t="s">
        <v>1932</v>
      </c>
      <c r="IB33" s="738" t="s">
        <v>1933</v>
      </c>
      <c r="IC33" s="738" t="s">
        <v>1934</v>
      </c>
      <c r="ID33" s="738" t="s">
        <v>1935</v>
      </c>
      <c r="IE33" s="738" t="s">
        <v>1936</v>
      </c>
      <c r="IF33" s="738" t="s">
        <v>1937</v>
      </c>
      <c r="IG33" s="738" t="s">
        <v>1938</v>
      </c>
      <c r="IH33" s="738" t="s">
        <v>1939</v>
      </c>
      <c r="II33" s="738" t="s">
        <v>1940</v>
      </c>
      <c r="IJ33" s="738" t="s">
        <v>1941</v>
      </c>
      <c r="IK33" s="738" t="s">
        <v>1942</v>
      </c>
      <c r="IL33" s="738" t="s">
        <v>1943</v>
      </c>
      <c r="IM33" s="738" t="s">
        <v>1944</v>
      </c>
      <c r="IN33" s="738" t="s">
        <v>1945</v>
      </c>
      <c r="IO33" s="738" t="s">
        <v>1946</v>
      </c>
      <c r="IP33" s="738" t="s">
        <v>1947</v>
      </c>
      <c r="IQ33" s="738" t="s">
        <v>1948</v>
      </c>
      <c r="IR33" s="738" t="s">
        <v>1949</v>
      </c>
      <c r="IS33" s="738" t="s">
        <v>1950</v>
      </c>
      <c r="IT33" s="738" t="s">
        <v>1951</v>
      </c>
      <c r="IU33" s="738" t="s">
        <v>1952</v>
      </c>
      <c r="IV33" s="738" t="s">
        <v>1953</v>
      </c>
      <c r="IW33" s="738" t="s">
        <v>1954</v>
      </c>
      <c r="IX33" s="738" t="s">
        <v>1955</v>
      </c>
      <c r="IY33" s="738" t="s">
        <v>1956</v>
      </c>
      <c r="IZ33" s="738" t="s">
        <v>1957</v>
      </c>
      <c r="JA33" s="738" t="s">
        <v>1958</v>
      </c>
      <c r="JB33" s="738" t="s">
        <v>1959</v>
      </c>
      <c r="JC33" s="738" t="s">
        <v>1960</v>
      </c>
      <c r="JD33" s="738" t="s">
        <v>1961</v>
      </c>
      <c r="JE33" s="738" t="s">
        <v>1962</v>
      </c>
      <c r="JF33" s="738" t="s">
        <v>1963</v>
      </c>
      <c r="JG33" s="738" t="s">
        <v>1964</v>
      </c>
      <c r="JH33" s="738" t="s">
        <v>1965</v>
      </c>
      <c r="JI33" s="738" t="s">
        <v>1966</v>
      </c>
      <c r="JJ33" s="738" t="s">
        <v>1967</v>
      </c>
      <c r="JK33" s="738" t="s">
        <v>1968</v>
      </c>
      <c r="JL33" s="738" t="s">
        <v>1969</v>
      </c>
      <c r="JM33" s="738" t="s">
        <v>1970</v>
      </c>
      <c r="JN33" s="738" t="s">
        <v>1971</v>
      </c>
      <c r="JO33" s="738" t="s">
        <v>1972</v>
      </c>
      <c r="JP33" s="738" t="s">
        <v>1973</v>
      </c>
      <c r="JQ33" s="738" t="s">
        <v>1974</v>
      </c>
      <c r="JR33" s="738" t="s">
        <v>1975</v>
      </c>
      <c r="JS33" s="738" t="s">
        <v>1976</v>
      </c>
      <c r="JT33" s="738" t="s">
        <v>1977</v>
      </c>
      <c r="JU33" s="738" t="s">
        <v>1978</v>
      </c>
      <c r="JV33" s="738" t="s">
        <v>1979</v>
      </c>
      <c r="JW33" s="738" t="s">
        <v>1980</v>
      </c>
      <c r="JX33" s="738" t="s">
        <v>1981</v>
      </c>
      <c r="JY33" s="738" t="s">
        <v>1982</v>
      </c>
      <c r="JZ33" s="738" t="s">
        <v>1983</v>
      </c>
      <c r="KA33" s="738" t="s">
        <v>1984</v>
      </c>
      <c r="KB33" s="738" t="s">
        <v>1985</v>
      </c>
      <c r="KC33" s="738" t="s">
        <v>1986</v>
      </c>
      <c r="KD33" s="738" t="s">
        <v>1987</v>
      </c>
      <c r="KE33" s="738" t="s">
        <v>1988</v>
      </c>
      <c r="KF33" s="738" t="s">
        <v>1989</v>
      </c>
      <c r="KG33" s="738" t="s">
        <v>1990</v>
      </c>
      <c r="KH33" s="738" t="s">
        <v>1991</v>
      </c>
      <c r="KI33" s="738" t="s">
        <v>1992</v>
      </c>
      <c r="KJ33" s="738" t="s">
        <v>1993</v>
      </c>
      <c r="KK33" s="738" t="s">
        <v>1994</v>
      </c>
      <c r="KL33" s="738" t="s">
        <v>1995</v>
      </c>
      <c r="KM33" s="738" t="s">
        <v>1996</v>
      </c>
      <c r="KN33" s="738" t="s">
        <v>1997</v>
      </c>
      <c r="KO33" s="738" t="s">
        <v>1998</v>
      </c>
      <c r="KP33" s="738" t="s">
        <v>1999</v>
      </c>
      <c r="KQ33" s="741" t="s">
        <v>1677</v>
      </c>
    </row>
    <row r="34" spans="1:305" ht="29.1" customHeight="1" x14ac:dyDescent="0.25">
      <c r="A34" s="98"/>
      <c r="B34" s="727" t="s">
        <v>1268</v>
      </c>
      <c r="C34" s="742">
        <v>8448.2352519593005</v>
      </c>
      <c r="D34" s="742"/>
      <c r="E34" s="739">
        <v>1551.7647480410001</v>
      </c>
      <c r="F34"/>
      <c r="G34"/>
      <c r="H34"/>
      <c r="I34"/>
      <c r="J34"/>
      <c r="K34"/>
      <c r="L34"/>
      <c r="M34"/>
      <c r="N34"/>
      <c r="O34"/>
      <c r="P34"/>
      <c r="Q34"/>
      <c r="R34"/>
      <c r="S34"/>
      <c r="T34"/>
      <c r="U34"/>
      <c r="V34"/>
      <c r="W34"/>
      <c r="X34"/>
      <c r="Y34"/>
      <c r="Z34"/>
      <c r="AA34" s="743"/>
      <c r="AB34" s="743"/>
      <c r="AC34" s="743"/>
      <c r="AD34" s="743"/>
      <c r="AE34" s="743"/>
      <c r="AF34" s="743"/>
      <c r="AG34" s="742"/>
      <c r="AH34" s="743"/>
      <c r="AI34" s="743"/>
      <c r="AJ34" s="743"/>
      <c r="AK34" s="743"/>
      <c r="AL34" s="743"/>
      <c r="AM34" s="743"/>
      <c r="AN34" s="743"/>
      <c r="AO34" s="743"/>
      <c r="AP34" s="743"/>
      <c r="AQ34" s="743"/>
      <c r="AR34" s="743"/>
      <c r="AS34" s="743"/>
      <c r="AT34" s="743"/>
      <c r="AU34" s="743"/>
      <c r="AV34" s="743"/>
      <c r="AW34" s="743"/>
      <c r="AX34" s="743"/>
      <c r="AY34" s="743"/>
      <c r="AZ34" s="743">
        <v>10608.5621537718</v>
      </c>
      <c r="BA34" s="743"/>
      <c r="BB34" s="743"/>
      <c r="BC34" s="743"/>
      <c r="BD34" s="743"/>
      <c r="BE34" s="743"/>
      <c r="BF34" s="743"/>
      <c r="BG34" s="743"/>
      <c r="BH34" s="743"/>
      <c r="BI34" s="743"/>
      <c r="BJ34" s="743"/>
      <c r="BK34" s="743"/>
      <c r="BL34" s="743"/>
      <c r="BM34" s="743"/>
      <c r="BN34" s="743"/>
      <c r="BO34" s="743"/>
      <c r="BP34" s="743"/>
      <c r="BQ34" s="743"/>
      <c r="BR34" s="743"/>
      <c r="BS34" s="743"/>
      <c r="BT34" s="743"/>
      <c r="BU34" s="743"/>
      <c r="BV34" s="743"/>
      <c r="BW34" s="743"/>
      <c r="BX34" s="743"/>
      <c r="BY34" s="743"/>
      <c r="BZ34" s="743"/>
      <c r="CA34" s="743"/>
      <c r="CB34" s="743"/>
      <c r="CC34" s="743"/>
      <c r="CD34" s="743"/>
      <c r="CE34" s="743"/>
      <c r="CF34" s="743"/>
      <c r="CG34" s="743"/>
      <c r="CH34" s="743"/>
      <c r="CI34" s="743"/>
      <c r="CJ34" s="743"/>
      <c r="CK34" s="743"/>
      <c r="CL34" s="743"/>
      <c r="CM34" s="743"/>
      <c r="CN34" s="743"/>
      <c r="CO34" s="743"/>
      <c r="CP34" s="743"/>
      <c r="CQ34" s="743"/>
      <c r="CR34" s="743"/>
      <c r="CS34" s="743"/>
      <c r="CT34" s="743"/>
      <c r="CU34" s="743"/>
      <c r="CV34" s="743"/>
      <c r="CW34" s="743"/>
      <c r="CX34" s="743">
        <v>656</v>
      </c>
      <c r="CY34" s="743"/>
      <c r="CZ34" s="743"/>
      <c r="DA34" s="743"/>
      <c r="DB34" s="743"/>
      <c r="DC34" s="743"/>
      <c r="DD34" s="743"/>
      <c r="DE34" s="743"/>
      <c r="DF34" s="743"/>
      <c r="DG34" s="743"/>
      <c r="DH34" s="743"/>
      <c r="DI34" s="743"/>
      <c r="DJ34" s="743"/>
      <c r="DK34" s="743"/>
      <c r="DL34" s="743"/>
      <c r="DM34" s="743"/>
      <c r="DN34" s="743"/>
      <c r="DO34" s="743"/>
      <c r="DP34" s="743"/>
      <c r="DQ34" s="743"/>
      <c r="DR34" s="743"/>
      <c r="DS34" s="743"/>
      <c r="DT34" s="743"/>
      <c r="DU34" s="743"/>
      <c r="DV34" s="743"/>
      <c r="DW34" s="743"/>
      <c r="DX34" s="743"/>
      <c r="DY34" s="743"/>
      <c r="DZ34" s="743"/>
      <c r="EA34" s="743"/>
      <c r="EB34" s="743"/>
      <c r="EC34" s="743"/>
      <c r="ED34" s="743"/>
      <c r="EE34" s="743"/>
      <c r="EF34" s="743"/>
      <c r="EG34" s="743"/>
      <c r="EH34" s="743"/>
      <c r="EI34" s="743"/>
      <c r="EJ34" s="743"/>
      <c r="EK34" s="743"/>
      <c r="EL34" s="743"/>
      <c r="EM34" s="743"/>
      <c r="EN34" s="743"/>
      <c r="EO34" s="743"/>
      <c r="EP34" s="743"/>
      <c r="EQ34" s="743"/>
      <c r="ER34" s="743"/>
      <c r="ES34" s="743"/>
      <c r="ET34" s="743"/>
      <c r="EU34" s="743"/>
      <c r="EV34" s="743">
        <v>656</v>
      </c>
      <c r="EW34" s="743"/>
      <c r="EX34" s="743"/>
      <c r="EY34" s="743"/>
      <c r="EZ34" s="743"/>
      <c r="FA34" s="743"/>
      <c r="FB34" s="743"/>
      <c r="FC34" s="743"/>
      <c r="FD34" s="743"/>
      <c r="FE34" s="743"/>
      <c r="FF34" s="743"/>
      <c r="FG34" s="743"/>
      <c r="FH34" s="743"/>
      <c r="FI34" s="743"/>
      <c r="FJ34" s="743"/>
      <c r="FK34" s="743"/>
      <c r="FL34" s="743"/>
      <c r="FM34" s="743"/>
      <c r="FN34" s="743"/>
      <c r="FO34" s="743"/>
      <c r="FP34" s="743"/>
      <c r="FQ34" s="743"/>
      <c r="FR34" s="743"/>
      <c r="FS34" s="743"/>
      <c r="FT34" s="743"/>
      <c r="FU34" s="743"/>
      <c r="FV34" s="743"/>
      <c r="FW34" s="743"/>
      <c r="FX34" s="743"/>
      <c r="FY34" s="743"/>
      <c r="FZ34" s="743"/>
      <c r="GA34" s="743"/>
      <c r="GB34" s="743"/>
      <c r="GC34" s="743"/>
      <c r="GD34" s="743"/>
      <c r="GE34" s="743"/>
      <c r="GF34" s="743"/>
      <c r="GG34" s="743"/>
      <c r="GH34" s="743"/>
      <c r="GI34" s="743"/>
      <c r="GJ34" s="743"/>
      <c r="GK34" s="743"/>
      <c r="GL34" s="743"/>
      <c r="GM34" s="743"/>
      <c r="GN34" s="743"/>
      <c r="GO34" s="743"/>
      <c r="GP34" s="743"/>
      <c r="GQ34" s="743"/>
      <c r="GR34" s="743"/>
      <c r="GS34" s="743"/>
      <c r="GT34" s="743">
        <v>656</v>
      </c>
      <c r="GU34" s="743"/>
      <c r="GV34" s="743"/>
      <c r="GW34" s="743"/>
      <c r="GX34" s="743"/>
      <c r="GY34" s="743"/>
      <c r="GZ34" s="743"/>
      <c r="HA34" s="743"/>
      <c r="HB34" s="743"/>
      <c r="HC34" s="743"/>
      <c r="HD34" s="743"/>
      <c r="HE34" s="743"/>
      <c r="HF34" s="743"/>
      <c r="HG34" s="743"/>
      <c r="HH34" s="743"/>
      <c r="HI34" s="743"/>
      <c r="HJ34" s="743"/>
      <c r="HK34" s="743"/>
      <c r="HL34" s="743"/>
      <c r="HM34" s="743"/>
      <c r="HN34" s="743"/>
      <c r="HO34" s="743"/>
      <c r="HP34" s="743"/>
      <c r="HQ34" s="743"/>
      <c r="HR34" s="743"/>
      <c r="HS34" s="743"/>
      <c r="HT34" s="743"/>
      <c r="HU34" s="743"/>
      <c r="HV34" s="743"/>
      <c r="HW34" s="743"/>
      <c r="HX34" s="743"/>
      <c r="HY34" s="743"/>
      <c r="HZ34" s="743"/>
      <c r="IA34" s="743"/>
      <c r="IB34" s="743"/>
      <c r="IC34" s="743"/>
      <c r="ID34" s="743"/>
      <c r="IE34" s="743"/>
      <c r="IF34" s="743"/>
      <c r="IG34" s="743"/>
      <c r="IH34" s="743"/>
      <c r="II34" s="743"/>
      <c r="IJ34" s="743"/>
      <c r="IK34" s="743"/>
      <c r="IL34" s="743"/>
      <c r="IM34" s="743"/>
      <c r="IN34" s="743"/>
      <c r="IO34" s="743"/>
      <c r="IP34" s="743"/>
      <c r="IQ34" s="743"/>
      <c r="IR34" s="743">
        <v>656</v>
      </c>
      <c r="IS34" s="743"/>
      <c r="IT34" s="743"/>
      <c r="IU34" s="743"/>
      <c r="IV34" s="743"/>
      <c r="IW34" s="743"/>
      <c r="IX34" s="743"/>
      <c r="IY34" s="743"/>
      <c r="IZ34" s="743"/>
      <c r="JA34" s="743"/>
      <c r="JB34" s="743"/>
      <c r="JC34" s="743"/>
      <c r="JD34" s="743"/>
      <c r="JE34" s="743"/>
      <c r="JF34" s="743"/>
      <c r="JG34" s="743"/>
      <c r="JH34" s="743"/>
      <c r="JI34" s="743"/>
      <c r="JJ34" s="743"/>
      <c r="JK34" s="743"/>
      <c r="JL34" s="743"/>
      <c r="JM34" s="743"/>
      <c r="JN34" s="743"/>
      <c r="JO34" s="743"/>
      <c r="JP34" s="743"/>
      <c r="JQ34" s="743"/>
      <c r="JR34" s="743"/>
      <c r="JS34" s="743"/>
      <c r="JT34" s="743"/>
      <c r="JU34" s="743"/>
      <c r="JV34" s="743"/>
      <c r="JW34" s="743"/>
      <c r="JX34" s="743"/>
      <c r="JY34" s="743"/>
      <c r="JZ34" s="743"/>
      <c r="KA34" s="743"/>
      <c r="KB34" s="743"/>
      <c r="KC34" s="743"/>
      <c r="KD34" s="743"/>
      <c r="KE34" s="743"/>
      <c r="KF34" s="743"/>
      <c r="KG34" s="743"/>
      <c r="KH34" s="743"/>
      <c r="KI34" s="743"/>
      <c r="KJ34" s="743"/>
      <c r="KK34" s="743"/>
      <c r="KL34" s="743"/>
      <c r="KM34" s="743"/>
      <c r="KN34" s="743"/>
      <c r="KO34" s="743"/>
      <c r="KP34" s="743">
        <v>656</v>
      </c>
      <c r="KQ34" s="740">
        <v>-3888.5621537719999</v>
      </c>
    </row>
    <row r="35" spans="1:305" ht="29.1" customHeight="1" x14ac:dyDescent="0.25">
      <c r="A35" s="98"/>
      <c r="B35" s="738" t="s">
        <v>1270</v>
      </c>
      <c r="C35" s="743">
        <v>328</v>
      </c>
      <c r="D35" s="743">
        <v>8120.2352519592996</v>
      </c>
      <c r="E35" s="739">
        <v>1551.7647480410001</v>
      </c>
      <c r="F35"/>
      <c r="G35"/>
      <c r="H35"/>
      <c r="I35"/>
      <c r="J35"/>
      <c r="K35"/>
      <c r="L35"/>
      <c r="M35"/>
      <c r="N35"/>
      <c r="O35"/>
      <c r="P35"/>
      <c r="Q35"/>
      <c r="R35"/>
      <c r="S35"/>
      <c r="T35"/>
      <c r="U35"/>
      <c r="V35"/>
      <c r="W35"/>
      <c r="X35"/>
      <c r="Y35"/>
      <c r="Z35"/>
      <c r="AA35" s="743"/>
      <c r="AB35" s="743"/>
      <c r="AC35" s="743"/>
      <c r="AD35" s="743"/>
      <c r="AE35" s="743"/>
      <c r="AF35" s="743"/>
      <c r="AG35" s="742"/>
      <c r="AH35" s="743"/>
      <c r="AI35" s="743"/>
      <c r="AJ35" s="743"/>
      <c r="AK35" s="743"/>
      <c r="AL35" s="743"/>
      <c r="AM35" s="743"/>
      <c r="AN35" s="743"/>
      <c r="AO35" s="743"/>
      <c r="AP35" s="743"/>
      <c r="AQ35" s="743"/>
      <c r="AR35" s="743"/>
      <c r="AS35" s="743"/>
      <c r="AT35" s="743"/>
      <c r="AU35" s="743"/>
      <c r="AV35" s="743"/>
      <c r="AW35" s="743"/>
      <c r="AX35" s="743"/>
      <c r="AY35" s="743"/>
      <c r="AZ35" s="743">
        <v>9952.5621537717998</v>
      </c>
      <c r="BA35" s="743"/>
      <c r="BB35" s="743"/>
      <c r="BC35" s="743"/>
      <c r="BD35" s="743"/>
      <c r="BE35" s="743"/>
      <c r="BF35" s="743"/>
      <c r="BG35" s="743"/>
      <c r="BH35" s="743"/>
      <c r="BI35" s="743"/>
      <c r="BJ35" s="743"/>
      <c r="BK35" s="743"/>
      <c r="BL35" s="743"/>
      <c r="BM35" s="743"/>
      <c r="BN35" s="743"/>
      <c r="BO35" s="743"/>
      <c r="BP35" s="743"/>
      <c r="BQ35" s="743"/>
      <c r="BR35" s="743"/>
      <c r="BS35" s="743"/>
      <c r="BT35" s="743"/>
      <c r="BU35" s="743"/>
      <c r="BV35" s="743"/>
      <c r="BW35" s="743"/>
      <c r="BX35" s="743"/>
      <c r="BY35" s="743"/>
      <c r="BZ35" s="743"/>
      <c r="CA35" s="743"/>
      <c r="CB35" s="743"/>
      <c r="CC35" s="743"/>
      <c r="CD35" s="743"/>
      <c r="CE35" s="743"/>
      <c r="CF35" s="743"/>
      <c r="CG35" s="743"/>
      <c r="CH35" s="743"/>
      <c r="CI35" s="743"/>
      <c r="CJ35" s="743"/>
      <c r="CK35" s="743"/>
      <c r="CL35" s="743"/>
      <c r="CM35" s="743"/>
      <c r="CN35" s="743"/>
      <c r="CO35" s="743"/>
      <c r="CP35" s="743"/>
      <c r="CQ35" s="743"/>
      <c r="CR35" s="743"/>
      <c r="CS35" s="743"/>
      <c r="CT35" s="743"/>
      <c r="CU35" s="743"/>
      <c r="CV35" s="743"/>
      <c r="CW35" s="743"/>
      <c r="CX35" s="743"/>
      <c r="CY35" s="743"/>
      <c r="CZ35" s="743"/>
      <c r="DA35" s="743"/>
      <c r="DB35" s="743"/>
      <c r="DC35" s="743"/>
      <c r="DD35" s="743"/>
      <c r="DE35" s="743"/>
      <c r="DF35" s="743"/>
      <c r="DG35" s="743"/>
      <c r="DH35" s="743"/>
      <c r="DI35" s="743"/>
      <c r="DJ35" s="743"/>
      <c r="DK35" s="743"/>
      <c r="DL35" s="743"/>
      <c r="DM35" s="743"/>
      <c r="DN35" s="743"/>
      <c r="DO35" s="743"/>
      <c r="DP35" s="743"/>
      <c r="DQ35" s="743"/>
      <c r="DR35" s="743"/>
      <c r="DS35" s="743"/>
      <c r="DT35" s="743"/>
      <c r="DU35" s="743"/>
      <c r="DV35" s="743"/>
      <c r="DW35" s="743"/>
      <c r="DX35" s="743"/>
      <c r="DY35" s="743"/>
      <c r="DZ35" s="743"/>
      <c r="EA35" s="743"/>
      <c r="EB35" s="743"/>
      <c r="EC35" s="743"/>
      <c r="ED35" s="743"/>
      <c r="EE35" s="743"/>
      <c r="EF35" s="743"/>
      <c r="EG35" s="743"/>
      <c r="EH35" s="743"/>
      <c r="EI35" s="743"/>
      <c r="EJ35" s="743"/>
      <c r="EK35" s="743"/>
      <c r="EL35" s="743"/>
      <c r="EM35" s="743"/>
      <c r="EN35" s="743"/>
      <c r="EO35" s="743"/>
      <c r="EP35" s="743"/>
      <c r="EQ35" s="743"/>
      <c r="ER35" s="743"/>
      <c r="ES35" s="743"/>
      <c r="ET35" s="743"/>
      <c r="EU35" s="743"/>
      <c r="EV35" s="743"/>
      <c r="EW35" s="743"/>
      <c r="EX35" s="743"/>
      <c r="EY35" s="743"/>
      <c r="EZ35" s="743"/>
      <c r="FA35" s="743"/>
      <c r="FB35" s="743"/>
      <c r="FC35" s="743"/>
      <c r="FD35" s="743"/>
      <c r="FE35" s="743"/>
      <c r="FF35" s="743"/>
      <c r="FG35" s="743"/>
      <c r="FH35" s="743"/>
      <c r="FI35" s="743"/>
      <c r="FJ35" s="743"/>
      <c r="FK35" s="743"/>
      <c r="FL35" s="743"/>
      <c r="FM35" s="743"/>
      <c r="FN35" s="743"/>
      <c r="FO35" s="743"/>
      <c r="FP35" s="743"/>
      <c r="FQ35" s="743"/>
      <c r="FR35" s="743"/>
      <c r="FS35" s="743"/>
      <c r="FT35" s="743"/>
      <c r="FU35" s="743"/>
      <c r="FV35" s="743"/>
      <c r="FW35" s="743"/>
      <c r="FX35" s="743"/>
      <c r="FY35" s="743"/>
      <c r="FZ35" s="743"/>
      <c r="GA35" s="743"/>
      <c r="GB35" s="743"/>
      <c r="GC35" s="743"/>
      <c r="GD35" s="743"/>
      <c r="GE35" s="743"/>
      <c r="GF35" s="743"/>
      <c r="GG35" s="743"/>
      <c r="GH35" s="743"/>
      <c r="GI35" s="743"/>
      <c r="GJ35" s="743"/>
      <c r="GK35" s="743"/>
      <c r="GL35" s="743"/>
      <c r="GM35" s="743"/>
      <c r="GN35" s="743"/>
      <c r="GO35" s="743"/>
      <c r="GP35" s="743"/>
      <c r="GQ35" s="743"/>
      <c r="GR35" s="743"/>
      <c r="GS35" s="743"/>
      <c r="GT35" s="743"/>
      <c r="GU35" s="743"/>
      <c r="GV35" s="743"/>
      <c r="GW35" s="743"/>
      <c r="GX35" s="743"/>
      <c r="GY35" s="743"/>
      <c r="GZ35" s="743"/>
      <c r="HA35" s="743"/>
      <c r="HB35" s="743"/>
      <c r="HC35" s="743"/>
      <c r="HD35" s="743"/>
      <c r="HE35" s="743"/>
      <c r="HF35" s="743"/>
      <c r="HG35" s="743"/>
      <c r="HH35" s="743"/>
      <c r="HI35" s="743"/>
      <c r="HJ35" s="743"/>
      <c r="HK35" s="743"/>
      <c r="HL35" s="743"/>
      <c r="HM35" s="743"/>
      <c r="HN35" s="743"/>
      <c r="HO35" s="743"/>
      <c r="HP35" s="743"/>
      <c r="HQ35" s="743"/>
      <c r="HR35" s="743"/>
      <c r="HS35" s="743"/>
      <c r="HT35" s="743"/>
      <c r="HU35" s="743"/>
      <c r="HV35" s="743"/>
      <c r="HW35" s="743"/>
      <c r="HX35" s="743"/>
      <c r="HY35" s="743"/>
      <c r="HZ35" s="743"/>
      <c r="IA35" s="743"/>
      <c r="IB35" s="743"/>
      <c r="IC35" s="743"/>
      <c r="ID35" s="743"/>
      <c r="IE35" s="743"/>
      <c r="IF35" s="743"/>
      <c r="IG35" s="743"/>
      <c r="IH35" s="743"/>
      <c r="II35" s="743"/>
      <c r="IJ35" s="743"/>
      <c r="IK35" s="743"/>
      <c r="IL35" s="743"/>
      <c r="IM35" s="743"/>
      <c r="IN35" s="743"/>
      <c r="IO35" s="743"/>
      <c r="IP35" s="743"/>
      <c r="IQ35" s="743"/>
      <c r="IR35" s="743"/>
      <c r="IS35" s="743"/>
      <c r="IT35" s="743"/>
      <c r="IU35" s="743"/>
      <c r="IV35" s="743"/>
      <c r="IW35" s="743"/>
      <c r="IX35" s="743"/>
      <c r="IY35" s="743"/>
      <c r="IZ35" s="743"/>
      <c r="JA35" s="743"/>
      <c r="JB35" s="743"/>
      <c r="JC35" s="743"/>
      <c r="JD35" s="743"/>
      <c r="JE35" s="743"/>
      <c r="JF35" s="743"/>
      <c r="JG35" s="743"/>
      <c r="JH35" s="743"/>
      <c r="JI35" s="743"/>
      <c r="JJ35" s="743"/>
      <c r="JK35" s="743"/>
      <c r="JL35" s="743"/>
      <c r="JM35" s="743"/>
      <c r="JN35" s="743"/>
      <c r="JO35" s="743"/>
      <c r="JP35" s="743"/>
      <c r="JQ35" s="743"/>
      <c r="JR35" s="743"/>
      <c r="JS35" s="743"/>
      <c r="JT35" s="743"/>
      <c r="JU35" s="743"/>
      <c r="JV35" s="743"/>
      <c r="JW35" s="743"/>
      <c r="JX35" s="743"/>
      <c r="JY35" s="743"/>
      <c r="JZ35" s="743"/>
      <c r="KA35" s="743"/>
      <c r="KB35" s="743"/>
      <c r="KC35" s="743"/>
      <c r="KD35" s="743"/>
      <c r="KE35" s="743"/>
      <c r="KF35" s="743"/>
      <c r="KG35" s="743"/>
      <c r="KH35" s="743"/>
      <c r="KI35" s="743"/>
      <c r="KJ35" s="743"/>
      <c r="KK35" s="743"/>
      <c r="KL35" s="743"/>
      <c r="KM35" s="743"/>
      <c r="KN35" s="743"/>
      <c r="KO35" s="743"/>
      <c r="KP35" s="743"/>
      <c r="KQ35" s="739">
        <v>47.437846227999998</v>
      </c>
    </row>
    <row r="36" spans="1:305" ht="29.1" customHeight="1" x14ac:dyDescent="0.25">
      <c r="A36" s="98"/>
      <c r="B36" s="741" t="s">
        <v>1677</v>
      </c>
      <c r="C36" s="739">
        <v>0</v>
      </c>
      <c r="D36" s="740">
        <v>656</v>
      </c>
      <c r="E36" s="744">
        <v>2730.6595527034001</v>
      </c>
      <c r="F36"/>
      <c r="G36"/>
      <c r="H36"/>
      <c r="I36"/>
      <c r="J36"/>
      <c r="K36"/>
      <c r="L36"/>
      <c r="M36"/>
      <c r="N36"/>
      <c r="O36"/>
      <c r="P36"/>
      <c r="Q36"/>
      <c r="R36"/>
      <c r="S36"/>
      <c r="T36"/>
      <c r="U36"/>
      <c r="V36"/>
      <c r="W36"/>
      <c r="X36"/>
      <c r="Y36"/>
      <c r="Z36"/>
      <c r="AA36" s="743"/>
      <c r="AB36" s="743"/>
      <c r="AC36" s="743"/>
      <c r="AD36" s="743"/>
      <c r="AE36" s="743"/>
      <c r="AF36" s="743"/>
      <c r="AG36" s="742"/>
      <c r="AH36" s="743"/>
      <c r="AI36" s="743"/>
      <c r="AJ36" s="743"/>
      <c r="AK36" s="743"/>
      <c r="AL36" s="743"/>
      <c r="AM36" s="743"/>
      <c r="AN36" s="743"/>
      <c r="AO36" s="743"/>
      <c r="AP36" s="743"/>
      <c r="AQ36" s="743"/>
      <c r="AR36" s="743"/>
      <c r="AS36" s="743"/>
      <c r="AT36" s="743"/>
      <c r="AU36" s="743"/>
      <c r="AV36" s="743"/>
      <c r="AW36" s="743"/>
      <c r="AX36" s="743"/>
      <c r="AY36" s="743"/>
      <c r="AZ36" s="743">
        <v>9952.5621537717998</v>
      </c>
      <c r="BA36" s="743"/>
      <c r="BB36" s="743"/>
      <c r="BC36" s="743"/>
      <c r="BD36" s="743"/>
      <c r="BE36" s="743"/>
      <c r="BF36" s="743"/>
      <c r="BG36" s="743"/>
      <c r="BH36" s="743"/>
      <c r="BI36" s="743"/>
      <c r="BJ36" s="743"/>
      <c r="BK36" s="743"/>
      <c r="BL36" s="743"/>
      <c r="BM36" s="743"/>
      <c r="BN36" s="743"/>
      <c r="BO36" s="743"/>
      <c r="BP36" s="743"/>
      <c r="BQ36" s="743"/>
      <c r="BR36" s="743"/>
      <c r="BS36" s="743"/>
      <c r="BT36" s="743"/>
      <c r="BU36" s="743"/>
      <c r="BV36" s="743"/>
      <c r="BW36" s="743"/>
      <c r="BX36" s="743"/>
      <c r="BY36" s="743"/>
      <c r="BZ36" s="743"/>
      <c r="CA36" s="743"/>
      <c r="CB36" s="743"/>
      <c r="CC36" s="743"/>
      <c r="CD36" s="743"/>
      <c r="CE36" s="743"/>
      <c r="CF36" s="743"/>
      <c r="CG36" s="743"/>
      <c r="CH36" s="743"/>
      <c r="CI36" s="743"/>
      <c r="CJ36" s="743"/>
      <c r="CK36" s="743"/>
      <c r="CL36" s="743"/>
      <c r="CM36" s="743"/>
      <c r="CN36" s="743"/>
      <c r="CO36" s="743"/>
      <c r="CP36" s="743"/>
      <c r="CQ36" s="743"/>
      <c r="CR36" s="743"/>
      <c r="CS36" s="743"/>
      <c r="CT36" s="743"/>
      <c r="CU36" s="743"/>
      <c r="CV36" s="743"/>
      <c r="CW36" s="743"/>
      <c r="CX36" s="743"/>
      <c r="CY36" s="743"/>
      <c r="CZ36" s="743"/>
      <c r="DA36" s="743"/>
      <c r="DB36" s="743"/>
      <c r="DC36" s="743"/>
      <c r="DD36" s="743"/>
      <c r="DE36" s="743"/>
      <c r="DF36" s="743"/>
      <c r="DG36" s="743"/>
      <c r="DH36" s="743"/>
      <c r="DI36" s="743"/>
      <c r="DJ36" s="743"/>
      <c r="DK36" s="743"/>
      <c r="DL36" s="743"/>
      <c r="DM36" s="743"/>
      <c r="DN36" s="743"/>
      <c r="DO36" s="743"/>
      <c r="DP36" s="743"/>
      <c r="DQ36" s="743"/>
      <c r="DR36" s="743"/>
      <c r="DS36" s="743"/>
      <c r="DT36" s="743"/>
      <c r="DU36" s="743"/>
      <c r="DV36" s="743"/>
      <c r="DW36" s="743"/>
      <c r="DX36" s="743"/>
      <c r="DY36" s="743"/>
      <c r="DZ36" s="743"/>
      <c r="EA36" s="743"/>
      <c r="EB36" s="743"/>
      <c r="EC36" s="743"/>
      <c r="ED36" s="743"/>
      <c r="EE36" s="743"/>
      <c r="EF36" s="743"/>
      <c r="EG36" s="743"/>
      <c r="EH36" s="743"/>
      <c r="EI36" s="743"/>
      <c r="EJ36" s="743"/>
      <c r="EK36" s="743"/>
      <c r="EL36" s="743"/>
      <c r="EM36" s="743"/>
      <c r="EN36" s="743"/>
      <c r="EO36" s="743"/>
      <c r="EP36" s="743"/>
      <c r="EQ36" s="743"/>
      <c r="ER36" s="743"/>
      <c r="ES36" s="743"/>
      <c r="ET36" s="743"/>
      <c r="EU36" s="743"/>
      <c r="EV36" s="743"/>
      <c r="EW36" s="743"/>
      <c r="EX36" s="743"/>
      <c r="EY36" s="743"/>
      <c r="EZ36" s="743"/>
      <c r="FA36" s="743"/>
      <c r="FB36" s="743"/>
      <c r="FC36" s="743"/>
      <c r="FD36" s="743"/>
      <c r="FE36" s="743"/>
      <c r="FF36" s="743"/>
      <c r="FG36" s="743"/>
      <c r="FH36" s="743"/>
      <c r="FI36" s="743"/>
      <c r="FJ36" s="743"/>
      <c r="FK36" s="743"/>
      <c r="FL36" s="743"/>
      <c r="FM36" s="743"/>
      <c r="FN36" s="743"/>
      <c r="FO36" s="743"/>
      <c r="FP36" s="743"/>
      <c r="FQ36" s="743"/>
      <c r="FR36" s="743"/>
      <c r="FS36" s="743"/>
      <c r="FT36" s="743"/>
      <c r="FU36" s="743"/>
      <c r="FV36" s="743"/>
      <c r="FW36" s="743"/>
      <c r="FX36" s="743"/>
      <c r="FY36" s="743"/>
      <c r="FZ36" s="743"/>
      <c r="GA36" s="743"/>
      <c r="GB36" s="743"/>
      <c r="GC36" s="743"/>
      <c r="GD36" s="743"/>
      <c r="GE36" s="743"/>
      <c r="GF36" s="743"/>
      <c r="GG36" s="743"/>
      <c r="GH36" s="743"/>
      <c r="GI36" s="743"/>
      <c r="GJ36" s="743"/>
      <c r="GK36" s="743"/>
      <c r="GL36" s="743"/>
      <c r="GM36" s="743"/>
      <c r="GN36" s="743"/>
      <c r="GO36" s="743"/>
      <c r="GP36" s="743"/>
      <c r="GQ36" s="743"/>
      <c r="GR36" s="743"/>
      <c r="GS36" s="743"/>
      <c r="GT36" s="743"/>
      <c r="GU36" s="743"/>
      <c r="GV36" s="743"/>
      <c r="GW36" s="743"/>
      <c r="GX36" s="743"/>
      <c r="GY36" s="743"/>
      <c r="GZ36" s="743"/>
      <c r="HA36" s="743"/>
      <c r="HB36" s="743"/>
      <c r="HC36" s="743"/>
      <c r="HD36" s="743"/>
      <c r="HE36" s="743"/>
      <c r="HF36" s="743"/>
      <c r="HG36" s="743"/>
      <c r="HH36" s="743"/>
      <c r="HI36" s="743"/>
      <c r="HJ36" s="743"/>
      <c r="HK36" s="743"/>
      <c r="HL36" s="743"/>
      <c r="HM36" s="743"/>
      <c r="HN36" s="743"/>
      <c r="HO36" s="743"/>
      <c r="HP36" s="743"/>
      <c r="HQ36" s="743"/>
      <c r="HR36" s="743"/>
      <c r="HS36" s="743"/>
      <c r="HT36" s="743"/>
      <c r="HU36" s="743"/>
      <c r="HV36" s="743"/>
      <c r="HW36" s="743"/>
      <c r="HX36" s="743"/>
      <c r="HY36" s="743"/>
      <c r="HZ36" s="743"/>
      <c r="IA36" s="743"/>
      <c r="IB36" s="743"/>
      <c r="IC36" s="743"/>
      <c r="ID36" s="743"/>
      <c r="IE36" s="743"/>
      <c r="IF36" s="743"/>
      <c r="IG36" s="743"/>
      <c r="IH36" s="743"/>
      <c r="II36" s="743"/>
      <c r="IJ36" s="743"/>
      <c r="IK36" s="743"/>
      <c r="IL36" s="743"/>
      <c r="IM36" s="743"/>
      <c r="IN36" s="743"/>
      <c r="IO36" s="743"/>
      <c r="IP36" s="743"/>
      <c r="IQ36" s="743"/>
      <c r="IR36" s="743"/>
      <c r="IS36" s="743"/>
      <c r="IT36" s="743"/>
      <c r="IU36" s="743"/>
      <c r="IV36" s="743"/>
      <c r="IW36" s="743"/>
      <c r="IX36" s="743"/>
      <c r="IY36" s="743"/>
      <c r="IZ36" s="743"/>
      <c r="JA36" s="743"/>
      <c r="JB36" s="743"/>
      <c r="JC36" s="743"/>
      <c r="JD36" s="743"/>
      <c r="JE36" s="743"/>
      <c r="JF36" s="743"/>
      <c r="JG36" s="743"/>
      <c r="JH36" s="743"/>
      <c r="JI36" s="743"/>
      <c r="JJ36" s="743"/>
      <c r="JK36" s="743"/>
      <c r="JL36" s="743"/>
      <c r="JM36" s="743"/>
      <c r="JN36" s="743"/>
      <c r="JO36" s="743"/>
      <c r="JP36" s="743"/>
      <c r="JQ36" s="743"/>
      <c r="JR36" s="743"/>
      <c r="JS36" s="743"/>
      <c r="JT36" s="743"/>
      <c r="JU36" s="743"/>
      <c r="JV36" s="743"/>
      <c r="JW36" s="743"/>
      <c r="JX36" s="743"/>
      <c r="JY36" s="743"/>
      <c r="JZ36" s="743"/>
      <c r="KA36" s="743"/>
      <c r="KB36" s="743"/>
      <c r="KC36" s="743"/>
      <c r="KD36" s="743"/>
      <c r="KE36" s="743"/>
      <c r="KF36" s="743"/>
      <c r="KG36" s="743"/>
      <c r="KH36" s="743"/>
      <c r="KI36" s="743"/>
      <c r="KJ36" s="743"/>
      <c r="KK36" s="743"/>
      <c r="KL36" s="743"/>
      <c r="KM36" s="743"/>
      <c r="KN36" s="743"/>
      <c r="KO36" s="743"/>
      <c r="KP36" s="743"/>
      <c r="KQ36" s="739">
        <v>47.437846227999998</v>
      </c>
    </row>
    <row r="37" spans="1:305" ht="29.1" customHeight="1" x14ac:dyDescent="0.25">
      <c r="A37" s="98"/>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98"/>
      <c r="B38"/>
      <c r="C38" s="738" t="s">
        <v>1217</v>
      </c>
      <c r="D38" s="738" t="s">
        <v>1229</v>
      </c>
      <c r="E38" s="741" t="s">
        <v>1678</v>
      </c>
      <c r="F38" s="741" t="s">
        <v>1679</v>
      </c>
      <c r="G38" s="741" t="s">
        <v>1680</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98"/>
      <c r="B39" s="738" t="s">
        <v>1268</v>
      </c>
      <c r="C39" s="743">
        <v>0.9626263437</v>
      </c>
      <c r="D39" s="743"/>
      <c r="E39" s="758">
        <v>0.9626263437</v>
      </c>
      <c r="F39" s="758">
        <v>1</v>
      </c>
      <c r="G39" s="758">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98"/>
      <c r="B40" s="738" t="s">
        <v>1270</v>
      </c>
      <c r="C40" s="743">
        <v>3.7373656300000002E-2</v>
      </c>
      <c r="D40" s="743">
        <v>1</v>
      </c>
      <c r="E40" s="758">
        <v>1.0373736563</v>
      </c>
      <c r="F40" s="758">
        <v>2</v>
      </c>
      <c r="G40" s="758">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98"/>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98"/>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98"/>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98"/>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98"/>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98"/>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98"/>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9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98"/>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98"/>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0" t="s">
        <v>1269</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98"/>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98"/>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98"/>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98"/>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98"/>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98"/>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9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98"/>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98"/>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98"/>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98"/>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98"/>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98"/>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98"/>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98"/>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98"/>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9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98"/>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98"/>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98"/>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98"/>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98"/>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98"/>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98"/>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98"/>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98"/>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9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98"/>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98"/>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98"/>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98"/>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98"/>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98"/>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98"/>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98"/>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98"/>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9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98"/>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98"/>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98"/>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98"/>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98"/>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98"/>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98"/>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98"/>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98"/>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98"/>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98"/>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98"/>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98"/>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98"/>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98"/>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98"/>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2" t="s">
        <v>2005</v>
      </c>
      <c r="B1" s="135"/>
      <c r="C1" s="135"/>
      <c r="D1" s="135"/>
      <c r="E1" s="135"/>
      <c r="F1" s="135"/>
      <c r="G1" s="135"/>
      <c r="H1" s="135"/>
      <c r="I1" s="135"/>
      <c r="J1" s="135"/>
      <c r="K1" s="135"/>
      <c r="L1" s="135"/>
      <c r="N1" s="1" t="s">
        <v>1073</v>
      </c>
      <c r="O1" s="38" t="s">
        <v>815</v>
      </c>
      <c r="P1" s="4" t="s">
        <v>1401</v>
      </c>
      <c r="Q1" s="4" t="s">
        <v>1402</v>
      </c>
      <c r="R1" s="4" t="s">
        <v>1404</v>
      </c>
      <c r="S1" s="4" t="s">
        <v>1403</v>
      </c>
      <c r="T1" s="4" t="s">
        <v>1405</v>
      </c>
      <c r="U1" s="4" t="s">
        <v>1415</v>
      </c>
      <c r="V1" s="4" t="s">
        <v>1406</v>
      </c>
      <c r="W1" s="4" t="s">
        <v>1414</v>
      </c>
      <c r="X1" s="4" t="s">
        <v>1407</v>
      </c>
      <c r="Y1" s="4" t="s">
        <v>1416</v>
      </c>
      <c r="Z1" s="4" t="s">
        <v>1409</v>
      </c>
      <c r="AA1" s="91" t="s">
        <v>1410</v>
      </c>
      <c r="AB1" s="91" t="s">
        <v>1411</v>
      </c>
      <c r="AC1" s="91" t="s">
        <v>1412</v>
      </c>
      <c r="AD1" s="91" t="s">
        <v>1413</v>
      </c>
      <c r="AE1" s="140"/>
      <c r="AF1" s="140"/>
      <c r="AG1" s="4"/>
      <c r="AH1" s="38"/>
      <c r="AI1" s="38"/>
      <c r="AJ1" s="38"/>
      <c r="AK1" s="38"/>
      <c r="AL1" s="38"/>
      <c r="AM1" s="4"/>
      <c r="AN1" s="38"/>
      <c r="AO1" s="38"/>
      <c r="AP1" s="38"/>
      <c r="AQ1" s="38"/>
      <c r="AR1" s="38"/>
      <c r="AS1" s="4"/>
      <c r="AT1" s="38"/>
      <c r="AU1" s="38"/>
      <c r="AV1" s="38"/>
      <c r="AW1" s="38"/>
      <c r="AX1" s="38"/>
      <c r="AY1" s="4"/>
      <c r="AZ1" s="38"/>
      <c r="BA1" s="38"/>
      <c r="BB1" s="38"/>
      <c r="BC1" s="38"/>
      <c r="BD1" s="38"/>
      <c r="BE1" s="4"/>
      <c r="BF1" s="38"/>
      <c r="BG1" s="38"/>
      <c r="BH1" s="38"/>
      <c r="BI1" s="38"/>
      <c r="BJ1" s="38"/>
      <c r="BK1" s="4"/>
      <c r="BL1" s="38"/>
      <c r="BM1" s="38"/>
      <c r="BN1" s="38"/>
      <c r="BO1" s="38"/>
      <c r="BP1" s="38"/>
      <c r="BQ1" s="38"/>
    </row>
    <row r="2" spans="1:69" x14ac:dyDescent="0.25">
      <c r="A2" t="s">
        <v>793</v>
      </c>
      <c r="B2" s="39" t="s">
        <v>794</v>
      </c>
      <c r="C2" s="40" t="s">
        <v>795</v>
      </c>
      <c r="D2" t="s">
        <v>796</v>
      </c>
      <c r="E2" t="s">
        <v>797</v>
      </c>
      <c r="F2" t="s">
        <v>798</v>
      </c>
      <c r="G2" t="s">
        <v>799</v>
      </c>
      <c r="H2" t="s">
        <v>800</v>
      </c>
      <c r="I2" t="s">
        <v>801</v>
      </c>
      <c r="J2" t="s">
        <v>802</v>
      </c>
      <c r="K2" t="s">
        <v>803</v>
      </c>
      <c r="L2" t="s">
        <v>804</v>
      </c>
      <c r="M2" s="36"/>
      <c r="N2" s="255" t="s">
        <v>1400</v>
      </c>
      <c r="O2" s="252"/>
      <c r="P2" s="253" t="s">
        <v>1251</v>
      </c>
      <c r="Q2" s="253" t="s">
        <v>1251</v>
      </c>
      <c r="R2" s="253" t="s">
        <v>1251</v>
      </c>
      <c r="S2" s="253" t="s">
        <v>1251</v>
      </c>
      <c r="T2" s="253" t="s">
        <v>1251</v>
      </c>
      <c r="U2" s="253" t="s">
        <v>1251</v>
      </c>
      <c r="V2" s="253" t="s">
        <v>1251</v>
      </c>
      <c r="W2" s="253" t="s">
        <v>1251</v>
      </c>
      <c r="X2" s="253" t="s">
        <v>1251</v>
      </c>
      <c r="Y2" s="254" t="s">
        <v>1408</v>
      </c>
      <c r="Z2" s="253" t="s">
        <v>1251</v>
      </c>
      <c r="AA2" s="253" t="s">
        <v>1251</v>
      </c>
      <c r="AB2" s="255" t="s">
        <v>1251</v>
      </c>
      <c r="AC2" s="253" t="s">
        <v>1251</v>
      </c>
      <c r="AD2" s="253" t="s">
        <v>1251</v>
      </c>
      <c r="AE2" s="141"/>
      <c r="AF2" s="141"/>
      <c r="AG2" s="4"/>
      <c r="AH2" s="38"/>
      <c r="AI2" s="38"/>
      <c r="AJ2" s="38"/>
      <c r="AK2" s="38"/>
      <c r="AL2" s="38"/>
      <c r="AM2" s="4"/>
      <c r="AN2" s="38"/>
      <c r="AO2" s="38"/>
      <c r="AP2" s="38"/>
      <c r="AQ2" s="38"/>
      <c r="AR2" s="38"/>
      <c r="AS2" s="4"/>
      <c r="AT2" s="38"/>
      <c r="AU2" s="38"/>
      <c r="AV2" s="38"/>
      <c r="AW2" s="38"/>
      <c r="AX2" s="38"/>
      <c r="AY2" s="4"/>
      <c r="AZ2" s="38"/>
      <c r="BA2" s="38"/>
      <c r="BB2" s="38"/>
      <c r="BC2" s="38"/>
      <c r="BD2" s="38"/>
      <c r="BE2" s="4"/>
      <c r="BF2" s="38"/>
      <c r="BG2" s="38"/>
      <c r="BH2" s="38"/>
      <c r="BI2" s="38"/>
      <c r="BJ2" s="38"/>
      <c r="BK2" s="4"/>
      <c r="BL2" s="38"/>
      <c r="BM2" s="38"/>
      <c r="BN2" s="38"/>
      <c r="BO2" s="38"/>
      <c r="BP2" s="38"/>
    </row>
    <row r="3" spans="1:69" x14ac:dyDescent="0.25">
      <c r="A3" s="131">
        <v>0</v>
      </c>
      <c r="B3" s="119" t="s">
        <v>805</v>
      </c>
      <c r="C3" s="119">
        <f t="shared" ref="C3:C50" si="0">Crew_Size</f>
        <v>6</v>
      </c>
      <c r="D3" s="120">
        <v>0.12959999999999999</v>
      </c>
      <c r="E3" s="120">
        <v>0.1638</v>
      </c>
      <c r="F3" s="120">
        <v>0</v>
      </c>
      <c r="G3" s="120">
        <v>0</v>
      </c>
      <c r="H3" s="120">
        <v>0</v>
      </c>
      <c r="I3" s="120">
        <v>0</v>
      </c>
      <c r="J3" s="120">
        <v>0</v>
      </c>
      <c r="K3" s="120">
        <v>0.22679999999999995</v>
      </c>
      <c r="L3" s="120">
        <v>1902</v>
      </c>
      <c r="M3" s="36"/>
      <c r="N3" s="230" t="s">
        <v>805</v>
      </c>
      <c r="O3" s="258">
        <v>8</v>
      </c>
      <c r="P3" s="259">
        <f>3.6*60/10000</f>
        <v>2.1600000000000001E-2</v>
      </c>
      <c r="Q3" s="259">
        <f>4.55*60/10000</f>
        <v>2.7300000000000001E-2</v>
      </c>
      <c r="R3" s="259">
        <v>0</v>
      </c>
      <c r="S3" s="259">
        <v>0</v>
      </c>
      <c r="T3" s="259">
        <v>0</v>
      </c>
      <c r="U3" s="259">
        <v>0</v>
      </c>
      <c r="V3" s="259">
        <v>0</v>
      </c>
      <c r="W3" s="259">
        <v>0</v>
      </c>
      <c r="X3" s="259">
        <f>6.3*60/10000</f>
        <v>3.78E-2</v>
      </c>
      <c r="Y3" s="258">
        <v>317</v>
      </c>
      <c r="Z3" s="259">
        <v>0</v>
      </c>
      <c r="AA3" s="259">
        <f>(0.059/1.6)*schedule_nomal[[#This Row],[Urine Water Production]]</f>
        <v>0</v>
      </c>
      <c r="AB3" s="259">
        <f>(0.032/0.132)*schedule_nomal[[#This Row],[Feces Production]]</f>
        <v>0</v>
      </c>
      <c r="AC3" s="259">
        <f>0.001018*schedule_nomal[[#This Row],[Hygiene Water Consumption]]/schedule_nomal[[#This Row],[hr/day]]</f>
        <v>0</v>
      </c>
      <c r="AD3" s="257">
        <f>(0.018/1.9)*schedule_nomal[[#This Row],[Sweat/Water Vapor Production]]</f>
        <v>3.5810526315789467E-4</v>
      </c>
      <c r="AE3" s="136"/>
      <c r="AF3" s="136"/>
      <c r="AG3" s="43"/>
      <c r="AM3" s="43"/>
      <c r="AS3" s="43"/>
      <c r="AY3" s="43"/>
      <c r="BE3" s="43"/>
      <c r="BK3" s="43"/>
    </row>
    <row r="4" spans="1:69" x14ac:dyDescent="0.25">
      <c r="A4" s="131">
        <v>2.0833333333333332E-2</v>
      </c>
      <c r="B4" s="119" t="s">
        <v>805</v>
      </c>
      <c r="C4" s="119">
        <f t="shared" si="0"/>
        <v>6</v>
      </c>
      <c r="D4" s="120">
        <v>0.12959999999999999</v>
      </c>
      <c r="E4" s="120">
        <v>0.1638</v>
      </c>
      <c r="F4" s="120">
        <v>0</v>
      </c>
      <c r="G4" s="120">
        <v>0</v>
      </c>
      <c r="H4" s="120">
        <v>0</v>
      </c>
      <c r="I4" s="120">
        <v>0</v>
      </c>
      <c r="J4" s="120">
        <v>0</v>
      </c>
      <c r="K4" s="120">
        <v>0.22679999999999995</v>
      </c>
      <c r="L4" s="120">
        <v>1902</v>
      </c>
      <c r="M4" s="36"/>
      <c r="N4" s="233" t="s">
        <v>806</v>
      </c>
      <c r="O4" s="234">
        <v>0.5</v>
      </c>
      <c r="P4" s="235">
        <f>5.68*60/10000</f>
        <v>3.4079999999999992E-2</v>
      </c>
      <c r="Q4" s="235">
        <f>7.2*60/10000</f>
        <v>4.3200000000000002E-2</v>
      </c>
      <c r="R4" s="235">
        <f>(1.6/3)/schedule_nomal[[#This Row],[hr/day]]</f>
        <v>1.0666666666666667</v>
      </c>
      <c r="S4" s="235">
        <f>(0.132/2)/schedule_nomal[[#This Row],[hr/day]]</f>
        <v>0.13200000000000001</v>
      </c>
      <c r="T4" s="235">
        <v>0</v>
      </c>
      <c r="U4" s="235">
        <v>0</v>
      </c>
      <c r="V4" s="235">
        <v>0</v>
      </c>
      <c r="W4" s="235">
        <v>0</v>
      </c>
      <c r="X4" s="235">
        <f>11.77*60/10000</f>
        <v>7.0619999999999988E-2</v>
      </c>
      <c r="Y4" s="234">
        <v>500</v>
      </c>
      <c r="Z4" s="235">
        <v>0</v>
      </c>
      <c r="AA4" s="235">
        <f>(0.059/1.6)*schedule_nomal[[#This Row],[Urine Water Production]]</f>
        <v>3.9333333333333331E-2</v>
      </c>
      <c r="AB4" s="235">
        <f>(0.032/0.132)*schedule_nomal[[#This Row],[Feces Production]]</f>
        <v>3.2000000000000001E-2</v>
      </c>
      <c r="AC4" s="235">
        <f>0.001018*schedule_nomal[[#This Row],[Hygiene Water Consumption]]/schedule_nomal[[#This Row],[hr/day]]</f>
        <v>0</v>
      </c>
      <c r="AD4" s="232">
        <f>(0.018/1.9)*schedule_nomal[[#This Row],[Sweat/Water Vapor Production]]</f>
        <v>6.6903157894736818E-4</v>
      </c>
      <c r="AE4" s="136"/>
      <c r="AF4" s="136"/>
      <c r="AG4" s="43"/>
      <c r="AM4" s="43"/>
      <c r="AS4" s="43"/>
      <c r="AY4" s="43"/>
      <c r="BE4" s="43"/>
      <c r="BK4" s="43"/>
    </row>
    <row r="5" spans="1:69" x14ac:dyDescent="0.25">
      <c r="A5" s="131">
        <v>4.1666666666666699E-2</v>
      </c>
      <c r="B5" s="119" t="s">
        <v>805</v>
      </c>
      <c r="C5" s="119">
        <f t="shared" si="0"/>
        <v>6</v>
      </c>
      <c r="D5" s="120">
        <v>0.12959999999999999</v>
      </c>
      <c r="E5" s="120">
        <v>0.1638</v>
      </c>
      <c r="F5" s="120">
        <v>0</v>
      </c>
      <c r="G5" s="120">
        <v>0</v>
      </c>
      <c r="H5" s="120">
        <v>0</v>
      </c>
      <c r="I5" s="120">
        <v>0</v>
      </c>
      <c r="J5" s="120">
        <v>0</v>
      </c>
      <c r="K5" s="120">
        <v>0.22679999999999995</v>
      </c>
      <c r="L5" s="120">
        <v>1902</v>
      </c>
      <c r="M5" s="36"/>
      <c r="N5" s="233" t="s">
        <v>807</v>
      </c>
      <c r="O5" s="258">
        <v>1</v>
      </c>
      <c r="P5" s="259">
        <f>5.68*60/10000</f>
        <v>3.4079999999999992E-2</v>
      </c>
      <c r="Q5" s="259">
        <f>7.2*60/10000</f>
        <v>4.3200000000000002E-2</v>
      </c>
      <c r="R5" s="259">
        <f>(1.6/3)/schedule_nomal[[#This Row],[hr/day]]</f>
        <v>0.53333333333333333</v>
      </c>
      <c r="S5" s="259">
        <v>0</v>
      </c>
      <c r="T5" s="259">
        <v>0</v>
      </c>
      <c r="U5" s="259">
        <v>0</v>
      </c>
      <c r="V5" s="259">
        <v>0</v>
      </c>
      <c r="W5" s="259">
        <v>0</v>
      </c>
      <c r="X5" s="259">
        <f>11.77*60/10000</f>
        <v>7.0619999999999988E-2</v>
      </c>
      <c r="Y5" s="258">
        <v>500</v>
      </c>
      <c r="Z5" s="259">
        <v>0</v>
      </c>
      <c r="AA5" s="259">
        <f>(0.059/1.6)*schedule_nomal[[#This Row],[Urine Water Production]]</f>
        <v>1.9666666666666666E-2</v>
      </c>
      <c r="AB5" s="259">
        <f>(0.032/0.132)*schedule_nomal[[#This Row],[Feces Production]]</f>
        <v>0</v>
      </c>
      <c r="AC5" s="259">
        <f>0.001018*schedule_nomal[[#This Row],[Hygiene Water Consumption]]/schedule_nomal[[#This Row],[hr/day]]</f>
        <v>0</v>
      </c>
      <c r="AD5" s="257">
        <f>(0.018/1.9)*schedule_nomal[[#This Row],[Sweat/Water Vapor Production]]</f>
        <v>6.6903157894736818E-4</v>
      </c>
      <c r="AE5" s="136"/>
      <c r="AF5" s="136"/>
      <c r="AG5" s="43"/>
      <c r="AM5" s="43"/>
      <c r="AS5" s="43"/>
      <c r="AY5" s="43"/>
      <c r="BE5" s="43"/>
      <c r="BK5" s="43"/>
    </row>
    <row r="6" spans="1:69" x14ac:dyDescent="0.25">
      <c r="A6" s="131">
        <v>6.25E-2</v>
      </c>
      <c r="B6" s="119" t="s">
        <v>805</v>
      </c>
      <c r="C6" s="119">
        <f t="shared" si="0"/>
        <v>6</v>
      </c>
      <c r="D6" s="120">
        <v>0.12959999999999999</v>
      </c>
      <c r="E6" s="120">
        <v>0.1638</v>
      </c>
      <c r="F6" s="120">
        <v>0</v>
      </c>
      <c r="G6" s="120">
        <v>0</v>
      </c>
      <c r="H6" s="120">
        <v>0</v>
      </c>
      <c r="I6" s="120">
        <v>0</v>
      </c>
      <c r="J6" s="120">
        <v>0</v>
      </c>
      <c r="K6" s="120">
        <v>0.22679999999999995</v>
      </c>
      <c r="L6" s="120">
        <v>1902</v>
      </c>
      <c r="M6" s="36"/>
      <c r="N6" s="236" t="s">
        <v>808</v>
      </c>
      <c r="O6" s="234">
        <v>0.5</v>
      </c>
      <c r="P6" s="235">
        <f>5.68*60/10000</f>
        <v>3.4079999999999992E-2</v>
      </c>
      <c r="Q6" s="235">
        <f>7.2*60/10000</f>
        <v>4.3200000000000002E-2</v>
      </c>
      <c r="R6" s="235">
        <f>(1.6/3)/schedule_nomal[[#This Row],[hr/day]]</f>
        <v>1.0666666666666667</v>
      </c>
      <c r="S6" s="235">
        <f>(0.132/2)/schedule_nomal[[#This Row],[hr/day]]</f>
        <v>0.13200000000000001</v>
      </c>
      <c r="T6" s="235">
        <v>0</v>
      </c>
      <c r="U6" s="235">
        <f>0.4/schedule_nomal[[#This Row],[hr/day]]</f>
        <v>0.8</v>
      </c>
      <c r="V6" s="235">
        <v>0</v>
      </c>
      <c r="W6" s="235">
        <v>0</v>
      </c>
      <c r="X6" s="235">
        <f>11.77*60/10000</f>
        <v>7.0619999999999988E-2</v>
      </c>
      <c r="Y6" s="234">
        <v>500</v>
      </c>
      <c r="Z6" s="235">
        <v>0</v>
      </c>
      <c r="AA6" s="235">
        <f>(0.059/1.6)*schedule_nomal[[#This Row],[Urine Water Production]]</f>
        <v>3.9333333333333331E-2</v>
      </c>
      <c r="AB6" s="235">
        <f>(0.032/0.132)*schedule_nomal[[#This Row],[Feces Production]]</f>
        <v>3.2000000000000001E-2</v>
      </c>
      <c r="AC6" s="235">
        <f>0.001018*schedule_nomal[[#This Row],[Hygiene Water Consumption]]/schedule_nomal[[#This Row],[hr/day]]</f>
        <v>1.6288000000000001E-3</v>
      </c>
      <c r="AD6" s="232">
        <f>(0.018/1.9)*schedule_nomal[[#This Row],[Sweat/Water Vapor Production]]</f>
        <v>6.6903157894736818E-4</v>
      </c>
      <c r="AE6" s="136"/>
      <c r="AF6" s="136"/>
      <c r="AG6" s="43"/>
      <c r="AM6" s="43"/>
      <c r="AS6" s="43"/>
      <c r="AY6" s="43"/>
      <c r="BE6" s="43"/>
      <c r="BK6" s="43"/>
    </row>
    <row r="7" spans="1:69" x14ac:dyDescent="0.25">
      <c r="A7" s="131">
        <v>8.3333333333333301E-2</v>
      </c>
      <c r="B7" s="119" t="s">
        <v>805</v>
      </c>
      <c r="C7" s="119">
        <f t="shared" si="0"/>
        <v>6</v>
      </c>
      <c r="D7" s="120">
        <v>0.12959999999999999</v>
      </c>
      <c r="E7" s="120">
        <v>0.1638</v>
      </c>
      <c r="F7" s="120">
        <v>0</v>
      </c>
      <c r="G7" s="120">
        <v>0</v>
      </c>
      <c r="H7" s="120">
        <v>0</v>
      </c>
      <c r="I7" s="120">
        <v>0</v>
      </c>
      <c r="J7" s="120">
        <v>0</v>
      </c>
      <c r="K7" s="120">
        <v>0.22679999999999995</v>
      </c>
      <c r="L7" s="120">
        <v>1902</v>
      </c>
      <c r="M7" s="36"/>
      <c r="N7" s="237" t="s">
        <v>1240</v>
      </c>
      <c r="O7" s="258">
        <v>6.5</v>
      </c>
      <c r="P7" s="259">
        <f>5.68*60/10000</f>
        <v>3.4079999999999992E-2</v>
      </c>
      <c r="Q7" s="259">
        <f>7.2*60/10000</f>
        <v>4.3200000000000002E-2</v>
      </c>
      <c r="R7" s="259">
        <v>0</v>
      </c>
      <c r="S7" s="259">
        <v>0</v>
      </c>
      <c r="T7" s="259">
        <v>0</v>
      </c>
      <c r="U7" s="259">
        <v>0</v>
      </c>
      <c r="V7" s="259">
        <v>0</v>
      </c>
      <c r="W7" s="259">
        <v>0</v>
      </c>
      <c r="X7" s="259">
        <f>11.77*60/10000</f>
        <v>7.0619999999999988E-2</v>
      </c>
      <c r="Y7" s="258">
        <v>500</v>
      </c>
      <c r="Z7" s="259">
        <v>0</v>
      </c>
      <c r="AA7" s="259">
        <f>(0.059/1.6)*schedule_nomal[[#This Row],[Urine Water Production]]</f>
        <v>0</v>
      </c>
      <c r="AB7" s="259">
        <f>(0.032/0.132)*schedule_nomal[[#This Row],[Feces Production]]</f>
        <v>0</v>
      </c>
      <c r="AC7" s="259">
        <f>0.001018*schedule_nomal[[#This Row],[Hygiene Water Consumption]]/schedule_nomal[[#This Row],[hr/day]]</f>
        <v>0</v>
      </c>
      <c r="AD7" s="257">
        <f>(0.018/1.9)*schedule_nomal[[#This Row],[Sweat/Water Vapor Production]]</f>
        <v>6.6903157894736818E-4</v>
      </c>
      <c r="AE7" s="136"/>
      <c r="AF7" s="136"/>
      <c r="AG7" s="43"/>
      <c r="AM7" s="43"/>
      <c r="AS7" s="43"/>
      <c r="AY7" s="43"/>
      <c r="BE7" s="43"/>
      <c r="BK7" s="43"/>
    </row>
    <row r="8" spans="1:69" x14ac:dyDescent="0.25">
      <c r="A8" s="131">
        <v>0.104166666666667</v>
      </c>
      <c r="B8" s="119" t="s">
        <v>805</v>
      </c>
      <c r="C8" s="119">
        <f t="shared" si="0"/>
        <v>6</v>
      </c>
      <c r="D8" s="120">
        <v>0.12959999999999999</v>
      </c>
      <c r="E8" s="120">
        <v>0.1638</v>
      </c>
      <c r="F8" s="120">
        <v>0</v>
      </c>
      <c r="G8" s="120">
        <v>0</v>
      </c>
      <c r="H8" s="120">
        <v>0</v>
      </c>
      <c r="I8" s="120">
        <v>0</v>
      </c>
      <c r="J8" s="120">
        <v>0</v>
      </c>
      <c r="K8" s="120">
        <v>0.22679999999999995</v>
      </c>
      <c r="L8" s="120">
        <v>1902</v>
      </c>
      <c r="M8" s="36"/>
      <c r="N8" s="238" t="s">
        <v>809</v>
      </c>
      <c r="O8" s="234">
        <v>3.5</v>
      </c>
      <c r="P8" s="235">
        <f>5.68*60/10000</f>
        <v>3.4079999999999992E-2</v>
      </c>
      <c r="Q8" s="235">
        <f>7.2*60/10000</f>
        <v>4.3200000000000002E-2</v>
      </c>
      <c r="R8" s="235">
        <v>0</v>
      </c>
      <c r="S8" s="235">
        <v>0</v>
      </c>
      <c r="T8" s="235">
        <v>0</v>
      </c>
      <c r="U8" s="235">
        <v>0</v>
      </c>
      <c r="V8" s="235">
        <v>0</v>
      </c>
      <c r="W8" s="235">
        <v>0</v>
      </c>
      <c r="X8" s="235">
        <f>11.77*60/10000</f>
        <v>7.0619999999999988E-2</v>
      </c>
      <c r="Y8" s="234">
        <v>500</v>
      </c>
      <c r="Z8" s="235">
        <v>0</v>
      </c>
      <c r="AA8" s="235">
        <f>(0.059/1.6)*schedule_nomal[[#This Row],[Urine Water Production]]</f>
        <v>0</v>
      </c>
      <c r="AB8" s="235">
        <f>(0.032/0.132)*schedule_nomal[[#This Row],[Feces Production]]</f>
        <v>0</v>
      </c>
      <c r="AC8" s="235">
        <f>0.001018*schedule_nomal[[#This Row],[Hygiene Water Consumption]]/schedule_nomal[[#This Row],[hr/day]]</f>
        <v>0</v>
      </c>
      <c r="AD8" s="232">
        <f>(0.018/1.9)*schedule_nomal[[#This Row],[Sweat/Water Vapor Production]]</f>
        <v>6.6903157894736818E-4</v>
      </c>
      <c r="AE8" s="136"/>
      <c r="AF8" s="136"/>
      <c r="AG8" s="43"/>
      <c r="AM8" s="43"/>
      <c r="AS8" s="43"/>
      <c r="AY8" s="43"/>
      <c r="BE8" s="43"/>
      <c r="BK8" s="43"/>
    </row>
    <row r="9" spans="1:69" x14ac:dyDescent="0.25">
      <c r="A9" s="131">
        <v>0.125</v>
      </c>
      <c r="B9" s="119" t="s">
        <v>805</v>
      </c>
      <c r="C9" s="119">
        <f t="shared" si="0"/>
        <v>6</v>
      </c>
      <c r="D9" s="120">
        <v>0.12959999999999999</v>
      </c>
      <c r="E9" s="120">
        <v>0.1638</v>
      </c>
      <c r="F9" s="120">
        <v>0</v>
      </c>
      <c r="G9" s="120">
        <v>0</v>
      </c>
      <c r="H9" s="120">
        <v>0</v>
      </c>
      <c r="I9" s="120">
        <v>0</v>
      </c>
      <c r="J9" s="120">
        <v>0</v>
      </c>
      <c r="K9" s="120">
        <v>0.22679999999999995</v>
      </c>
      <c r="L9" s="120">
        <v>1902</v>
      </c>
      <c r="M9" s="36"/>
      <c r="N9" s="239" t="s">
        <v>1399</v>
      </c>
      <c r="O9" s="258">
        <v>0.25</v>
      </c>
      <c r="P9" s="259">
        <f>39.4*60/10000</f>
        <v>0.2364</v>
      </c>
      <c r="Q9" s="259">
        <f>49.85*60/10000</f>
        <v>0.29909999999999998</v>
      </c>
      <c r="R9" s="259">
        <f>0</f>
        <v>0</v>
      </c>
      <c r="S9" s="259">
        <f>0</f>
        <v>0</v>
      </c>
      <c r="T9" s="259">
        <f>0</f>
        <v>0</v>
      </c>
      <c r="U9" s="259">
        <f>0</f>
        <v>0</v>
      </c>
      <c r="V9" s="259">
        <f>0</f>
        <v>0</v>
      </c>
      <c r="W9" s="259">
        <v>0</v>
      </c>
      <c r="X9" s="259">
        <f>(16.16+1.56)*60/10000</f>
        <v>0.10631999999999998</v>
      </c>
      <c r="Y9" s="258">
        <f>1143</f>
        <v>1143</v>
      </c>
      <c r="Z9" s="259">
        <f>0</f>
        <v>0</v>
      </c>
      <c r="AA9" s="259">
        <f>(0.059/1.6)*schedule_nomal[[#This Row],[Urine Water Production]]</f>
        <v>0</v>
      </c>
      <c r="AB9" s="259">
        <f>(0.032/0.132)*schedule_nomal[[#This Row],[Feces Production]]</f>
        <v>0</v>
      </c>
      <c r="AC9" s="259">
        <f>0.001018*schedule_nomal[[#This Row],[Hygiene Water Consumption]]/schedule_nomal[[#This Row],[hr/day]]</f>
        <v>0</v>
      </c>
      <c r="AD9" s="257">
        <f>(0.018/1.9)*schedule_nomal[[#This Row],[Sweat/Water Vapor Production]]</f>
        <v>1.0072421052631576E-3</v>
      </c>
      <c r="AE9" s="136"/>
      <c r="AF9" s="136"/>
      <c r="AG9" s="43"/>
      <c r="AM9" s="43"/>
      <c r="AS9" s="43"/>
      <c r="AY9" s="43"/>
      <c r="BE9" s="43"/>
      <c r="BK9" s="43"/>
    </row>
    <row r="10" spans="1:69" x14ac:dyDescent="0.25">
      <c r="A10" s="131">
        <v>0.14583333333333301</v>
      </c>
      <c r="B10" s="119" t="s">
        <v>805</v>
      </c>
      <c r="C10" s="119">
        <f t="shared" si="0"/>
        <v>6</v>
      </c>
      <c r="D10" s="120">
        <v>0.12959999999999999</v>
      </c>
      <c r="E10" s="120">
        <v>0.1638</v>
      </c>
      <c r="F10" s="120">
        <v>0</v>
      </c>
      <c r="G10" s="120">
        <v>0</v>
      </c>
      <c r="H10" s="120">
        <v>0</v>
      </c>
      <c r="I10" s="120">
        <v>0</v>
      </c>
      <c r="J10" s="120">
        <v>0</v>
      </c>
      <c r="K10" s="120">
        <v>0.22679999999999995</v>
      </c>
      <c r="L10" s="120">
        <v>1902</v>
      </c>
      <c r="M10" s="36"/>
      <c r="N10" s="240" t="s">
        <v>810</v>
      </c>
      <c r="O10" s="234">
        <v>0.25</v>
      </c>
      <c r="P10" s="235">
        <f>39.4*60/10000</f>
        <v>0.2364</v>
      </c>
      <c r="Q10" s="235">
        <f>49.85*60/10000</f>
        <v>0.29909999999999998</v>
      </c>
      <c r="R10" s="235">
        <v>0</v>
      </c>
      <c r="S10" s="235">
        <v>0</v>
      </c>
      <c r="T10" s="235">
        <v>0</v>
      </c>
      <c r="U10" s="235">
        <v>0</v>
      </c>
      <c r="V10" s="235">
        <v>0</v>
      </c>
      <c r="W10" s="235">
        <v>0</v>
      </c>
      <c r="X10" s="235">
        <f>(128.42+33.52)*60/10000</f>
        <v>0.97163999999999995</v>
      </c>
      <c r="Y10" s="234">
        <f>2974</f>
        <v>2974</v>
      </c>
      <c r="Z10" s="235">
        <v>0</v>
      </c>
      <c r="AA10" s="235">
        <f>(0.059/1.6)*schedule_nomal[[#This Row],[Urine Water Production]]</f>
        <v>0</v>
      </c>
      <c r="AB10" s="235">
        <f>(0.032/0.132)*schedule_nomal[[#This Row],[Feces Production]]</f>
        <v>0</v>
      </c>
      <c r="AC10" s="235">
        <f>0.001018*schedule_nomal[[#This Row],[Hygiene Water Consumption]]/schedule_nomal[[#This Row],[hr/day]]</f>
        <v>0</v>
      </c>
      <c r="AD10" s="232">
        <f>(0.018/1.9)*schedule_nomal[[#This Row],[Sweat/Water Vapor Production]]</f>
        <v>9.2050105263157874E-3</v>
      </c>
      <c r="AE10" s="136"/>
      <c r="AF10" s="136"/>
      <c r="AG10" s="43"/>
      <c r="AM10" s="43"/>
      <c r="AS10" s="43"/>
      <c r="AY10" s="43"/>
      <c r="BE10" s="43"/>
      <c r="BK10" s="43"/>
    </row>
    <row r="11" spans="1:69" x14ac:dyDescent="0.25">
      <c r="A11" s="131">
        <v>0.16666666666666699</v>
      </c>
      <c r="B11" s="119" t="s">
        <v>805</v>
      </c>
      <c r="C11" s="119">
        <f t="shared" si="0"/>
        <v>6</v>
      </c>
      <c r="D11" s="120">
        <v>0.12959999999999999</v>
      </c>
      <c r="E11" s="120">
        <v>0.1638</v>
      </c>
      <c r="F11" s="120">
        <v>0</v>
      </c>
      <c r="G11" s="120">
        <v>0</v>
      </c>
      <c r="H11" s="120">
        <v>0</v>
      </c>
      <c r="I11" s="120">
        <v>0</v>
      </c>
      <c r="J11" s="120">
        <v>0</v>
      </c>
      <c r="K11" s="120">
        <v>0.22679999999999995</v>
      </c>
      <c r="L11" s="120">
        <v>1902</v>
      </c>
      <c r="M11" s="36"/>
      <c r="N11" s="241" t="s">
        <v>811</v>
      </c>
      <c r="O11" s="258">
        <v>1</v>
      </c>
      <c r="P11" s="259">
        <f>5.68*60/10000</f>
        <v>3.4079999999999992E-2</v>
      </c>
      <c r="Q11" s="259">
        <f>7.2*60/10000</f>
        <v>4.3200000000000002E-2</v>
      </c>
      <c r="R11" s="259">
        <v>0</v>
      </c>
      <c r="S11" s="259">
        <v>0</v>
      </c>
      <c r="T11" s="259" cm="1">
        <f t="array" ref="T11">(SUM(X9:X11*O9:O11) - ((11.77*60/10000)*SUM(O9:O11)))/schedule_nomal[[#This Row],[hr/day]]</f>
        <v>0.44478000000000006</v>
      </c>
      <c r="U11" s="259">
        <f>0.1/schedule_nomal[[#This Row],[hr/day]]</f>
        <v>0.1</v>
      </c>
      <c r="V11" s="259">
        <v>0</v>
      </c>
      <c r="W11" s="259">
        <v>0</v>
      </c>
      <c r="X11" s="259">
        <f>(83.83+15.16+40.29+0.36+27.44+20.4)/4*60/10000</f>
        <v>0.28122000000000003</v>
      </c>
      <c r="Y11" s="258">
        <f>(2005+1078+865+751)/4</f>
        <v>1174.75</v>
      </c>
      <c r="Z11" s="259">
        <v>0</v>
      </c>
      <c r="AA11" s="259">
        <f>(0.059/1.6)*schedule_nomal[[#This Row],[Urine Water Production]]</f>
        <v>0</v>
      </c>
      <c r="AB11" s="259">
        <f>(0.032/0.132)*schedule_nomal[[#This Row],[Feces Production]]</f>
        <v>0</v>
      </c>
      <c r="AC11" s="259">
        <f>0.001018*schedule_nomal[[#This Row],[Hygiene Water Consumption]]/schedule_nomal[[#This Row],[hr/day]]</f>
        <v>1.0180000000000001E-4</v>
      </c>
      <c r="AD11" s="257">
        <f>(0.018/1.9)*schedule_nomal[[#This Row],[Sweat/Water Vapor Production]]</f>
        <v>2.6641894736842103E-3</v>
      </c>
      <c r="AE11" s="136"/>
      <c r="AF11" s="136"/>
      <c r="AG11" s="43"/>
      <c r="AM11" s="43"/>
      <c r="AS11" s="43"/>
      <c r="AY11" s="43"/>
      <c r="BE11" s="43"/>
      <c r="BK11" s="43"/>
    </row>
    <row r="12" spans="1:69" x14ac:dyDescent="0.25">
      <c r="A12" s="131">
        <v>0.1875</v>
      </c>
      <c r="B12" s="119" t="s">
        <v>805</v>
      </c>
      <c r="C12" s="119">
        <f t="shared" si="0"/>
        <v>6</v>
      </c>
      <c r="D12" s="120">
        <v>0.12959999999999999</v>
      </c>
      <c r="E12" s="120">
        <v>0.1638</v>
      </c>
      <c r="F12" s="120">
        <v>0</v>
      </c>
      <c r="G12" s="120">
        <v>0</v>
      </c>
      <c r="H12" s="120">
        <v>0</v>
      </c>
      <c r="I12" s="120">
        <v>0</v>
      </c>
      <c r="J12" s="120">
        <v>0</v>
      </c>
      <c r="K12" s="120">
        <v>0.22679999999999995</v>
      </c>
      <c r="L12" s="120">
        <v>1902</v>
      </c>
      <c r="M12" s="36"/>
      <c r="N12" s="242" t="s">
        <v>812</v>
      </c>
      <c r="O12" s="234">
        <v>0.5</v>
      </c>
      <c r="P12" s="235">
        <f>5.68*60/10000</f>
        <v>3.4079999999999992E-2</v>
      </c>
      <c r="Q12" s="235">
        <f>7.2*60/10000</f>
        <v>4.3200000000000002E-2</v>
      </c>
      <c r="R12" s="235">
        <v>0</v>
      </c>
      <c r="S12" s="235">
        <v>0</v>
      </c>
      <c r="T12" s="231" cm="1">
        <f t="array" ref="T12">((SUM(X3:X8*O3:O8)+SUM(X12:X14*O12:O14)+R16+(S16-AB16)-Z16-W16 + ((11.77*60/10000)*SUM(O9:O11)))/3)/schedule_nomal[[#This Row],[hr/day]]</f>
        <v>1.3915466666666665</v>
      </c>
      <c r="U12" s="235">
        <v>0</v>
      </c>
      <c r="V12" s="235">
        <f>(1.51/3)/schedule_nomal[[#This Row],[hr/day]]</f>
        <v>1.0066666666666666</v>
      </c>
      <c r="W12" s="235">
        <f>(0.7/3)/schedule_nomal[[#This Row],[hr/day]]</f>
        <v>0.46666666666666662</v>
      </c>
      <c r="X12" s="235">
        <f>11.77*60/10000</f>
        <v>7.0619999999999988E-2</v>
      </c>
      <c r="Y12" s="234">
        <v>500</v>
      </c>
      <c r="Z12" s="235">
        <f>($Z$16/3)/schedule_nomal[[#This Row],[hr/day]]</f>
        <v>0.22999999999999998</v>
      </c>
      <c r="AA12" s="235">
        <f>(0.059/1.6)*schedule_nomal[[#This Row],[Urine Water Production]]</f>
        <v>0</v>
      </c>
      <c r="AB12" s="235">
        <f>(0.032/0.132)*schedule_nomal[[#This Row],[Feces Production]]</f>
        <v>0</v>
      </c>
      <c r="AC12" s="235">
        <f>0.001018*schedule_nomal[[#This Row],[Hygiene Water Consumption]]/schedule_nomal[[#This Row],[hr/day]]</f>
        <v>0</v>
      </c>
      <c r="AD12" s="232">
        <f>(0.018/1.9)*schedule_nomal[[#This Row],[Sweat/Water Vapor Production]]</f>
        <v>6.6903157894736818E-4</v>
      </c>
      <c r="AE12" s="136"/>
      <c r="AF12" s="136"/>
      <c r="AG12" s="43"/>
      <c r="AM12" s="43"/>
      <c r="AS12" s="43"/>
      <c r="AY12" s="43"/>
      <c r="BE12" s="43"/>
      <c r="BK12" s="43"/>
    </row>
    <row r="13" spans="1:69" x14ac:dyDescent="0.25">
      <c r="A13" s="131">
        <v>0.20833333333333301</v>
      </c>
      <c r="B13" s="128" t="s">
        <v>806</v>
      </c>
      <c r="C13" s="128">
        <f t="shared" si="0"/>
        <v>6</v>
      </c>
      <c r="D13" s="129">
        <v>0.20447999999999994</v>
      </c>
      <c r="E13" s="129">
        <v>0.25919999999999999</v>
      </c>
      <c r="F13" s="129">
        <v>6.4</v>
      </c>
      <c r="G13" s="129">
        <v>0.88730400000000009</v>
      </c>
      <c r="H13" s="129">
        <v>0</v>
      </c>
      <c r="I13" s="129">
        <v>0</v>
      </c>
      <c r="J13" s="129">
        <v>0</v>
      </c>
      <c r="K13" s="129">
        <v>0.42371999999999999</v>
      </c>
      <c r="L13" s="129">
        <v>3000</v>
      </c>
      <c r="M13" s="36"/>
      <c r="N13" s="242" t="s">
        <v>813</v>
      </c>
      <c r="O13" s="258">
        <v>1</v>
      </c>
      <c r="P13" s="259">
        <f>5.68*60/10000</f>
        <v>3.4079999999999992E-2</v>
      </c>
      <c r="Q13" s="259">
        <f>7.2*60/10000</f>
        <v>4.3200000000000002E-2</v>
      </c>
      <c r="R13" s="259">
        <v>0</v>
      </c>
      <c r="S13" s="259">
        <v>0</v>
      </c>
      <c r="T13" s="235" cm="1">
        <f t="array" ref="T13">((SUM(X3:X8*O3:O8)+SUM(X12:X14*O12:O14)+R16+(S16-AB16)-Z16-W16 + ((11.77*60/10000)*SUM(O9:O11)))/3)/schedule_nomal[[#This Row],[hr/day]]</f>
        <v>0.69577333333333324</v>
      </c>
      <c r="U13" s="259">
        <f>0.1/schedule_nomal[[#This Row],[hr/day]]</f>
        <v>0.1</v>
      </c>
      <c r="V13" s="259">
        <f>(1.51/3)/schedule_nomal[[#This Row],[hr/day]]</f>
        <v>0.5033333333333333</v>
      </c>
      <c r="W13" s="256">
        <f>(0.7/3)/schedule_nomal[[#This Row],[hr/day]]</f>
        <v>0.23333333333333331</v>
      </c>
      <c r="X13" s="259">
        <f>11.77*60/10000</f>
        <v>7.0619999999999988E-2</v>
      </c>
      <c r="Y13" s="258">
        <v>500</v>
      </c>
      <c r="Z13" s="235">
        <f>($Z$16/3)/schedule_nomal[[#This Row],[hr/day]]</f>
        <v>0.11499999999999999</v>
      </c>
      <c r="AA13" s="259">
        <f>(0.059/1.6)*schedule_nomal[[#This Row],[Urine Water Production]]</f>
        <v>0</v>
      </c>
      <c r="AB13" s="259">
        <f>(0.032/0.132)*schedule_nomal[[#This Row],[Feces Production]]</f>
        <v>0</v>
      </c>
      <c r="AC13" s="259">
        <f>0.001018*schedule_nomal[[#This Row],[Hygiene Water Consumption]]/schedule_nomal[[#This Row],[hr/day]]</f>
        <v>1.0180000000000001E-4</v>
      </c>
      <c r="AD13" s="257">
        <f>(0.018/1.9)*schedule_nomal[[#This Row],[Sweat/Water Vapor Production]]</f>
        <v>6.6903157894736818E-4</v>
      </c>
      <c r="AE13" s="137"/>
      <c r="AF13" s="137"/>
      <c r="AG13" s="43"/>
      <c r="AM13" s="43"/>
      <c r="AS13" s="43"/>
      <c r="AY13" s="43"/>
      <c r="BE13" s="43"/>
      <c r="BK13" s="43"/>
    </row>
    <row r="14" spans="1:69" x14ac:dyDescent="0.25">
      <c r="A14" s="131">
        <v>0.22916666666666699</v>
      </c>
      <c r="B14" s="41" t="s">
        <v>812</v>
      </c>
      <c r="C14" s="41">
        <f t="shared" si="0"/>
        <v>6</v>
      </c>
      <c r="D14" s="120">
        <v>0.20447999999999994</v>
      </c>
      <c r="E14" s="62">
        <v>0.25919999999999999</v>
      </c>
      <c r="F14" s="62">
        <v>0</v>
      </c>
      <c r="G14" s="62">
        <v>0</v>
      </c>
      <c r="H14" s="62">
        <v>8.3492799999999985</v>
      </c>
      <c r="I14" s="62">
        <v>0</v>
      </c>
      <c r="J14" s="62">
        <v>6.7668133333333333</v>
      </c>
      <c r="K14" s="62">
        <v>0.42371999999999999</v>
      </c>
      <c r="L14" s="62">
        <v>3000</v>
      </c>
      <c r="M14" s="36"/>
      <c r="N14" s="242" t="s">
        <v>814</v>
      </c>
      <c r="O14" s="234">
        <v>1</v>
      </c>
      <c r="P14" s="235">
        <f>5.68*60/10000</f>
        <v>3.4079999999999992E-2</v>
      </c>
      <c r="Q14" s="235">
        <f>7.2*60/10000</f>
        <v>4.3200000000000002E-2</v>
      </c>
      <c r="R14" s="235">
        <v>0</v>
      </c>
      <c r="S14" s="235">
        <v>0</v>
      </c>
      <c r="T14" s="231" cm="1">
        <f t="array" ref="T14">((SUM(X3:X8*O3:O8)+SUM(X12:X14*O12:O14)+R16+(S16-AB16)-Z16-W16 + ((11.77*60/10000)*SUM(O9:O11)))/3)/schedule_nomal[[#This Row],[hr/day]]</f>
        <v>0.69577333333333324</v>
      </c>
      <c r="U14" s="235">
        <f>0.1/schedule_nomal[[#This Row],[hr/day]]</f>
        <v>0.1</v>
      </c>
      <c r="V14" s="235">
        <f>(1.51/3)/schedule_nomal[[#This Row],[hr/day]]</f>
        <v>0.5033333333333333</v>
      </c>
      <c r="W14" s="235">
        <f>(0.7/3)/schedule_nomal[[#This Row],[hr/day]]</f>
        <v>0.23333333333333331</v>
      </c>
      <c r="X14" s="235">
        <f>11.77*60/10000</f>
        <v>7.0619999999999988E-2</v>
      </c>
      <c r="Y14" s="234">
        <v>500</v>
      </c>
      <c r="Z14" s="235">
        <f>($Z$16/3)/schedule_nomal[[#This Row],[hr/day]]</f>
        <v>0.11499999999999999</v>
      </c>
      <c r="AA14" s="235">
        <f>(0.059/1.6)*schedule_nomal[[#This Row],[Urine Water Production]]</f>
        <v>0</v>
      </c>
      <c r="AB14" s="235">
        <f>(0.032/0.132)*schedule_nomal[[#This Row],[Feces Production]]</f>
        <v>0</v>
      </c>
      <c r="AC14" s="235">
        <f>0.001018*schedule_nomal[[#This Row],[Hygiene Water Consumption]]/schedule_nomal[[#This Row],[hr/day]]</f>
        <v>1.0180000000000001E-4</v>
      </c>
      <c r="AD14" s="232">
        <f>(0.018/1.9)*schedule_nomal[[#This Row],[Sweat/Water Vapor Production]]</f>
        <v>6.6903157894736818E-4</v>
      </c>
      <c r="AE14" s="138"/>
      <c r="AF14" s="138"/>
      <c r="AG14" s="43"/>
      <c r="AM14" s="43"/>
      <c r="AS14" s="43"/>
      <c r="AY14" s="43"/>
      <c r="BE14" s="43"/>
      <c r="BK14" s="43"/>
    </row>
    <row r="15" spans="1:69" ht="14.1" customHeight="1" x14ac:dyDescent="0.25">
      <c r="A15" s="131">
        <v>0.25</v>
      </c>
      <c r="B15" s="41" t="s">
        <v>808</v>
      </c>
      <c r="C15" s="41">
        <f t="shared" si="0"/>
        <v>6</v>
      </c>
      <c r="D15" s="120">
        <v>0.20447999999999994</v>
      </c>
      <c r="E15" s="62">
        <v>0.25919999999999999</v>
      </c>
      <c r="F15" s="62">
        <v>6.4</v>
      </c>
      <c r="G15" s="62">
        <v>0.88730400000000009</v>
      </c>
      <c r="H15" s="62">
        <v>0</v>
      </c>
      <c r="I15" s="62">
        <v>4.8000000000000016</v>
      </c>
      <c r="J15" s="62">
        <v>0</v>
      </c>
      <c r="K15" s="62">
        <v>0.42371999999999999</v>
      </c>
      <c r="L15" s="62">
        <v>3000</v>
      </c>
      <c r="M15" s="36"/>
      <c r="N15" s="263" t="s">
        <v>1174</v>
      </c>
      <c r="O15" s="259"/>
      <c r="P15" s="260">
        <f>AVERAGE(P3:P14)</f>
        <v>6.676E-2</v>
      </c>
      <c r="Q15" s="260">
        <f>AVERAGE(Q3:Q14)</f>
        <v>8.4525000000000003E-2</v>
      </c>
      <c r="R15" s="260">
        <f>AVERAGE(R4:R6,R8)</f>
        <v>0.66666666666666674</v>
      </c>
      <c r="S15" s="260">
        <f>AVERAGE(S4,S6,S8)</f>
        <v>8.8000000000000009E-2</v>
      </c>
      <c r="T15" s="260">
        <f>AVERAGE(T11:T14)</f>
        <v>0.80696833333333329</v>
      </c>
      <c r="U15" s="260">
        <f>AVERAGE(U4:U6,U8,U11:U14)</f>
        <v>0.13750000000000001</v>
      </c>
      <c r="V15" s="260">
        <f>AVERAGE(V12:V14)</f>
        <v>0.6711111111111111</v>
      </c>
      <c r="W15" s="260">
        <f>AVERAGE(W12:W14)</f>
        <v>0.31111111111111106</v>
      </c>
      <c r="X15" s="260">
        <f>AVERAGE(X3:X14)</f>
        <v>0.16349499999999997</v>
      </c>
      <c r="Y15" s="261">
        <f>AVERAGE(Y3:Y14)</f>
        <v>800.72916666666663</v>
      </c>
      <c r="Z15" s="260">
        <f>AVERAGE(Z12,Z14)</f>
        <v>0.17249999999999999</v>
      </c>
      <c r="AA15" s="260">
        <f>AVERAGE(AA3,AA14)</f>
        <v>0</v>
      </c>
      <c r="AB15" s="260">
        <f>AVERAGE(AB3,AB14)</f>
        <v>0</v>
      </c>
      <c r="AC15" s="260">
        <f>AVERAGE(AC3,AC14)</f>
        <v>5.0900000000000004E-5</v>
      </c>
      <c r="AD15" s="262">
        <f>AVERAGE(AD3:AD14)</f>
        <v>1.5489E-3</v>
      </c>
      <c r="AE15" s="79"/>
      <c r="AF15" s="79"/>
      <c r="AG15" s="43"/>
      <c r="AH15" s="42"/>
      <c r="AM15" s="43"/>
      <c r="AS15" s="43"/>
      <c r="AY15" s="43"/>
      <c r="BE15" s="43"/>
      <c r="BK15" s="43"/>
    </row>
    <row r="16" spans="1:69" x14ac:dyDescent="0.25">
      <c r="A16" s="131">
        <v>0.27083333333333298</v>
      </c>
      <c r="B16" s="41" t="s">
        <v>1240</v>
      </c>
      <c r="C16" s="41">
        <f t="shared" si="0"/>
        <v>6</v>
      </c>
      <c r="D16" s="120">
        <v>0.20447999999999994</v>
      </c>
      <c r="E16" s="62">
        <v>0.25919999999999999</v>
      </c>
      <c r="F16" s="62">
        <v>0</v>
      </c>
      <c r="G16" s="62">
        <v>0</v>
      </c>
      <c r="H16" s="62">
        <v>0</v>
      </c>
      <c r="I16" s="62">
        <v>0</v>
      </c>
      <c r="J16" s="62">
        <v>0</v>
      </c>
      <c r="K16" s="62">
        <v>0.42371999999999999</v>
      </c>
      <c r="L16" s="62">
        <v>3000</v>
      </c>
      <c r="M16" s="36"/>
      <c r="N16" s="243" t="s">
        <v>1072</v>
      </c>
      <c r="O16" s="244">
        <f>SUM(O3:O14)</f>
        <v>24</v>
      </c>
      <c r="P16" s="245" cm="1">
        <f t="array" ref="P16">SUM(P3:P14*O3:O14)</f>
        <v>0.81923999999999997</v>
      </c>
      <c r="Q16" s="245" cm="1">
        <f t="array" ref="Q16">SUM(Q3:Q14*O3:O14)</f>
        <v>1.03755</v>
      </c>
      <c r="R16" s="246" cm="1">
        <f t="array" ref="R16">SUM(R3:R14*$O$3:$O$14)</f>
        <v>1.6</v>
      </c>
      <c r="S16" s="246" cm="1">
        <f t="array" ref="S16">SUM(S3:S14*$O$3:$O$14)</f>
        <v>0.13200000000000001</v>
      </c>
      <c r="T16" s="246" cm="1">
        <f t="array" ref="T16">SUM(T3:T14*$O$3:$O$14)</f>
        <v>2.5320999999999998</v>
      </c>
      <c r="U16" s="246" cm="1">
        <f t="array" ref="U16">SUM(U3:U14*$O$3:$O$14)</f>
        <v>0.7</v>
      </c>
      <c r="V16" s="246" cm="1">
        <f t="array" ref="V16">SUM(V3:V14*$O$3:$O$14)</f>
        <v>1.5099999999999998</v>
      </c>
      <c r="W16" s="246" cm="1">
        <f t="array" ref="W16">SUM(W3:W14*$O$3:$O$14)</f>
        <v>0.7</v>
      </c>
      <c r="X16" s="245" cm="1">
        <f t="array" ref="X16">SUM(X3:X14*$O$3:$O$14)</f>
        <v>1.8770999999999995</v>
      </c>
      <c r="Y16" s="245" cm="1">
        <f t="array" ref="Y16">SUM(Y3:Y14*$O$3:$O$14)</f>
        <v>11990</v>
      </c>
      <c r="Z16" s="245">
        <v>0.34499999999999997</v>
      </c>
      <c r="AA16" s="245" cm="1">
        <f t="array" ref="AA16">SUM(AA3:AA14*$O$3:$O$14)</f>
        <v>5.8999999999999997E-2</v>
      </c>
      <c r="AB16" s="245" cm="1">
        <f t="array" ref="AB16">SUM(AB3:AB14*$O$3:$O$14)</f>
        <v>3.2000000000000001E-2</v>
      </c>
      <c r="AC16" s="245" cm="1">
        <f t="array" ref="AC16">SUM(AC3:AC14*$O$3:$O$14)</f>
        <v>1.1198E-3</v>
      </c>
      <c r="AD16" s="245" cm="1">
        <f t="array" ref="AD16">SUM(AD3:AD14*$O$3:$O$14)</f>
        <v>1.7783052631578946E-2</v>
      </c>
      <c r="AE16" s="79"/>
      <c r="AF16" s="79"/>
      <c r="AG16" s="43"/>
      <c r="AH16" s="42"/>
      <c r="AM16" s="43"/>
      <c r="AS16" s="43"/>
      <c r="AY16" s="43"/>
      <c r="BE16" s="43"/>
      <c r="BK16" s="43"/>
    </row>
    <row r="17" spans="1:63" x14ac:dyDescent="0.25">
      <c r="A17" s="131">
        <v>0.29166666666666702</v>
      </c>
      <c r="B17" s="41" t="s">
        <v>1240</v>
      </c>
      <c r="C17" s="41">
        <f t="shared" si="0"/>
        <v>6</v>
      </c>
      <c r="D17" s="120">
        <v>0.20447999999999994</v>
      </c>
      <c r="E17" s="62">
        <v>0.25919999999999999</v>
      </c>
      <c r="F17" s="62">
        <v>0</v>
      </c>
      <c r="G17" s="62">
        <v>0</v>
      </c>
      <c r="H17" s="62">
        <v>0</v>
      </c>
      <c r="I17" s="62">
        <v>0</v>
      </c>
      <c r="J17" s="62">
        <v>0</v>
      </c>
      <c r="K17" s="62">
        <v>0.42371999999999999</v>
      </c>
      <c r="L17" s="62">
        <v>3000</v>
      </c>
      <c r="M17" s="36"/>
      <c r="N17" s="247" t="s">
        <v>1398</v>
      </c>
      <c r="O17" s="248"/>
      <c r="P17" s="249">
        <v>0.81599999999999995</v>
      </c>
      <c r="Q17" s="249">
        <v>1.04</v>
      </c>
      <c r="R17" s="249">
        <v>1.6</v>
      </c>
      <c r="S17" s="249">
        <v>0.13200000000000001</v>
      </c>
      <c r="T17" s="249">
        <v>2.5</v>
      </c>
      <c r="U17" s="249">
        <v>0.7</v>
      </c>
      <c r="V17" s="249">
        <v>1.51</v>
      </c>
      <c r="W17" s="249">
        <v>0.7</v>
      </c>
      <c r="X17" s="249">
        <v>1.9</v>
      </c>
      <c r="Y17" s="249">
        <v>12000</v>
      </c>
      <c r="Z17" s="250">
        <v>0.34499999999999997</v>
      </c>
      <c r="AA17" s="250"/>
      <c r="AB17" s="250"/>
      <c r="AC17" s="250"/>
      <c r="AD17" s="251"/>
      <c r="AE17" s="79"/>
      <c r="AF17" s="79"/>
      <c r="AG17" s="43"/>
      <c r="AM17" s="43"/>
      <c r="AS17" s="43"/>
      <c r="AY17" s="43"/>
      <c r="BE17" s="43"/>
      <c r="BK17" s="43"/>
    </row>
    <row r="18" spans="1:63" x14ac:dyDescent="0.25">
      <c r="A18" s="131">
        <v>0.3125</v>
      </c>
      <c r="B18" s="41" t="s">
        <v>1240</v>
      </c>
      <c r="C18" s="41">
        <f t="shared" si="0"/>
        <v>6</v>
      </c>
      <c r="D18" s="120">
        <v>0.20447999999999994</v>
      </c>
      <c r="E18" s="62">
        <v>0.25919999999999999</v>
      </c>
      <c r="F18" s="62">
        <v>0</v>
      </c>
      <c r="G18" s="62">
        <v>0</v>
      </c>
      <c r="H18" s="62">
        <v>0</v>
      </c>
      <c r="I18" s="62">
        <v>0</v>
      </c>
      <c r="J18" s="62">
        <v>0</v>
      </c>
      <c r="K18" s="62">
        <v>0.42371999999999999</v>
      </c>
      <c r="L18" s="62">
        <v>3000</v>
      </c>
      <c r="M18" s="36"/>
      <c r="P18" s="136"/>
      <c r="Q18" s="136"/>
      <c r="R18" s="36"/>
      <c r="S18" s="229"/>
      <c r="T18" s="36"/>
      <c r="U18" s="36"/>
      <c r="V18" s="36"/>
      <c r="W18" s="36"/>
      <c r="X18" s="229"/>
      <c r="Y18" s="36"/>
      <c r="Z18" s="79"/>
      <c r="AA18" s="79"/>
      <c r="AB18" s="79"/>
      <c r="AC18" s="79"/>
      <c r="AD18" s="79"/>
      <c r="AE18" s="79"/>
      <c r="AF18" s="79"/>
      <c r="AG18" s="43"/>
      <c r="AM18" s="43"/>
      <c r="AS18" s="43"/>
      <c r="AY18" s="43"/>
      <c r="BE18" s="43"/>
      <c r="BK18" s="43"/>
    </row>
    <row r="19" spans="1:63" x14ac:dyDescent="0.25">
      <c r="A19" s="131">
        <v>0.33333333333333298</v>
      </c>
      <c r="B19" s="41" t="s">
        <v>1240</v>
      </c>
      <c r="C19" s="41">
        <f t="shared" si="0"/>
        <v>6</v>
      </c>
      <c r="D19" s="120">
        <v>0.20447999999999994</v>
      </c>
      <c r="E19" s="62">
        <v>0.25919999999999999</v>
      </c>
      <c r="F19" s="62">
        <v>0</v>
      </c>
      <c r="G19" s="62">
        <v>0</v>
      </c>
      <c r="H19" s="62">
        <v>0</v>
      </c>
      <c r="I19" s="62">
        <v>0</v>
      </c>
      <c r="J19" s="62">
        <v>0</v>
      </c>
      <c r="K19" s="62">
        <v>0.42371999999999999</v>
      </c>
      <c r="L19" s="62">
        <v>3000</v>
      </c>
      <c r="M19" s="36"/>
      <c r="N19" t="s">
        <v>1417</v>
      </c>
      <c r="O19" s="84">
        <f>T16+W16+Z16-R16-(S16-AB16)-X16</f>
        <v>0</v>
      </c>
      <c r="P19" s="136"/>
      <c r="Q19" s="136"/>
      <c r="R19" s="36"/>
      <c r="S19" s="36"/>
      <c r="T19" s="36"/>
      <c r="U19" s="36"/>
      <c r="V19" s="36"/>
      <c r="W19" s="36"/>
      <c r="X19" s="229"/>
      <c r="Y19" s="36"/>
      <c r="Z19" s="79"/>
      <c r="AA19" s="79"/>
      <c r="AB19" s="79"/>
      <c r="AC19" s="79"/>
      <c r="AD19" s="79"/>
      <c r="AE19" s="79"/>
      <c r="AF19" s="79"/>
      <c r="AG19" s="43"/>
      <c r="AM19" s="43"/>
      <c r="AS19" s="43"/>
      <c r="AY19" s="43"/>
      <c r="BE19" s="43"/>
      <c r="BK19" s="43"/>
    </row>
    <row r="20" spans="1:63" x14ac:dyDescent="0.25">
      <c r="A20" s="131">
        <v>0.35416666666666702</v>
      </c>
      <c r="B20" s="41" t="s">
        <v>1240</v>
      </c>
      <c r="C20" s="41">
        <f t="shared" si="0"/>
        <v>6</v>
      </c>
      <c r="D20" s="120">
        <v>0.20447999999999994</v>
      </c>
      <c r="E20" s="62">
        <v>0.25919999999999999</v>
      </c>
      <c r="F20" s="62">
        <v>0</v>
      </c>
      <c r="G20" s="62">
        <v>0</v>
      </c>
      <c r="H20" s="62">
        <v>0</v>
      </c>
      <c r="I20" s="62">
        <v>0</v>
      </c>
      <c r="J20" s="62">
        <v>0</v>
      </c>
      <c r="K20" s="62">
        <v>0.42371999999999999</v>
      </c>
      <c r="L20" s="62">
        <v>3000</v>
      </c>
      <c r="M20" s="36"/>
      <c r="N20" t="s">
        <v>1429</v>
      </c>
      <c r="O20">
        <v>0</v>
      </c>
      <c r="P20" s="36"/>
      <c r="Q20" s="36"/>
      <c r="R20" s="36"/>
      <c r="S20" s="36"/>
      <c r="T20" s="36"/>
      <c r="U20" s="36"/>
      <c r="V20" s="36"/>
      <c r="W20" s="36"/>
      <c r="X20" s="36"/>
      <c r="Y20" s="36"/>
      <c r="Z20" s="36"/>
      <c r="AA20" s="36"/>
      <c r="AB20" s="36"/>
      <c r="AC20" s="36"/>
      <c r="AD20" s="36"/>
      <c r="AE20" s="79"/>
      <c r="AF20" s="79"/>
      <c r="AG20" s="43"/>
      <c r="AM20" s="43"/>
      <c r="AS20" s="43"/>
      <c r="AY20" s="43"/>
      <c r="BE20" s="43"/>
      <c r="BK20" s="43"/>
    </row>
    <row r="21" spans="1:63" x14ac:dyDescent="0.25">
      <c r="A21" s="131">
        <v>0.375</v>
      </c>
      <c r="B21" s="41" t="s">
        <v>1240</v>
      </c>
      <c r="C21" s="41">
        <f t="shared" si="0"/>
        <v>6</v>
      </c>
      <c r="D21" s="120">
        <v>0.20447999999999994</v>
      </c>
      <c r="E21" s="62">
        <v>0.25919999999999999</v>
      </c>
      <c r="F21" s="62">
        <v>0</v>
      </c>
      <c r="G21" s="62">
        <v>0</v>
      </c>
      <c r="H21" s="62">
        <v>0</v>
      </c>
      <c r="I21" s="62">
        <v>0</v>
      </c>
      <c r="J21" s="62">
        <v>0</v>
      </c>
      <c r="K21" s="62">
        <v>0.42371999999999999</v>
      </c>
      <c r="L21" s="62">
        <v>3000</v>
      </c>
      <c r="M21" s="36"/>
      <c r="N21" t="s">
        <v>1428</v>
      </c>
      <c r="O21">
        <v>0</v>
      </c>
      <c r="AE21" s="79"/>
      <c r="AF21" s="79"/>
      <c r="AG21" s="43"/>
      <c r="AM21" s="43"/>
      <c r="AS21" s="43"/>
      <c r="AY21" s="43"/>
      <c r="BE21" s="43"/>
      <c r="BK21" s="43"/>
    </row>
    <row r="22" spans="1:63" x14ac:dyDescent="0.25">
      <c r="A22" s="131">
        <v>0.39583333333333298</v>
      </c>
      <c r="B22" s="41" t="s">
        <v>810</v>
      </c>
      <c r="C22" s="41">
        <f t="shared" si="0"/>
        <v>6</v>
      </c>
      <c r="D22" s="120">
        <v>1.4184000000000001</v>
      </c>
      <c r="E22" s="62">
        <v>1.7946</v>
      </c>
      <c r="F22" s="62">
        <v>0</v>
      </c>
      <c r="G22" s="62">
        <v>0</v>
      </c>
      <c r="H22" s="62">
        <v>0</v>
      </c>
      <c r="I22" s="62">
        <v>0</v>
      </c>
      <c r="J22" s="62">
        <v>0</v>
      </c>
      <c r="K22" s="62">
        <v>3.2338800000000001</v>
      </c>
      <c r="L22" s="62">
        <v>12351</v>
      </c>
      <c r="M22" s="36"/>
      <c r="N22" s="87" t="s">
        <v>1195</v>
      </c>
      <c r="O22" s="89" t="s">
        <v>1196</v>
      </c>
      <c r="AE22" s="79"/>
      <c r="AF22" s="79"/>
      <c r="AG22" s="43"/>
      <c r="AM22" s="43"/>
      <c r="AS22" s="43"/>
      <c r="AY22" s="43"/>
      <c r="BE22" s="43"/>
      <c r="BK22" s="43"/>
    </row>
    <row r="23" spans="1:63" x14ac:dyDescent="0.25">
      <c r="A23" s="131">
        <v>0.41666666666666702</v>
      </c>
      <c r="B23" s="41" t="s">
        <v>811</v>
      </c>
      <c r="C23" s="41">
        <f t="shared" si="0"/>
        <v>6</v>
      </c>
      <c r="D23" s="120">
        <v>0.20447999999999994</v>
      </c>
      <c r="E23" s="62">
        <v>0.25919999999999999</v>
      </c>
      <c r="F23" s="62">
        <v>0</v>
      </c>
      <c r="G23" s="62">
        <v>0</v>
      </c>
      <c r="H23" s="62">
        <v>2.3275349999999997</v>
      </c>
      <c r="I23" s="62">
        <v>0.6000000000000002</v>
      </c>
      <c r="J23" s="62">
        <v>0</v>
      </c>
      <c r="K23" s="62">
        <v>1.6873200000000002</v>
      </c>
      <c r="L23" s="62">
        <v>7048.5</v>
      </c>
      <c r="M23" s="36"/>
      <c r="N23" s="88" t="s">
        <v>1194</v>
      </c>
      <c r="O23" s="118">
        <v>0.7</v>
      </c>
      <c r="AE23" s="79"/>
      <c r="AF23" s="79"/>
      <c r="AG23" s="43"/>
      <c r="AM23" s="43"/>
      <c r="AS23" s="43"/>
      <c r="AY23" s="43"/>
      <c r="BE23" s="43"/>
      <c r="BK23" s="43"/>
    </row>
    <row r="24" spans="1:63" x14ac:dyDescent="0.25">
      <c r="A24" s="131">
        <v>0.4375</v>
      </c>
      <c r="B24" s="41" t="s">
        <v>811</v>
      </c>
      <c r="C24" s="41">
        <f t="shared" si="0"/>
        <v>6</v>
      </c>
      <c r="D24" s="120">
        <v>0.20447999999999994</v>
      </c>
      <c r="E24" s="62">
        <v>0.25919999999999999</v>
      </c>
      <c r="F24" s="62">
        <v>0</v>
      </c>
      <c r="G24" s="62">
        <v>0</v>
      </c>
      <c r="H24" s="62">
        <v>2.3275349999999997</v>
      </c>
      <c r="I24" s="62">
        <v>0.6000000000000002</v>
      </c>
      <c r="J24" s="62">
        <v>0</v>
      </c>
      <c r="K24" s="62">
        <v>1.6873200000000002</v>
      </c>
      <c r="L24" s="62">
        <v>7048.5</v>
      </c>
      <c r="M24" s="36"/>
      <c r="N24" t="s">
        <v>1199</v>
      </c>
      <c r="O24" s="99">
        <v>15.2</v>
      </c>
      <c r="AE24" s="79"/>
      <c r="AF24" s="79"/>
      <c r="AG24" s="43"/>
      <c r="AM24" s="43"/>
      <c r="AS24" s="43"/>
      <c r="AY24" s="43"/>
      <c r="BE24" s="43"/>
      <c r="BK24" s="43"/>
    </row>
    <row r="25" spans="1:63" x14ac:dyDescent="0.25">
      <c r="A25" s="131">
        <v>0.45833333333333298</v>
      </c>
      <c r="B25" s="41" t="s">
        <v>813</v>
      </c>
      <c r="C25" s="41">
        <f t="shared" si="0"/>
        <v>6</v>
      </c>
      <c r="D25" s="120">
        <v>0.20447999999999994</v>
      </c>
      <c r="E25" s="62">
        <v>0.25919999999999999</v>
      </c>
      <c r="F25" s="62">
        <v>0</v>
      </c>
      <c r="G25" s="62">
        <v>0</v>
      </c>
      <c r="H25" s="62">
        <v>4.1746399999999992</v>
      </c>
      <c r="I25" s="62">
        <v>0.6000000000000002</v>
      </c>
      <c r="J25" s="62">
        <v>3.3834066666666667</v>
      </c>
      <c r="K25" s="62">
        <v>0.42371999999999999</v>
      </c>
      <c r="L25" s="62">
        <v>3000</v>
      </c>
      <c r="M25" s="36"/>
      <c r="AE25" s="79"/>
      <c r="AF25" s="79"/>
      <c r="AG25" s="43"/>
      <c r="AM25" s="43"/>
      <c r="AS25" s="43"/>
      <c r="AY25" s="43"/>
      <c r="BE25" s="43"/>
      <c r="BK25" s="43"/>
    </row>
    <row r="26" spans="1:63" x14ac:dyDescent="0.25">
      <c r="A26" s="131">
        <v>0.47916666666666702</v>
      </c>
      <c r="B26" s="41" t="s">
        <v>813</v>
      </c>
      <c r="C26" s="41">
        <f t="shared" si="0"/>
        <v>6</v>
      </c>
      <c r="D26" s="120">
        <v>0.20447999999999994</v>
      </c>
      <c r="E26" s="62">
        <v>0.25919999999999999</v>
      </c>
      <c r="F26" s="62">
        <v>0</v>
      </c>
      <c r="G26" s="62">
        <v>0</v>
      </c>
      <c r="H26" s="62">
        <v>4.1746399999999992</v>
      </c>
      <c r="I26" s="62">
        <v>0.6000000000000002</v>
      </c>
      <c r="J26" s="62">
        <v>3.3834066666666667</v>
      </c>
      <c r="K26" s="62">
        <v>0.42371999999999999</v>
      </c>
      <c r="L26" s="62">
        <v>3000</v>
      </c>
      <c r="M26" s="36"/>
      <c r="AE26" s="36"/>
      <c r="AF26" s="36"/>
      <c r="AG26" s="43"/>
      <c r="AM26" s="43"/>
      <c r="AS26" s="43"/>
      <c r="AY26" s="43"/>
      <c r="BE26" s="43"/>
      <c r="BK26" s="43"/>
    </row>
    <row r="27" spans="1:63" x14ac:dyDescent="0.25">
      <c r="A27" s="131">
        <v>0.5</v>
      </c>
      <c r="B27" s="41" t="s">
        <v>809</v>
      </c>
      <c r="C27" s="41">
        <f t="shared" si="0"/>
        <v>6</v>
      </c>
      <c r="D27" s="120">
        <v>0.20447999999999994</v>
      </c>
      <c r="E27" s="62">
        <v>0.25919999999999999</v>
      </c>
      <c r="F27" s="62">
        <v>0</v>
      </c>
      <c r="G27" s="62">
        <v>0</v>
      </c>
      <c r="H27" s="62">
        <v>0</v>
      </c>
      <c r="I27" s="62">
        <v>0</v>
      </c>
      <c r="J27" s="62">
        <v>0</v>
      </c>
      <c r="K27" s="62">
        <v>0.42371999999999999</v>
      </c>
      <c r="L27" s="62">
        <v>3000</v>
      </c>
      <c r="M27" s="36"/>
      <c r="AE27" s="36"/>
      <c r="AF27" s="36"/>
      <c r="AG27" s="43"/>
      <c r="AM27" s="43"/>
      <c r="AS27" s="43"/>
      <c r="AY27" s="43"/>
      <c r="BE27" s="43"/>
      <c r="BK27" s="43"/>
    </row>
    <row r="28" spans="1:63" x14ac:dyDescent="0.25">
      <c r="A28" s="131">
        <v>0.52083333333333304</v>
      </c>
      <c r="B28" s="41" t="s">
        <v>809</v>
      </c>
      <c r="C28" s="41">
        <f t="shared" si="0"/>
        <v>6</v>
      </c>
      <c r="D28" s="120">
        <v>0.20447999999999994</v>
      </c>
      <c r="E28" s="62">
        <v>0.25919999999999999</v>
      </c>
      <c r="F28" s="62">
        <v>0</v>
      </c>
      <c r="G28" s="62">
        <v>0</v>
      </c>
      <c r="H28" s="62">
        <v>0</v>
      </c>
      <c r="I28" s="62">
        <v>0</v>
      </c>
      <c r="J28" s="62">
        <v>0</v>
      </c>
      <c r="K28" s="62">
        <v>0.42371999999999999</v>
      </c>
      <c r="L28" s="62">
        <v>3000</v>
      </c>
      <c r="M28" s="36"/>
      <c r="N28" s="267"/>
      <c r="O28" s="267"/>
      <c r="AE28" s="36"/>
      <c r="AF28" s="36"/>
      <c r="AG28" s="43"/>
      <c r="AM28" s="43"/>
      <c r="AS28" s="43"/>
      <c r="AY28" s="43"/>
      <c r="BE28" s="43"/>
      <c r="BK28" s="43"/>
    </row>
    <row r="29" spans="1:63" x14ac:dyDescent="0.25">
      <c r="A29" s="131">
        <v>0.54166666666666696</v>
      </c>
      <c r="B29" s="41" t="s">
        <v>809</v>
      </c>
      <c r="C29" s="41">
        <f t="shared" si="0"/>
        <v>6</v>
      </c>
      <c r="D29" s="120">
        <v>0.20447999999999994</v>
      </c>
      <c r="E29" s="62">
        <v>0.25919999999999999</v>
      </c>
      <c r="F29" s="62">
        <v>0</v>
      </c>
      <c r="G29" s="62">
        <v>0</v>
      </c>
      <c r="H29" s="62">
        <v>0</v>
      </c>
      <c r="I29" s="62">
        <v>0</v>
      </c>
      <c r="J29" s="62">
        <v>0</v>
      </c>
      <c r="K29" s="62">
        <v>0.42371999999999999</v>
      </c>
      <c r="L29" s="62">
        <v>3000</v>
      </c>
      <c r="M29" s="36"/>
      <c r="AE29" s="36"/>
      <c r="AF29" s="36"/>
      <c r="AG29" s="43"/>
      <c r="AM29" s="43"/>
      <c r="AS29" s="43"/>
      <c r="AY29" s="43"/>
      <c r="BE29" s="43"/>
      <c r="BK29" s="43"/>
    </row>
    <row r="30" spans="1:63" x14ac:dyDescent="0.25">
      <c r="A30" s="131">
        <v>0.5625</v>
      </c>
      <c r="B30" s="41" t="s">
        <v>809</v>
      </c>
      <c r="C30" s="41">
        <f t="shared" si="0"/>
        <v>6</v>
      </c>
      <c r="D30" s="120">
        <v>0.20447999999999994</v>
      </c>
      <c r="E30" s="62">
        <v>0.25919999999999999</v>
      </c>
      <c r="F30" s="62">
        <v>0</v>
      </c>
      <c r="G30" s="62">
        <v>0</v>
      </c>
      <c r="H30" s="62">
        <v>0</v>
      </c>
      <c r="I30" s="62">
        <v>0</v>
      </c>
      <c r="J30" s="62">
        <v>0</v>
      </c>
      <c r="K30" s="62">
        <v>0.42371999999999999</v>
      </c>
      <c r="L30" s="62">
        <v>3000</v>
      </c>
      <c r="M30" s="36"/>
      <c r="AE30" s="36"/>
      <c r="AF30" s="36"/>
      <c r="AG30" s="43"/>
      <c r="AM30" s="43"/>
      <c r="AS30" s="43"/>
      <c r="AY30" s="43"/>
      <c r="BE30" s="43"/>
      <c r="BK30" s="43"/>
    </row>
    <row r="31" spans="1:63" x14ac:dyDescent="0.25">
      <c r="A31" s="131">
        <v>0.58333333333333304</v>
      </c>
      <c r="B31" s="41" t="s">
        <v>809</v>
      </c>
      <c r="C31" s="41">
        <f t="shared" si="0"/>
        <v>6</v>
      </c>
      <c r="D31" s="120">
        <v>0.20447999999999994</v>
      </c>
      <c r="E31" s="62">
        <v>0.25919999999999999</v>
      </c>
      <c r="F31" s="62">
        <v>0</v>
      </c>
      <c r="G31" s="62">
        <v>0</v>
      </c>
      <c r="H31" s="62">
        <v>0</v>
      </c>
      <c r="I31" s="62">
        <v>0</v>
      </c>
      <c r="J31" s="62">
        <v>0</v>
      </c>
      <c r="K31" s="62">
        <v>0.42371999999999999</v>
      </c>
      <c r="L31" s="62">
        <v>3000</v>
      </c>
      <c r="M31" s="36"/>
      <c r="AE31" s="36"/>
      <c r="AF31" s="36"/>
      <c r="AG31" s="43"/>
      <c r="AM31" s="43"/>
      <c r="AS31" s="43"/>
      <c r="AY31" s="43"/>
      <c r="BE31" s="43"/>
      <c r="BK31" s="43"/>
    </row>
    <row r="32" spans="1:63" x14ac:dyDescent="0.25">
      <c r="A32" s="131">
        <v>0.60416666666666696</v>
      </c>
      <c r="B32" s="41" t="s">
        <v>810</v>
      </c>
      <c r="C32" s="41">
        <f t="shared" si="0"/>
        <v>6</v>
      </c>
      <c r="D32" s="120">
        <v>1.4184000000000001</v>
      </c>
      <c r="E32" s="62">
        <v>1.7946</v>
      </c>
      <c r="F32" s="62">
        <v>0</v>
      </c>
      <c r="G32" s="62">
        <v>0</v>
      </c>
      <c r="H32" s="62">
        <v>0</v>
      </c>
      <c r="I32" s="62">
        <v>0</v>
      </c>
      <c r="J32" s="62">
        <v>0</v>
      </c>
      <c r="K32" s="62">
        <v>3.2338800000000001</v>
      </c>
      <c r="L32" s="62">
        <v>12351</v>
      </c>
      <c r="M32" s="36"/>
      <c r="AE32" s="36"/>
      <c r="AF32" s="36"/>
      <c r="AG32" s="43"/>
      <c r="AM32" s="43"/>
      <c r="AS32" s="43"/>
      <c r="AY32" s="43"/>
      <c r="BE32" s="43"/>
      <c r="BK32" s="43"/>
    </row>
    <row r="33" spans="1:63" x14ac:dyDescent="0.25">
      <c r="A33" s="131">
        <v>0.625</v>
      </c>
      <c r="B33" s="41" t="s">
        <v>811</v>
      </c>
      <c r="C33" s="41">
        <f t="shared" si="0"/>
        <v>6</v>
      </c>
      <c r="D33" s="120">
        <v>0.20447999999999994</v>
      </c>
      <c r="E33" s="62">
        <v>0.25919999999999999</v>
      </c>
      <c r="F33" s="62">
        <v>0</v>
      </c>
      <c r="G33" s="62">
        <v>0</v>
      </c>
      <c r="H33" s="62">
        <v>2.3275349999999997</v>
      </c>
      <c r="I33" s="62">
        <v>0.6000000000000002</v>
      </c>
      <c r="J33" s="62">
        <v>0</v>
      </c>
      <c r="K33" s="62">
        <v>1.6873200000000002</v>
      </c>
      <c r="L33" s="62">
        <v>7048.5</v>
      </c>
      <c r="M33" s="36"/>
      <c r="AE33" s="36"/>
      <c r="AF33" s="36"/>
      <c r="AG33" s="43"/>
      <c r="AM33" s="43"/>
      <c r="AS33" s="43"/>
      <c r="AY33" s="43"/>
      <c r="BE33" s="43"/>
      <c r="BK33" s="43"/>
    </row>
    <row r="34" spans="1:63" x14ac:dyDescent="0.25">
      <c r="A34" s="131">
        <v>0.64583333333333304</v>
      </c>
      <c r="B34" s="41" t="s">
        <v>811</v>
      </c>
      <c r="C34" s="41">
        <f t="shared" si="0"/>
        <v>6</v>
      </c>
      <c r="D34" s="120">
        <v>0.20447999999999994</v>
      </c>
      <c r="E34" s="62">
        <v>0.25919999999999999</v>
      </c>
      <c r="F34" s="62">
        <v>0</v>
      </c>
      <c r="G34" s="62">
        <v>0</v>
      </c>
      <c r="H34" s="62">
        <v>2.3275349999999997</v>
      </c>
      <c r="I34" s="62">
        <v>0.6000000000000002</v>
      </c>
      <c r="J34" s="62">
        <v>0</v>
      </c>
      <c r="K34" s="62">
        <v>1.6873200000000002</v>
      </c>
      <c r="L34" s="62">
        <v>7048.5</v>
      </c>
      <c r="M34" s="36"/>
      <c r="AE34" s="36"/>
      <c r="AF34" s="36"/>
      <c r="AG34" s="43"/>
      <c r="AM34" s="43"/>
      <c r="AS34" s="43"/>
      <c r="AY34" s="43"/>
      <c r="BE34" s="43"/>
      <c r="BK34" s="43"/>
    </row>
    <row r="35" spans="1:63" x14ac:dyDescent="0.25">
      <c r="A35" s="131">
        <v>0.66666666666666696</v>
      </c>
      <c r="B35" s="41" t="s">
        <v>809</v>
      </c>
      <c r="C35" s="41">
        <f t="shared" si="0"/>
        <v>6</v>
      </c>
      <c r="D35" s="120">
        <v>0.20447999999999994</v>
      </c>
      <c r="E35" s="62">
        <v>0.25919999999999999</v>
      </c>
      <c r="F35" s="62">
        <v>0</v>
      </c>
      <c r="G35" s="62">
        <v>0</v>
      </c>
      <c r="H35" s="62">
        <v>0</v>
      </c>
      <c r="I35" s="62">
        <v>0</v>
      </c>
      <c r="J35" s="62">
        <v>0</v>
      </c>
      <c r="K35" s="62">
        <v>0.42371999999999999</v>
      </c>
      <c r="L35" s="62">
        <v>3000</v>
      </c>
      <c r="M35" s="36"/>
      <c r="AE35" s="36"/>
      <c r="AF35" s="36"/>
      <c r="AG35" s="43"/>
      <c r="AM35" s="43"/>
      <c r="AS35" s="43"/>
      <c r="AY35" s="43"/>
      <c r="BE35" s="43"/>
      <c r="BK35" s="43"/>
    </row>
    <row r="36" spans="1:63" x14ac:dyDescent="0.25">
      <c r="A36" s="131">
        <v>0.6875</v>
      </c>
      <c r="B36" s="41" t="s">
        <v>809</v>
      </c>
      <c r="C36" s="41">
        <f t="shared" si="0"/>
        <v>6</v>
      </c>
      <c r="D36" s="120">
        <v>0.20447999999999994</v>
      </c>
      <c r="E36" s="62">
        <v>0.25919999999999999</v>
      </c>
      <c r="F36" s="62">
        <v>0</v>
      </c>
      <c r="G36" s="62">
        <v>0</v>
      </c>
      <c r="H36" s="62">
        <v>0</v>
      </c>
      <c r="I36" s="62">
        <v>0</v>
      </c>
      <c r="J36" s="62">
        <v>0</v>
      </c>
      <c r="K36" s="62">
        <v>0.42371999999999999</v>
      </c>
      <c r="L36" s="62">
        <v>3000</v>
      </c>
      <c r="M36" s="36"/>
      <c r="AE36" s="36"/>
      <c r="AF36" s="36"/>
      <c r="AG36" s="43"/>
      <c r="AM36" s="43"/>
      <c r="AS36" s="43"/>
      <c r="AY36" s="43"/>
      <c r="BE36" s="43"/>
      <c r="BK36" s="43"/>
    </row>
    <row r="37" spans="1:63" x14ac:dyDescent="0.25">
      <c r="A37" s="131">
        <v>0.70833333333333304</v>
      </c>
      <c r="B37" s="41" t="s">
        <v>814</v>
      </c>
      <c r="C37" s="41">
        <f t="shared" si="0"/>
        <v>6</v>
      </c>
      <c r="D37" s="120">
        <v>0.20447999999999994</v>
      </c>
      <c r="E37" s="62">
        <v>0.25919999999999999</v>
      </c>
      <c r="F37" s="62">
        <v>0</v>
      </c>
      <c r="G37" s="62">
        <v>0</v>
      </c>
      <c r="H37" s="62">
        <v>4.1746399999999992</v>
      </c>
      <c r="I37" s="62">
        <v>0.6000000000000002</v>
      </c>
      <c r="J37" s="62">
        <v>3.3834066666666667</v>
      </c>
      <c r="K37" s="62">
        <v>0.42371999999999999</v>
      </c>
      <c r="L37" s="62">
        <v>3000</v>
      </c>
      <c r="M37" s="36"/>
      <c r="AE37" s="36"/>
      <c r="AF37" s="36"/>
      <c r="AG37" s="43"/>
      <c r="AM37" s="43"/>
      <c r="AS37" s="43"/>
      <c r="AY37" s="43"/>
      <c r="BE37" s="43"/>
      <c r="BK37" s="43"/>
    </row>
    <row r="38" spans="1:63" x14ac:dyDescent="0.25">
      <c r="A38" s="131">
        <v>0.72916666666666696</v>
      </c>
      <c r="B38" s="41" t="s">
        <v>814</v>
      </c>
      <c r="C38" s="41">
        <f t="shared" si="0"/>
        <v>6</v>
      </c>
      <c r="D38" s="120">
        <v>0.20447999999999994</v>
      </c>
      <c r="E38" s="62">
        <v>0.25919999999999999</v>
      </c>
      <c r="F38" s="62">
        <v>0</v>
      </c>
      <c r="G38" s="62">
        <v>0</v>
      </c>
      <c r="H38" s="62">
        <v>4.1746399999999992</v>
      </c>
      <c r="I38" s="62">
        <v>0.6000000000000002</v>
      </c>
      <c r="J38" s="62">
        <v>3.3834066666666667</v>
      </c>
      <c r="K38" s="62">
        <v>0.42371999999999999</v>
      </c>
      <c r="L38" s="62">
        <v>3000</v>
      </c>
      <c r="M38" s="36"/>
      <c r="AE38" s="36"/>
      <c r="AF38" s="36"/>
      <c r="AG38" s="43"/>
      <c r="AM38" s="43"/>
      <c r="AS38" s="43"/>
      <c r="AY38" s="43"/>
      <c r="BE38" s="43"/>
      <c r="BK38" s="43"/>
    </row>
    <row r="39" spans="1:63" x14ac:dyDescent="0.25">
      <c r="A39" s="131">
        <v>0.75</v>
      </c>
      <c r="B39" s="41" t="s">
        <v>1240</v>
      </c>
      <c r="C39" s="41">
        <f t="shared" si="0"/>
        <v>6</v>
      </c>
      <c r="D39" s="120">
        <v>0.20447999999999994</v>
      </c>
      <c r="E39" s="62">
        <v>0.25919999999999999</v>
      </c>
      <c r="F39" s="62">
        <v>0</v>
      </c>
      <c r="G39" s="62">
        <v>0</v>
      </c>
      <c r="H39" s="62">
        <v>0</v>
      </c>
      <c r="I39" s="62">
        <v>0</v>
      </c>
      <c r="J39" s="62">
        <v>0</v>
      </c>
      <c r="K39" s="62">
        <v>0.42371999999999999</v>
      </c>
      <c r="L39" s="62">
        <v>3000</v>
      </c>
      <c r="M39" s="36"/>
      <c r="AE39" s="36"/>
      <c r="AF39" s="36"/>
      <c r="AG39" s="43"/>
      <c r="AM39" s="43"/>
      <c r="AS39" s="43"/>
      <c r="AY39" s="43"/>
      <c r="BE39" s="43"/>
      <c r="BK39" s="43"/>
    </row>
    <row r="40" spans="1:63" x14ac:dyDescent="0.25">
      <c r="A40" s="131">
        <v>0.77083333333333304</v>
      </c>
      <c r="B40" s="41" t="s">
        <v>1240</v>
      </c>
      <c r="C40" s="41">
        <f t="shared" si="0"/>
        <v>6</v>
      </c>
      <c r="D40" s="120">
        <v>0.20447999999999994</v>
      </c>
      <c r="E40" s="62">
        <v>0.25919999999999999</v>
      </c>
      <c r="F40" s="62">
        <v>0</v>
      </c>
      <c r="G40" s="62">
        <v>0</v>
      </c>
      <c r="H40" s="62">
        <v>0</v>
      </c>
      <c r="I40" s="62">
        <v>0</v>
      </c>
      <c r="J40" s="62">
        <v>0</v>
      </c>
      <c r="K40" s="62">
        <v>0.42371999999999999</v>
      </c>
      <c r="L40" s="62">
        <v>3000</v>
      </c>
      <c r="M40" s="36"/>
      <c r="AE40" s="36"/>
      <c r="AF40" s="36"/>
      <c r="AG40" s="43"/>
      <c r="AM40" s="43"/>
      <c r="AS40" s="43"/>
      <c r="AY40" s="43"/>
      <c r="BE40" s="43"/>
      <c r="BK40" s="43"/>
    </row>
    <row r="41" spans="1:63" x14ac:dyDescent="0.25">
      <c r="A41" s="131">
        <v>0.79166666666666696</v>
      </c>
      <c r="B41" s="41" t="s">
        <v>1240</v>
      </c>
      <c r="C41" s="41">
        <f t="shared" si="0"/>
        <v>6</v>
      </c>
      <c r="D41" s="120">
        <v>0.20447999999999994</v>
      </c>
      <c r="E41" s="62">
        <v>0.25919999999999999</v>
      </c>
      <c r="F41" s="62">
        <v>0</v>
      </c>
      <c r="G41" s="62">
        <v>0</v>
      </c>
      <c r="H41" s="62">
        <v>0</v>
      </c>
      <c r="I41" s="62">
        <v>0</v>
      </c>
      <c r="J41" s="62">
        <v>0</v>
      </c>
      <c r="K41" s="62">
        <v>0.42371999999999999</v>
      </c>
      <c r="L41" s="62">
        <v>3000</v>
      </c>
      <c r="M41" s="36"/>
      <c r="AE41" s="36"/>
      <c r="AF41" s="36"/>
      <c r="AG41" s="43"/>
      <c r="AM41" s="43"/>
      <c r="AS41" s="43"/>
      <c r="AY41" s="43"/>
      <c r="BE41" s="43"/>
      <c r="BK41" s="43"/>
    </row>
    <row r="42" spans="1:63" x14ac:dyDescent="0.25">
      <c r="A42" s="131">
        <v>0.8125</v>
      </c>
      <c r="B42" s="41" t="s">
        <v>1240</v>
      </c>
      <c r="C42" s="41">
        <f t="shared" si="0"/>
        <v>6</v>
      </c>
      <c r="D42" s="120">
        <v>0.20447999999999994</v>
      </c>
      <c r="E42" s="62">
        <v>0.25919999999999999</v>
      </c>
      <c r="F42" s="62">
        <v>0</v>
      </c>
      <c r="G42" s="62">
        <v>0</v>
      </c>
      <c r="H42" s="62">
        <v>0</v>
      </c>
      <c r="I42" s="62">
        <v>0</v>
      </c>
      <c r="J42" s="62">
        <v>0</v>
      </c>
      <c r="K42" s="62">
        <v>0.42371999999999999</v>
      </c>
      <c r="L42" s="62">
        <v>3000</v>
      </c>
      <c r="M42" s="36"/>
      <c r="AE42" s="36"/>
      <c r="AF42" s="36"/>
      <c r="AG42" s="43"/>
      <c r="AM42" s="43"/>
      <c r="AS42" s="43"/>
      <c r="AY42" s="43"/>
      <c r="BE42" s="43"/>
      <c r="BK42" s="43"/>
    </row>
    <row r="43" spans="1:63" x14ac:dyDescent="0.25">
      <c r="A43" s="131">
        <v>0.83333333333333304</v>
      </c>
      <c r="B43" s="41" t="s">
        <v>807</v>
      </c>
      <c r="C43" s="41">
        <f t="shared" si="0"/>
        <v>6</v>
      </c>
      <c r="D43" s="120">
        <v>0.20447999999999994</v>
      </c>
      <c r="E43" s="62">
        <v>0.25919999999999999</v>
      </c>
      <c r="F43" s="62">
        <v>3.2</v>
      </c>
      <c r="G43" s="62">
        <v>0</v>
      </c>
      <c r="H43" s="62">
        <v>0</v>
      </c>
      <c r="I43" s="62">
        <v>0</v>
      </c>
      <c r="J43" s="62">
        <v>0</v>
      </c>
      <c r="K43" s="62">
        <v>0.42371999999999999</v>
      </c>
      <c r="L43" s="62">
        <v>3000</v>
      </c>
      <c r="M43" s="36"/>
      <c r="AE43" s="36"/>
      <c r="AF43" s="36"/>
      <c r="AG43" s="43"/>
      <c r="AM43" s="43"/>
      <c r="AS43" s="43"/>
      <c r="AY43" s="43"/>
      <c r="BE43" s="43"/>
      <c r="BK43" s="43"/>
    </row>
    <row r="44" spans="1:63" x14ac:dyDescent="0.25">
      <c r="A44" s="131">
        <v>0.85416666666666696</v>
      </c>
      <c r="B44" s="41" t="s">
        <v>807</v>
      </c>
      <c r="C44" s="41">
        <f t="shared" si="0"/>
        <v>6</v>
      </c>
      <c r="D44" s="120">
        <v>0.20447999999999994</v>
      </c>
      <c r="E44" s="62">
        <v>0.25919999999999999</v>
      </c>
      <c r="F44" s="62">
        <v>3.2</v>
      </c>
      <c r="G44" s="62">
        <v>0</v>
      </c>
      <c r="H44" s="62">
        <v>0</v>
      </c>
      <c r="I44" s="62">
        <v>0</v>
      </c>
      <c r="J44" s="62">
        <v>0</v>
      </c>
      <c r="K44" s="62">
        <v>0.42371999999999999</v>
      </c>
      <c r="L44" s="62">
        <v>3000</v>
      </c>
      <c r="M44" s="36"/>
      <c r="AE44" s="36"/>
      <c r="AF44" s="36"/>
      <c r="AG44" s="43"/>
      <c r="AM44" s="43"/>
      <c r="AS44" s="43"/>
      <c r="AY44" s="43"/>
      <c r="BE44" s="43"/>
      <c r="BK44" s="43"/>
    </row>
    <row r="45" spans="1:63" x14ac:dyDescent="0.25">
      <c r="A45" s="131">
        <v>0.875</v>
      </c>
      <c r="B45" s="41" t="s">
        <v>805</v>
      </c>
      <c r="C45" s="41">
        <f t="shared" si="0"/>
        <v>6</v>
      </c>
      <c r="D45" s="120">
        <v>0.12959999999999999</v>
      </c>
      <c r="E45" s="62">
        <v>0.1638</v>
      </c>
      <c r="F45" s="62">
        <v>0</v>
      </c>
      <c r="G45" s="62">
        <v>0</v>
      </c>
      <c r="H45" s="62">
        <v>0</v>
      </c>
      <c r="I45" s="62">
        <v>0</v>
      </c>
      <c r="J45" s="62">
        <v>0</v>
      </c>
      <c r="K45" s="62">
        <v>0.22679999999999995</v>
      </c>
      <c r="L45" s="62">
        <v>1902</v>
      </c>
      <c r="M45" s="36"/>
      <c r="AE45" s="36"/>
      <c r="AF45" s="36"/>
      <c r="AG45" s="43"/>
      <c r="AM45" s="43"/>
      <c r="AS45" s="43"/>
      <c r="AY45" s="43"/>
      <c r="BE45" s="43"/>
      <c r="BK45" s="43"/>
    </row>
    <row r="46" spans="1:63" x14ac:dyDescent="0.25">
      <c r="A46" s="131">
        <v>0.89583333333333304</v>
      </c>
      <c r="B46" s="41" t="s">
        <v>805</v>
      </c>
      <c r="C46" s="41">
        <f t="shared" si="0"/>
        <v>6</v>
      </c>
      <c r="D46" s="120">
        <v>0.12959999999999999</v>
      </c>
      <c r="E46" s="62">
        <v>0.1638</v>
      </c>
      <c r="F46" s="62">
        <v>0</v>
      </c>
      <c r="G46" s="62">
        <v>0</v>
      </c>
      <c r="H46" s="62">
        <v>0</v>
      </c>
      <c r="I46" s="62">
        <v>0</v>
      </c>
      <c r="J46" s="62">
        <v>0</v>
      </c>
      <c r="K46" s="62">
        <v>0.22679999999999995</v>
      </c>
      <c r="L46" s="62">
        <v>1902</v>
      </c>
      <c r="M46" s="36"/>
      <c r="N46" s="36"/>
      <c r="O46" s="36"/>
      <c r="P46" s="36"/>
      <c r="Q46" s="36"/>
      <c r="R46" s="36"/>
      <c r="S46" s="36"/>
      <c r="T46" s="36"/>
      <c r="U46" s="36"/>
      <c r="V46" s="36"/>
      <c r="W46" s="36"/>
      <c r="X46" s="36"/>
      <c r="Y46" s="36"/>
      <c r="Z46" s="36"/>
      <c r="AA46" s="36"/>
      <c r="AB46" s="36"/>
      <c r="AC46" s="36"/>
      <c r="AD46" s="36"/>
      <c r="AE46" s="36"/>
      <c r="AF46" s="36"/>
      <c r="AG46" s="43"/>
      <c r="AM46" s="43"/>
      <c r="AS46" s="43"/>
      <c r="AY46" s="43"/>
      <c r="BE46" s="43"/>
      <c r="BK46" s="43"/>
    </row>
    <row r="47" spans="1:63" x14ac:dyDescent="0.25">
      <c r="A47" s="131">
        <v>0.91666666666666696</v>
      </c>
      <c r="B47" s="41" t="s">
        <v>805</v>
      </c>
      <c r="C47" s="41">
        <f t="shared" si="0"/>
        <v>6</v>
      </c>
      <c r="D47" s="120">
        <v>0.12959999999999999</v>
      </c>
      <c r="E47" s="62">
        <v>0.1638</v>
      </c>
      <c r="F47" s="62">
        <v>0</v>
      </c>
      <c r="G47" s="62">
        <v>0</v>
      </c>
      <c r="H47" s="62">
        <v>0</v>
      </c>
      <c r="I47" s="62">
        <v>0</v>
      </c>
      <c r="J47" s="62">
        <v>0</v>
      </c>
      <c r="K47" s="62">
        <v>0.22679999999999995</v>
      </c>
      <c r="L47" s="62">
        <v>1902</v>
      </c>
      <c r="M47" s="36"/>
      <c r="N47" s="36"/>
      <c r="O47" s="36"/>
      <c r="P47" s="36"/>
      <c r="Q47" s="36"/>
      <c r="R47" s="36"/>
      <c r="S47" s="36"/>
      <c r="T47" s="36"/>
      <c r="U47" s="36"/>
      <c r="V47" s="36"/>
      <c r="W47" s="36"/>
      <c r="X47" s="36"/>
      <c r="Y47" s="36"/>
      <c r="Z47" s="36"/>
      <c r="AA47" s="36"/>
      <c r="AB47" s="36"/>
      <c r="AC47" s="36"/>
      <c r="AD47" s="36"/>
      <c r="AE47" s="36"/>
      <c r="AF47" s="36"/>
      <c r="AG47" s="43"/>
      <c r="AM47" s="43"/>
      <c r="AS47" s="43"/>
      <c r="AY47" s="43"/>
      <c r="BE47" s="43"/>
      <c r="BK47" s="43"/>
    </row>
    <row r="48" spans="1:63" x14ac:dyDescent="0.25">
      <c r="A48" s="131">
        <v>0.9375</v>
      </c>
      <c r="B48" s="41" t="s">
        <v>805</v>
      </c>
      <c r="C48" s="41">
        <f t="shared" si="0"/>
        <v>6</v>
      </c>
      <c r="D48" s="120">
        <v>0.12959999999999999</v>
      </c>
      <c r="E48" s="62">
        <v>0.1638</v>
      </c>
      <c r="F48" s="62">
        <v>0</v>
      </c>
      <c r="G48" s="62">
        <v>0</v>
      </c>
      <c r="H48" s="62">
        <v>0</v>
      </c>
      <c r="I48" s="62">
        <v>0</v>
      </c>
      <c r="J48" s="62">
        <v>0</v>
      </c>
      <c r="K48" s="62">
        <v>0.22679999999999995</v>
      </c>
      <c r="L48" s="62">
        <v>1902</v>
      </c>
      <c r="M48" s="36"/>
      <c r="N48" s="36"/>
      <c r="O48" s="36"/>
      <c r="P48" s="36"/>
      <c r="Q48" s="36"/>
      <c r="R48" s="36"/>
      <c r="S48" s="36"/>
      <c r="T48" s="36"/>
      <c r="U48" s="36"/>
      <c r="V48" s="36"/>
      <c r="W48" s="36"/>
      <c r="X48" s="36"/>
      <c r="Y48" s="36"/>
      <c r="Z48" s="36"/>
      <c r="AA48" s="36"/>
      <c r="AB48" s="36"/>
      <c r="AC48" s="36"/>
      <c r="AD48" s="36"/>
      <c r="AE48" s="36"/>
      <c r="AF48" s="36"/>
      <c r="AG48" s="43"/>
      <c r="AM48" s="43"/>
      <c r="AS48" s="43"/>
      <c r="AY48" s="43"/>
      <c r="BE48" s="43"/>
      <c r="BK48" s="43"/>
    </row>
    <row r="49" spans="1:63" x14ac:dyDescent="0.25">
      <c r="A49" s="131">
        <v>0.95833333333333304</v>
      </c>
      <c r="B49" s="41" t="s">
        <v>805</v>
      </c>
      <c r="C49" s="41">
        <f t="shared" si="0"/>
        <v>6</v>
      </c>
      <c r="D49" s="120">
        <v>0.12959999999999999</v>
      </c>
      <c r="E49" s="62">
        <v>0.1638</v>
      </c>
      <c r="F49" s="62">
        <v>0</v>
      </c>
      <c r="G49" s="62">
        <v>0</v>
      </c>
      <c r="H49" s="62">
        <v>0</v>
      </c>
      <c r="I49" s="62">
        <v>0</v>
      </c>
      <c r="J49" s="62">
        <v>0</v>
      </c>
      <c r="K49" s="62">
        <v>0.22679999999999995</v>
      </c>
      <c r="L49" s="62">
        <v>1902</v>
      </c>
      <c r="M49" s="36"/>
      <c r="N49" s="36"/>
      <c r="O49" s="36"/>
      <c r="P49" s="36"/>
      <c r="Q49" s="36"/>
      <c r="R49" s="36"/>
      <c r="S49" s="36"/>
      <c r="T49" s="36"/>
      <c r="U49" s="36"/>
      <c r="V49" s="36"/>
      <c r="W49" s="36"/>
      <c r="X49" s="36"/>
      <c r="Y49" s="36"/>
      <c r="Z49" s="36"/>
      <c r="AA49" s="36"/>
      <c r="AB49" s="36"/>
      <c r="AC49" s="36"/>
      <c r="AD49" s="36"/>
      <c r="AE49" s="36"/>
      <c r="AF49" s="36"/>
      <c r="AG49" s="43"/>
      <c r="AM49" s="43"/>
      <c r="AS49" s="43"/>
      <c r="AY49" s="43"/>
      <c r="BE49" s="43"/>
      <c r="BK49" s="43"/>
    </row>
    <row r="50" spans="1:63" x14ac:dyDescent="0.25">
      <c r="A50" s="131">
        <v>0.97916666666666696</v>
      </c>
      <c r="B50" s="41" t="s">
        <v>805</v>
      </c>
      <c r="C50" s="41">
        <f t="shared" si="0"/>
        <v>6</v>
      </c>
      <c r="D50" s="120">
        <v>0.12959999999999999</v>
      </c>
      <c r="E50" s="62">
        <v>0.1638</v>
      </c>
      <c r="F50" s="62">
        <v>0</v>
      </c>
      <c r="G50" s="62">
        <v>0</v>
      </c>
      <c r="H50" s="62">
        <v>0</v>
      </c>
      <c r="I50" s="62">
        <v>0</v>
      </c>
      <c r="J50" s="62">
        <v>0</v>
      </c>
      <c r="K50" s="62">
        <v>0.22679999999999995</v>
      </c>
      <c r="L50" s="62">
        <v>1902</v>
      </c>
      <c r="M50" s="36"/>
      <c r="N50" s="36"/>
      <c r="O50" s="36"/>
      <c r="P50" s="36"/>
      <c r="Q50" s="36"/>
      <c r="R50" s="36"/>
      <c r="S50" s="36"/>
      <c r="T50" s="36"/>
      <c r="U50" s="36"/>
      <c r="V50" s="36"/>
      <c r="W50" s="36"/>
      <c r="X50" s="36"/>
      <c r="Y50" s="36"/>
      <c r="Z50" s="36"/>
      <c r="AA50" s="36"/>
      <c r="AB50" s="36"/>
      <c r="AC50" s="36"/>
      <c r="AD50" s="36"/>
      <c r="AE50" s="36"/>
      <c r="AF50" s="36"/>
      <c r="AG50" s="43"/>
      <c r="AM50" s="43"/>
      <c r="AS50" s="43"/>
      <c r="AY50" s="43"/>
      <c r="BE50" s="43"/>
      <c r="BK50" s="43"/>
    </row>
    <row r="51" spans="1:63" x14ac:dyDescent="0.25">
      <c r="A51" s="43"/>
      <c r="B51" s="43"/>
      <c r="C51" s="43"/>
      <c r="D51" s="42" cm="1">
        <f t="array" ref="D51">SUM(schedule_compl[O2]*0.5)</f>
        <v>5.5224000000000011</v>
      </c>
      <c r="E51" s="42" cm="1">
        <f t="array" ref="E51">SUM(schedule_compl[CO2]*0.5)</f>
        <v>6.9929999999999986</v>
      </c>
      <c r="F51" s="42" cm="1">
        <f t="array" ref="F51">SUM(schedule_compl[urine]*0.5)</f>
        <v>9.6</v>
      </c>
      <c r="G51" s="42" cm="1">
        <f t="array" ref="G51">SUM(schedule_compl[feces]*0.5)</f>
        <v>0.88730400000000009</v>
      </c>
      <c r="H51" s="42" cm="1">
        <f t="array" ref="H51">SUM(schedule_compl[potable]*0.5)</f>
        <v>17.178989999999999</v>
      </c>
      <c r="I51" s="42" cm="1">
        <f t="array" ref="I51">SUM(schedule_compl[hygiene]*0.5)</f>
        <v>4.8000000000000016</v>
      </c>
      <c r="J51" s="42" cm="1">
        <f t="array" ref="J51">SUM(schedule_compl[food]*0.5)</f>
        <v>10.150219999999999</v>
      </c>
      <c r="K51" s="42" cm="1">
        <f t="array" ref="K51">SUM(schedule_compl[sweat]*0.5)</f>
        <v>13.931279999999997</v>
      </c>
      <c r="L51" s="42" cm="1">
        <f t="array" ref="L51">SUM(schedule_compl[heat]*0.5)</f>
        <v>80664</v>
      </c>
      <c r="M51" s="36"/>
      <c r="N51" s="36"/>
      <c r="O51" s="36"/>
      <c r="P51" s="36"/>
      <c r="Q51" s="36"/>
      <c r="R51" s="36"/>
      <c r="S51" s="36"/>
      <c r="T51" s="36"/>
      <c r="U51" s="36"/>
      <c r="V51" s="36"/>
      <c r="W51" s="36"/>
      <c r="X51" s="36"/>
      <c r="Y51" s="36"/>
      <c r="Z51" s="36"/>
      <c r="AA51" s="36"/>
      <c r="AB51" s="36"/>
      <c r="AC51" s="36"/>
      <c r="AD51" s="36"/>
      <c r="AE51" s="139"/>
      <c r="AF51" s="139"/>
      <c r="AG51" s="43"/>
    </row>
    <row r="52" spans="1:63" x14ac:dyDescent="0.25">
      <c r="A52" s="36"/>
      <c r="B52" s="36"/>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139"/>
      <c r="AF52" s="139"/>
      <c r="AG52" s="43"/>
    </row>
    <row r="53" spans="1:63" x14ac:dyDescent="0.25">
      <c r="A53" s="36"/>
      <c r="B53" s="36" t="s">
        <v>1417</v>
      </c>
      <c r="C53" s="36">
        <f>schedule_compl[[#Totals],[potable]]-schedule_compl[[#Totals],[sweat]]-schedule_compl[[#Totals],[urine]]+(SUM_Metabolic_Water+SUM_Food_Water-(S16-AB16))*(schedule_compl[[#Totals],[food]]/V16)</f>
        <v>0</v>
      </c>
      <c r="D53" s="136"/>
      <c r="E53" s="36" t="s">
        <v>1427</v>
      </c>
      <c r="F53" s="36"/>
      <c r="G53" s="36">
        <f>SUM_Potable_Water_Need_2-SUM_Sweat_Production_2-SUM_Urine_Production_2+(0.345+0.7-0.1)*(SUM_Food_Need_2/V16)</f>
        <v>0</v>
      </c>
      <c r="H53" s="36"/>
      <c r="I53" s="36"/>
      <c r="J53" s="36"/>
      <c r="K53" s="264"/>
      <c r="L53" s="97"/>
      <c r="M53" s="36"/>
      <c r="N53" s="36"/>
      <c r="O53" s="36"/>
      <c r="P53" s="36"/>
      <c r="Q53" s="36"/>
      <c r="R53" s="36"/>
      <c r="S53" s="36"/>
      <c r="T53" s="36"/>
      <c r="U53" s="36"/>
      <c r="V53" s="36"/>
      <c r="W53" s="36"/>
      <c r="X53" s="36"/>
      <c r="Y53" s="36"/>
      <c r="Z53" s="36"/>
      <c r="AA53" s="36"/>
      <c r="AB53" s="36"/>
      <c r="AC53" s="36"/>
      <c r="AD53" s="36"/>
      <c r="AE53" s="139"/>
      <c r="AF53" s="139"/>
      <c r="AG53" s="43"/>
    </row>
    <row r="54" spans="1:63" x14ac:dyDescent="0.25">
      <c r="A54" s="125"/>
      <c r="B54" s="36"/>
      <c r="C54" s="97"/>
      <c r="D54" s="36"/>
      <c r="E54" s="36"/>
      <c r="F54" s="36"/>
      <c r="G54" s="36"/>
      <c r="H54" s="136"/>
      <c r="I54" s="136"/>
      <c r="J54" s="136"/>
      <c r="K54" s="136"/>
      <c r="L54" s="229"/>
      <c r="M54" s="36"/>
      <c r="N54" s="36"/>
      <c r="O54" s="36"/>
      <c r="P54" s="36"/>
      <c r="Q54" s="36"/>
      <c r="R54" s="36"/>
      <c r="S54" s="36"/>
      <c r="T54" s="36"/>
      <c r="U54" s="36"/>
      <c r="V54" s="36"/>
      <c r="W54" s="36"/>
      <c r="X54" s="36"/>
      <c r="Y54" s="36"/>
      <c r="Z54" s="36"/>
      <c r="AA54" s="36"/>
      <c r="AB54" s="36"/>
      <c r="AC54" s="36"/>
      <c r="AD54" s="36"/>
      <c r="AE54" s="139"/>
      <c r="AF54" s="139"/>
      <c r="AG54" s="43"/>
    </row>
    <row r="55" spans="1:63" x14ac:dyDescent="0.25">
      <c r="A55" s="124"/>
      <c r="B55" s="36"/>
      <c r="C55" s="36"/>
      <c r="D55" s="36"/>
      <c r="E55" s="36"/>
      <c r="F55" s="36"/>
      <c r="G55" s="36"/>
      <c r="H55" s="36"/>
      <c r="I55" s="36"/>
      <c r="J55" s="97"/>
      <c r="K55" s="36"/>
      <c r="L55" s="36"/>
      <c r="M55" s="36"/>
      <c r="N55" s="36"/>
      <c r="O55" s="36"/>
      <c r="P55" s="36"/>
      <c r="Q55" s="36"/>
      <c r="R55" s="36"/>
      <c r="S55" s="36"/>
      <c r="T55" s="36"/>
      <c r="U55" s="36"/>
      <c r="V55" s="36"/>
      <c r="W55" s="36"/>
      <c r="X55" s="36"/>
      <c r="Y55" s="36"/>
      <c r="Z55" s="36"/>
      <c r="AA55" s="36"/>
      <c r="AB55" s="36"/>
      <c r="AC55" s="36"/>
      <c r="AD55" s="36"/>
      <c r="AE55" s="139"/>
      <c r="AF55" s="139"/>
      <c r="AG55" s="43"/>
    </row>
    <row r="56" spans="1:63" x14ac:dyDescent="0.25">
      <c r="A56" s="124"/>
      <c r="B56" s="36"/>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139"/>
      <c r="AF56" s="139"/>
      <c r="AG56" s="43"/>
    </row>
    <row r="57" spans="1:63" x14ac:dyDescent="0.25">
      <c r="A57" s="124"/>
      <c r="B57" s="36"/>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139"/>
      <c r="AF57" s="139"/>
      <c r="AG57" s="43"/>
    </row>
    <row r="58" spans="1:63" x14ac:dyDescent="0.25">
      <c r="A58" s="36"/>
      <c r="B58" s="36"/>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139"/>
      <c r="AF58" s="139"/>
      <c r="AG58" s="43"/>
    </row>
    <row r="59" spans="1:63" x14ac:dyDescent="0.25">
      <c r="A59" s="93"/>
      <c r="B59" s="265" t="s">
        <v>1419</v>
      </c>
      <c r="C59" s="265" t="s">
        <v>1420</v>
      </c>
      <c r="D59" s="265" t="s">
        <v>1422</v>
      </c>
      <c r="E59" s="265" t="s">
        <v>1423</v>
      </c>
      <c r="F59" s="265" t="s">
        <v>1424</v>
      </c>
      <c r="G59" s="265" t="s">
        <v>1425</v>
      </c>
      <c r="H59" s="270" t="s">
        <v>1426</v>
      </c>
      <c r="I59" s="36"/>
      <c r="J59" s="36"/>
      <c r="K59" s="36"/>
      <c r="L59" s="36"/>
      <c r="M59" s="36"/>
      <c r="N59" s="36"/>
      <c r="O59" s="36"/>
      <c r="P59" s="36"/>
      <c r="Q59" s="36"/>
      <c r="R59" s="36"/>
      <c r="S59" s="36"/>
      <c r="T59" s="36"/>
      <c r="U59" s="36"/>
      <c r="V59" s="36"/>
      <c r="W59" s="36"/>
      <c r="X59" s="36"/>
      <c r="Y59" s="36"/>
      <c r="Z59" s="36"/>
      <c r="AA59" s="139"/>
      <c r="AB59" s="139"/>
      <c r="AC59" s="139"/>
      <c r="AD59" s="139"/>
      <c r="AE59" s="139"/>
      <c r="AF59" s="139"/>
      <c r="AG59" s="43"/>
    </row>
    <row r="60" spans="1:63" x14ac:dyDescent="0.25">
      <c r="A60" s="117" t="s">
        <v>1418</v>
      </c>
      <c r="B60" s="661">
        <v>4</v>
      </c>
      <c r="C60" s="661">
        <v>2</v>
      </c>
      <c r="D60" s="661">
        <v>2</v>
      </c>
      <c r="E60" s="661">
        <v>0</v>
      </c>
      <c r="F60" s="661">
        <v>0</v>
      </c>
      <c r="G60" s="661">
        <v>0</v>
      </c>
      <c r="H60" s="662">
        <v>0</v>
      </c>
      <c r="I60" s="105"/>
      <c r="J60" s="105"/>
      <c r="K60" s="105"/>
      <c r="L60" s="105"/>
      <c r="M60" s="105"/>
      <c r="N60" s="105"/>
      <c r="O60" s="105"/>
      <c r="P60" s="105"/>
      <c r="Q60" s="105"/>
      <c r="R60" s="105"/>
      <c r="S60" s="105"/>
      <c r="T60" s="105"/>
      <c r="U60" s="105"/>
      <c r="V60" s="105"/>
      <c r="W60" s="105"/>
      <c r="X60" s="105"/>
      <c r="Y60" s="105"/>
      <c r="Z60" s="105"/>
      <c r="AA60" s="663"/>
      <c r="AB60" s="663"/>
      <c r="AC60" s="663"/>
      <c r="AD60" s="663"/>
      <c r="AE60" s="663"/>
      <c r="AF60" s="663"/>
      <c r="AG60" s="664"/>
      <c r="AH60" s="99"/>
      <c r="AI60" s="99"/>
      <c r="AJ60" s="99"/>
      <c r="AK60" s="99"/>
      <c r="AL60" s="99"/>
      <c r="AM60" s="99"/>
      <c r="AN60" s="99"/>
      <c r="AO60" s="99"/>
      <c r="AP60" s="99"/>
      <c r="AQ60" s="99"/>
      <c r="AR60" s="99"/>
      <c r="AS60" s="99"/>
      <c r="AT60" s="99"/>
      <c r="AU60" s="99"/>
      <c r="AV60" s="99"/>
      <c r="AW60" s="99"/>
      <c r="AX60" s="99"/>
      <c r="AY60" s="99"/>
      <c r="AZ60" s="99"/>
      <c r="BA60" s="99"/>
    </row>
    <row r="61" spans="1:63" x14ac:dyDescent="0.25">
      <c r="A61" s="117" t="s">
        <v>793</v>
      </c>
      <c r="B61" s="266" t="s">
        <v>794</v>
      </c>
      <c r="C61" s="266" t="s">
        <v>794</v>
      </c>
      <c r="D61" s="266" t="s">
        <v>794</v>
      </c>
      <c r="E61" s="266" t="s">
        <v>794</v>
      </c>
      <c r="F61" s="266" t="s">
        <v>794</v>
      </c>
      <c r="G61" s="266" t="s">
        <v>794</v>
      </c>
      <c r="H61" s="270" t="s">
        <v>794</v>
      </c>
      <c r="I61" s="36"/>
      <c r="J61" s="36"/>
      <c r="K61" s="36"/>
      <c r="L61" s="36"/>
      <c r="M61" s="36"/>
      <c r="N61" s="36"/>
      <c r="O61" s="36"/>
      <c r="P61" s="36"/>
      <c r="Q61" s="36"/>
      <c r="R61" s="36"/>
      <c r="S61" s="36"/>
      <c r="T61" s="36"/>
      <c r="U61" s="36"/>
      <c r="V61" s="36"/>
      <c r="W61" s="36"/>
      <c r="X61" s="36"/>
      <c r="Y61" s="36"/>
      <c r="Z61" s="36"/>
      <c r="AA61" s="139"/>
      <c r="AB61" s="139"/>
      <c r="AC61" s="139"/>
      <c r="AD61" s="139"/>
      <c r="AE61" s="139"/>
      <c r="AF61" s="139"/>
      <c r="AG61" s="43"/>
    </row>
    <row r="62" spans="1:63" x14ac:dyDescent="0.25">
      <c r="A62" s="677">
        <v>0</v>
      </c>
      <c r="B62" s="665" t="s">
        <v>805</v>
      </c>
      <c r="C62" s="665" t="s">
        <v>805</v>
      </c>
      <c r="D62" s="665" t="s">
        <v>805</v>
      </c>
      <c r="E62" s="675"/>
      <c r="F62" s="668"/>
      <c r="G62" s="668"/>
      <c r="H62" s="668"/>
      <c r="I62" s="105"/>
      <c r="J62" s="105"/>
      <c r="K62" s="105"/>
      <c r="L62" s="105"/>
      <c r="M62" s="105"/>
      <c r="N62" s="105"/>
      <c r="O62" s="105"/>
      <c r="P62" s="105"/>
      <c r="Q62" s="105"/>
      <c r="R62" s="105"/>
      <c r="S62" s="105"/>
      <c r="T62" s="105"/>
      <c r="U62" s="105"/>
      <c r="V62" s="105"/>
      <c r="W62" s="105"/>
      <c r="X62" s="105"/>
      <c r="Y62" s="105"/>
      <c r="Z62" s="105"/>
      <c r="AA62" s="663"/>
      <c r="AB62" s="663"/>
      <c r="AC62" s="663"/>
      <c r="AD62" s="663"/>
      <c r="AE62" s="663"/>
      <c r="AF62" s="663"/>
      <c r="AG62" s="664"/>
      <c r="AH62" s="99"/>
      <c r="AI62" s="99"/>
      <c r="AJ62" s="99"/>
      <c r="AK62" s="99"/>
      <c r="AL62" s="99"/>
      <c r="AM62" s="99"/>
      <c r="AN62" s="99"/>
      <c r="AO62" s="99"/>
      <c r="AP62" s="99"/>
      <c r="AQ62" s="99"/>
      <c r="AR62" s="99"/>
      <c r="AS62" s="99"/>
      <c r="AT62" s="99"/>
      <c r="AU62" s="99"/>
      <c r="AV62" s="99"/>
      <c r="AW62" s="99"/>
      <c r="AX62" s="99"/>
      <c r="AY62" s="99"/>
      <c r="AZ62" s="99"/>
      <c r="BA62" s="99"/>
    </row>
    <row r="63" spans="1:63" x14ac:dyDescent="0.25">
      <c r="A63" s="678">
        <v>2.0833333333333332E-2</v>
      </c>
      <c r="B63" s="665" t="s">
        <v>805</v>
      </c>
      <c r="C63" s="665" t="s">
        <v>805</v>
      </c>
      <c r="D63" s="665" t="s">
        <v>805</v>
      </c>
      <c r="E63" s="676"/>
      <c r="F63" s="668"/>
      <c r="G63" s="668"/>
      <c r="H63" s="668"/>
      <c r="I63" s="105"/>
      <c r="J63" s="105"/>
      <c r="K63" s="105"/>
      <c r="L63" s="105"/>
      <c r="M63" s="105"/>
      <c r="N63" s="105"/>
      <c r="O63" s="105"/>
      <c r="P63" s="105"/>
      <c r="Q63" s="105"/>
      <c r="R63" s="105"/>
      <c r="S63" s="105"/>
      <c r="T63" s="105"/>
      <c r="U63" s="105"/>
      <c r="V63" s="105"/>
      <c r="W63" s="105"/>
      <c r="X63" s="105"/>
      <c r="Y63" s="105"/>
      <c r="Z63" s="105"/>
      <c r="AA63" s="663"/>
      <c r="AB63" s="663"/>
      <c r="AC63" s="663"/>
      <c r="AD63" s="663"/>
      <c r="AE63" s="663"/>
      <c r="AF63" s="663"/>
      <c r="AG63" s="99"/>
      <c r="AH63" s="99"/>
      <c r="AI63" s="99"/>
      <c r="AJ63" s="99"/>
      <c r="AK63" s="99"/>
      <c r="AL63" s="99"/>
      <c r="AM63" s="99"/>
      <c r="AN63" s="99"/>
      <c r="AO63" s="99"/>
      <c r="AP63" s="99"/>
      <c r="AQ63" s="99"/>
      <c r="AR63" s="99"/>
      <c r="AS63" s="99"/>
      <c r="AT63" s="99"/>
      <c r="AU63" s="99"/>
      <c r="AV63" s="99"/>
      <c r="AW63" s="99"/>
      <c r="AX63" s="99"/>
      <c r="AY63" s="99"/>
      <c r="AZ63" s="99"/>
      <c r="BA63" s="99"/>
    </row>
    <row r="64" spans="1:63" x14ac:dyDescent="0.25">
      <c r="A64" s="679">
        <v>4.1666666666666699E-2</v>
      </c>
      <c r="B64" s="665" t="s">
        <v>805</v>
      </c>
      <c r="C64" s="665" t="s">
        <v>805</v>
      </c>
      <c r="D64" s="665" t="s">
        <v>805</v>
      </c>
      <c r="E64" s="676"/>
      <c r="F64" s="668"/>
      <c r="G64" s="668"/>
      <c r="H64" s="668"/>
      <c r="I64" s="105"/>
      <c r="J64" s="105"/>
      <c r="K64" s="105"/>
      <c r="L64" s="105"/>
      <c r="M64" s="105"/>
      <c r="N64" s="105"/>
      <c r="O64" s="105"/>
      <c r="P64" s="105"/>
      <c r="Q64" s="105"/>
      <c r="R64" s="105"/>
      <c r="S64" s="105"/>
      <c r="T64" s="105"/>
      <c r="U64" s="105"/>
      <c r="V64" s="105"/>
      <c r="W64" s="105"/>
      <c r="X64" s="105"/>
      <c r="Y64" s="105"/>
      <c r="Z64" s="105"/>
      <c r="AA64" s="663"/>
      <c r="AB64" s="663"/>
      <c r="AC64" s="663"/>
      <c r="AD64" s="663"/>
      <c r="AE64" s="105"/>
      <c r="AF64" s="105"/>
      <c r="AG64" s="99"/>
      <c r="AH64" s="99"/>
      <c r="AI64" s="99"/>
      <c r="AJ64" s="99"/>
      <c r="AK64" s="99"/>
      <c r="AL64" s="99"/>
      <c r="AM64" s="99"/>
      <c r="AN64" s="99"/>
      <c r="AO64" s="99"/>
      <c r="AP64" s="99"/>
      <c r="AQ64" s="99"/>
      <c r="AR64" s="99"/>
      <c r="AS64" s="99"/>
      <c r="AT64" s="99"/>
      <c r="AU64" s="99"/>
      <c r="AV64" s="99"/>
      <c r="AW64" s="99"/>
      <c r="AX64" s="99"/>
      <c r="AY64" s="99"/>
      <c r="AZ64" s="99"/>
      <c r="BA64" s="99"/>
    </row>
    <row r="65" spans="1:53" x14ac:dyDescent="0.25">
      <c r="A65" s="678">
        <v>6.25E-2</v>
      </c>
      <c r="B65" s="665" t="s">
        <v>805</v>
      </c>
      <c r="C65" s="665" t="s">
        <v>805</v>
      </c>
      <c r="D65" s="665" t="s">
        <v>805</v>
      </c>
      <c r="E65" s="676"/>
      <c r="F65" s="668"/>
      <c r="G65" s="668"/>
      <c r="H65" s="668"/>
      <c r="I65" s="105"/>
      <c r="J65" s="105"/>
      <c r="K65" s="105"/>
      <c r="L65" s="105"/>
      <c r="M65" s="105"/>
      <c r="N65" s="105"/>
      <c r="O65" s="105"/>
      <c r="P65" s="105"/>
      <c r="Q65" s="105"/>
      <c r="R65" s="105"/>
      <c r="S65" s="105"/>
      <c r="T65" s="105"/>
      <c r="U65" s="105"/>
      <c r="V65" s="105"/>
      <c r="W65" s="105"/>
      <c r="X65" s="105"/>
      <c r="Y65" s="105"/>
      <c r="Z65" s="105"/>
      <c r="AA65" s="663"/>
      <c r="AB65" s="663"/>
      <c r="AC65" s="663"/>
      <c r="AD65" s="663"/>
      <c r="AE65" s="105"/>
      <c r="AF65" s="105"/>
      <c r="AG65" s="99"/>
      <c r="AH65" s="99"/>
      <c r="AI65" s="99"/>
      <c r="AJ65" s="99"/>
      <c r="AK65" s="99"/>
      <c r="AL65" s="99"/>
      <c r="AM65" s="99"/>
      <c r="AN65" s="99"/>
      <c r="AO65" s="99"/>
      <c r="AP65" s="99"/>
      <c r="AQ65" s="99"/>
      <c r="AR65" s="99"/>
      <c r="AS65" s="99"/>
      <c r="AT65" s="99"/>
      <c r="AU65" s="99"/>
      <c r="AV65" s="99"/>
      <c r="AW65" s="99"/>
      <c r="AX65" s="99"/>
      <c r="AY65" s="99"/>
      <c r="AZ65" s="99"/>
      <c r="BA65" s="99"/>
    </row>
    <row r="66" spans="1:53" x14ac:dyDescent="0.25">
      <c r="A66" s="679">
        <v>8.3333333333333301E-2</v>
      </c>
      <c r="B66" s="665" t="s">
        <v>805</v>
      </c>
      <c r="C66" s="665" t="s">
        <v>805</v>
      </c>
      <c r="D66" s="665" t="s">
        <v>805</v>
      </c>
      <c r="E66" s="676"/>
      <c r="F66" s="668"/>
      <c r="G66" s="668"/>
      <c r="H66" s="668"/>
      <c r="I66" s="105"/>
      <c r="J66" s="105"/>
      <c r="K66" s="105"/>
      <c r="L66" s="105"/>
      <c r="M66" s="105"/>
      <c r="N66" s="105"/>
      <c r="O66" s="105"/>
      <c r="P66" s="105"/>
      <c r="Q66" s="105"/>
      <c r="R66" s="105"/>
      <c r="S66" s="105"/>
      <c r="T66" s="105"/>
      <c r="U66" s="105"/>
      <c r="V66" s="105"/>
      <c r="W66" s="105"/>
      <c r="X66" s="105"/>
      <c r="Y66" s="105"/>
      <c r="Z66" s="105"/>
      <c r="AA66" s="663"/>
      <c r="AB66" s="663"/>
      <c r="AC66" s="663"/>
      <c r="AD66" s="663"/>
      <c r="AE66" s="105"/>
      <c r="AF66" s="105"/>
      <c r="AG66" s="99"/>
      <c r="AH66" s="99"/>
      <c r="AI66" s="99"/>
      <c r="AJ66" s="99"/>
      <c r="AK66" s="99"/>
      <c r="AL66" s="99"/>
      <c r="AM66" s="99"/>
      <c r="AN66" s="99"/>
      <c r="AO66" s="99"/>
      <c r="AP66" s="99"/>
      <c r="AQ66" s="99"/>
      <c r="AR66" s="99"/>
      <c r="AS66" s="99"/>
      <c r="AT66" s="99"/>
      <c r="AU66" s="99"/>
      <c r="AV66" s="99"/>
      <c r="AW66" s="99"/>
      <c r="AX66" s="99"/>
      <c r="AY66" s="99"/>
      <c r="AZ66" s="99"/>
      <c r="BA66" s="99"/>
    </row>
    <row r="67" spans="1:53" x14ac:dyDescent="0.25">
      <c r="A67" s="678">
        <v>0.104166666666667</v>
      </c>
      <c r="B67" s="665" t="s">
        <v>805</v>
      </c>
      <c r="C67" s="665" t="s">
        <v>805</v>
      </c>
      <c r="D67" s="665" t="s">
        <v>805</v>
      </c>
      <c r="E67" s="676"/>
      <c r="F67" s="668"/>
      <c r="G67" s="668"/>
      <c r="H67" s="668"/>
      <c r="I67" s="105"/>
      <c r="J67" s="105"/>
      <c r="K67" s="105"/>
      <c r="L67" s="105"/>
      <c r="M67" s="105"/>
      <c r="N67" s="105"/>
      <c r="O67" s="105"/>
      <c r="P67" s="105"/>
      <c r="Q67" s="105"/>
      <c r="R67" s="105"/>
      <c r="S67" s="105"/>
      <c r="T67" s="105"/>
      <c r="U67" s="105"/>
      <c r="V67" s="105"/>
      <c r="W67" s="105"/>
      <c r="X67" s="105"/>
      <c r="Y67" s="105"/>
      <c r="Z67" s="105"/>
      <c r="AA67" s="663"/>
      <c r="AB67" s="663"/>
      <c r="AC67" s="663"/>
      <c r="AD67" s="663"/>
      <c r="AE67" s="105"/>
      <c r="AF67" s="105"/>
      <c r="AG67" s="99"/>
      <c r="AH67" s="99"/>
      <c r="AI67" s="99"/>
      <c r="AJ67" s="99"/>
      <c r="AK67" s="99"/>
      <c r="AL67" s="99"/>
      <c r="AM67" s="99"/>
      <c r="AN67" s="99"/>
      <c r="AO67" s="99"/>
      <c r="AP67" s="99"/>
      <c r="AQ67" s="99"/>
      <c r="AR67" s="99"/>
      <c r="AS67" s="99"/>
      <c r="AT67" s="99"/>
      <c r="AU67" s="99"/>
      <c r="AV67" s="99"/>
      <c r="AW67" s="99"/>
      <c r="AX67" s="99"/>
      <c r="AY67" s="99"/>
      <c r="AZ67" s="99"/>
      <c r="BA67" s="99"/>
    </row>
    <row r="68" spans="1:53" x14ac:dyDescent="0.25">
      <c r="A68" s="679">
        <v>0.125</v>
      </c>
      <c r="B68" s="665" t="s">
        <v>805</v>
      </c>
      <c r="C68" s="665" t="s">
        <v>805</v>
      </c>
      <c r="D68" s="665" t="s">
        <v>805</v>
      </c>
      <c r="E68" s="676"/>
      <c r="F68" s="668"/>
      <c r="G68" s="668"/>
      <c r="H68" s="668"/>
      <c r="I68" s="105"/>
      <c r="J68" s="105"/>
      <c r="K68" s="105"/>
      <c r="L68" s="105"/>
      <c r="M68" s="105"/>
      <c r="N68" s="105"/>
      <c r="O68" s="105"/>
      <c r="P68" s="105"/>
      <c r="Q68" s="105"/>
      <c r="R68" s="105"/>
      <c r="S68" s="105"/>
      <c r="T68" s="105"/>
      <c r="U68" s="105"/>
      <c r="V68" s="105"/>
      <c r="W68" s="105"/>
      <c r="X68" s="105"/>
      <c r="Y68" s="105"/>
      <c r="Z68" s="105"/>
      <c r="AA68" s="663"/>
      <c r="AB68" s="663"/>
      <c r="AC68" s="663"/>
      <c r="AD68" s="663"/>
      <c r="AE68" s="105"/>
      <c r="AF68" s="105"/>
      <c r="AG68" s="99"/>
      <c r="AH68" s="99"/>
      <c r="AI68" s="99"/>
      <c r="AJ68" s="99"/>
      <c r="AK68" s="99"/>
      <c r="AL68" s="99"/>
      <c r="AM68" s="99"/>
      <c r="AN68" s="99"/>
      <c r="AO68" s="99"/>
      <c r="AP68" s="99"/>
      <c r="AQ68" s="99"/>
      <c r="AR68" s="99"/>
      <c r="AS68" s="99"/>
      <c r="AT68" s="99"/>
      <c r="AU68" s="99"/>
      <c r="AV68" s="99"/>
      <c r="AW68" s="99"/>
      <c r="AX68" s="99"/>
      <c r="AY68" s="99"/>
      <c r="AZ68" s="99"/>
      <c r="BA68" s="99"/>
    </row>
    <row r="69" spans="1:53" x14ac:dyDescent="0.25">
      <c r="A69" s="678">
        <v>0.14583333333333301</v>
      </c>
      <c r="B69" s="665" t="s">
        <v>805</v>
      </c>
      <c r="C69" s="665" t="s">
        <v>805</v>
      </c>
      <c r="D69" s="665" t="s">
        <v>805</v>
      </c>
      <c r="E69" s="676"/>
      <c r="F69" s="668"/>
      <c r="G69" s="668"/>
      <c r="H69" s="668"/>
      <c r="I69" s="105"/>
      <c r="J69" s="105"/>
      <c r="K69" s="105"/>
      <c r="L69" s="105"/>
      <c r="M69" s="105"/>
      <c r="N69" s="105"/>
      <c r="O69" s="105"/>
      <c r="P69" s="105"/>
      <c r="Q69" s="105"/>
      <c r="R69" s="105"/>
      <c r="S69" s="105"/>
      <c r="T69" s="105"/>
      <c r="U69" s="105"/>
      <c r="V69" s="105"/>
      <c r="W69" s="105"/>
      <c r="X69" s="105"/>
      <c r="Y69" s="105"/>
      <c r="Z69" s="105"/>
      <c r="AA69" s="663"/>
      <c r="AB69" s="663"/>
      <c r="AC69" s="663"/>
      <c r="AD69" s="663"/>
      <c r="AE69" s="105"/>
      <c r="AF69" s="105"/>
      <c r="AG69" s="99"/>
      <c r="AH69" s="99"/>
      <c r="AI69" s="99"/>
      <c r="AJ69" s="99"/>
      <c r="AK69" s="99"/>
      <c r="AL69" s="99"/>
      <c r="AM69" s="99"/>
      <c r="AN69" s="99"/>
      <c r="AO69" s="99"/>
      <c r="AP69" s="99"/>
      <c r="AQ69" s="99"/>
      <c r="AR69" s="99"/>
      <c r="AS69" s="99"/>
      <c r="AT69" s="99"/>
      <c r="AU69" s="99"/>
      <c r="AV69" s="99"/>
      <c r="AW69" s="99"/>
      <c r="AX69" s="99"/>
      <c r="AY69" s="99"/>
      <c r="AZ69" s="99"/>
      <c r="BA69" s="99"/>
    </row>
    <row r="70" spans="1:53" x14ac:dyDescent="0.25">
      <c r="A70" s="679">
        <v>0.16666666666666699</v>
      </c>
      <c r="B70" s="665" t="s">
        <v>805</v>
      </c>
      <c r="C70" s="665" t="s">
        <v>805</v>
      </c>
      <c r="D70" s="665" t="s">
        <v>805</v>
      </c>
      <c r="E70" s="676"/>
      <c r="F70" s="668"/>
      <c r="G70" s="668"/>
      <c r="H70" s="668"/>
      <c r="I70" s="105"/>
      <c r="J70" s="105"/>
      <c r="K70" s="105"/>
      <c r="L70" s="105"/>
      <c r="M70" s="105"/>
      <c r="N70" s="105"/>
      <c r="O70" s="105"/>
      <c r="P70" s="105"/>
      <c r="Q70" s="105"/>
      <c r="R70" s="105"/>
      <c r="S70" s="105"/>
      <c r="T70" s="105"/>
      <c r="U70" s="105"/>
      <c r="V70" s="105"/>
      <c r="W70" s="105"/>
      <c r="X70" s="105"/>
      <c r="Y70" s="105"/>
      <c r="Z70" s="105"/>
      <c r="AA70" s="663"/>
      <c r="AB70" s="663"/>
      <c r="AC70" s="663"/>
      <c r="AD70" s="663"/>
      <c r="AE70" s="105"/>
      <c r="AF70" s="105"/>
      <c r="AG70" s="99"/>
      <c r="AH70" s="99"/>
      <c r="AI70" s="99"/>
      <c r="AJ70" s="99"/>
      <c r="AK70" s="99"/>
      <c r="AL70" s="99"/>
      <c r="AM70" s="99"/>
      <c r="AN70" s="99"/>
      <c r="AO70" s="99"/>
      <c r="AP70" s="99"/>
      <c r="AQ70" s="99"/>
      <c r="AR70" s="99"/>
      <c r="AS70" s="99"/>
      <c r="AT70" s="99"/>
      <c r="AU70" s="99"/>
      <c r="AV70" s="99"/>
      <c r="AW70" s="99"/>
      <c r="AX70" s="99"/>
      <c r="AY70" s="99"/>
      <c r="AZ70" s="99"/>
      <c r="BA70" s="99"/>
    </row>
    <row r="71" spans="1:53" x14ac:dyDescent="0.25">
      <c r="A71" s="678">
        <v>0.1875</v>
      </c>
      <c r="B71" s="665" t="s">
        <v>805</v>
      </c>
      <c r="C71" s="665" t="s">
        <v>805</v>
      </c>
      <c r="D71" s="665" t="s">
        <v>805</v>
      </c>
      <c r="E71" s="676"/>
      <c r="F71" s="668"/>
      <c r="G71" s="668"/>
      <c r="H71" s="668"/>
      <c r="I71" s="105"/>
      <c r="J71" s="105"/>
      <c r="K71" s="105"/>
      <c r="L71" s="105"/>
      <c r="M71" s="105"/>
      <c r="N71" s="105"/>
      <c r="O71" s="105"/>
      <c r="P71" s="105"/>
      <c r="Q71" s="105"/>
      <c r="R71" s="105"/>
      <c r="S71" s="105"/>
      <c r="T71" s="105"/>
      <c r="U71" s="105"/>
      <c r="V71" s="105"/>
      <c r="W71" s="105"/>
      <c r="X71" s="105"/>
      <c r="Y71" s="105"/>
      <c r="Z71" s="105"/>
      <c r="AA71" s="663"/>
      <c r="AB71" s="663"/>
      <c r="AC71" s="663"/>
      <c r="AD71" s="663"/>
      <c r="AE71" s="105"/>
      <c r="AF71" s="105"/>
      <c r="AG71" s="99"/>
      <c r="AH71" s="99"/>
      <c r="AI71" s="99"/>
      <c r="AJ71" s="99"/>
      <c r="AK71" s="99"/>
      <c r="AL71" s="99"/>
      <c r="AM71" s="99"/>
      <c r="AN71" s="99"/>
      <c r="AO71" s="99"/>
      <c r="AP71" s="99"/>
      <c r="AQ71" s="99"/>
      <c r="AR71" s="99"/>
      <c r="AS71" s="99"/>
      <c r="AT71" s="99"/>
      <c r="AU71" s="99"/>
      <c r="AV71" s="99"/>
      <c r="AW71" s="99"/>
      <c r="AX71" s="99"/>
      <c r="AY71" s="99"/>
      <c r="AZ71" s="99"/>
      <c r="BA71" s="99"/>
    </row>
    <row r="72" spans="1:53" x14ac:dyDescent="0.25">
      <c r="A72" s="679">
        <v>0.20833333333333301</v>
      </c>
      <c r="B72" s="665" t="s">
        <v>805</v>
      </c>
      <c r="C72" s="665" t="s">
        <v>805</v>
      </c>
      <c r="D72" s="665" t="s">
        <v>805</v>
      </c>
      <c r="E72" s="676"/>
      <c r="F72" s="668"/>
      <c r="G72" s="668"/>
      <c r="H72" s="668"/>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99"/>
      <c r="AH72" s="99"/>
      <c r="AI72" s="99"/>
      <c r="AJ72" s="99"/>
      <c r="AK72" s="99"/>
      <c r="AL72" s="99"/>
      <c r="AM72" s="99"/>
      <c r="AN72" s="99"/>
      <c r="AO72" s="99"/>
      <c r="AP72" s="99"/>
      <c r="AQ72" s="99"/>
      <c r="AR72" s="99"/>
      <c r="AS72" s="99"/>
      <c r="AT72" s="99"/>
      <c r="AU72" s="99"/>
      <c r="AV72" s="99"/>
      <c r="AW72" s="99"/>
      <c r="AX72" s="99"/>
      <c r="AY72" s="99"/>
      <c r="AZ72" s="99"/>
      <c r="BA72" s="99"/>
    </row>
    <row r="73" spans="1:53" x14ac:dyDescent="0.25">
      <c r="A73" s="680">
        <v>0.22916666666666699</v>
      </c>
      <c r="B73" s="665" t="s">
        <v>805</v>
      </c>
      <c r="C73" s="665" t="s">
        <v>805</v>
      </c>
      <c r="D73" s="665" t="s">
        <v>805</v>
      </c>
      <c r="E73" s="676"/>
      <c r="F73" s="668"/>
      <c r="G73" s="668"/>
      <c r="H73" s="668"/>
      <c r="I73" s="105"/>
      <c r="J73" s="105"/>
      <c r="K73" s="105"/>
      <c r="L73" s="105"/>
      <c r="M73" s="105"/>
      <c r="N73" s="105"/>
      <c r="O73" s="105"/>
      <c r="P73" s="105"/>
      <c r="Q73" s="105"/>
      <c r="R73" s="105"/>
      <c r="S73" s="105"/>
      <c r="T73" s="105"/>
      <c r="U73" s="105"/>
      <c r="V73" s="105"/>
      <c r="W73" s="105"/>
      <c r="X73" s="105"/>
      <c r="Y73" s="105"/>
      <c r="Z73" s="105"/>
      <c r="AA73" s="105"/>
      <c r="AB73" s="105"/>
      <c r="AC73" s="105"/>
      <c r="AD73" s="105"/>
      <c r="AE73" s="105"/>
      <c r="AF73" s="105"/>
      <c r="AG73" s="99"/>
      <c r="AH73" s="99"/>
      <c r="AI73" s="99"/>
      <c r="AJ73" s="99"/>
      <c r="AK73" s="99"/>
      <c r="AL73" s="99"/>
      <c r="AM73" s="99"/>
      <c r="AN73" s="99"/>
      <c r="AO73" s="99"/>
      <c r="AP73" s="99"/>
      <c r="AQ73" s="99"/>
      <c r="AR73" s="99"/>
      <c r="AS73" s="99"/>
      <c r="AT73" s="99"/>
      <c r="AU73" s="99"/>
      <c r="AV73" s="99"/>
      <c r="AW73" s="99"/>
      <c r="AX73" s="99"/>
      <c r="AY73" s="99"/>
      <c r="AZ73" s="99"/>
      <c r="BA73" s="99"/>
    </row>
    <row r="74" spans="1:53" x14ac:dyDescent="0.25">
      <c r="A74" s="681">
        <v>0.25</v>
      </c>
      <c r="B74" s="670" t="s">
        <v>806</v>
      </c>
      <c r="C74" s="670" t="s">
        <v>806</v>
      </c>
      <c r="D74" s="670" t="s">
        <v>806</v>
      </c>
      <c r="E74" s="676"/>
      <c r="F74" s="668"/>
      <c r="G74" s="668"/>
      <c r="H74" s="668"/>
      <c r="I74" s="105"/>
      <c r="J74" s="105"/>
      <c r="K74" s="105"/>
      <c r="L74" s="105"/>
      <c r="M74" s="105"/>
      <c r="N74" s="105"/>
      <c r="O74" s="105"/>
      <c r="P74" s="105"/>
      <c r="Q74" s="105"/>
      <c r="R74" s="105"/>
      <c r="S74" s="105"/>
      <c r="T74" s="105"/>
      <c r="U74" s="105"/>
      <c r="V74" s="105"/>
      <c r="W74" s="105"/>
      <c r="X74" s="105"/>
      <c r="Y74" s="105"/>
      <c r="Z74" s="105"/>
      <c r="AA74" s="105"/>
      <c r="AB74" s="105"/>
      <c r="AC74" s="105"/>
      <c r="AD74" s="105"/>
      <c r="AE74" s="105"/>
      <c r="AF74" s="105"/>
      <c r="AG74" s="99"/>
      <c r="AH74" s="99"/>
      <c r="AI74" s="99"/>
      <c r="AJ74" s="99"/>
      <c r="AK74" s="99"/>
      <c r="AL74" s="99"/>
      <c r="AM74" s="99"/>
      <c r="AN74" s="99"/>
      <c r="AO74" s="99"/>
      <c r="AP74" s="99"/>
      <c r="AQ74" s="99"/>
      <c r="AR74" s="99"/>
      <c r="AS74" s="99"/>
      <c r="AT74" s="99"/>
      <c r="AU74" s="99"/>
      <c r="AV74" s="99"/>
      <c r="AW74" s="99"/>
      <c r="AX74" s="99"/>
      <c r="AY74" s="99"/>
      <c r="AZ74" s="99"/>
      <c r="BA74" s="99"/>
    </row>
    <row r="75" spans="1:53" x14ac:dyDescent="0.25">
      <c r="A75" s="682">
        <v>0.27083333333333298</v>
      </c>
      <c r="B75" s="672" t="s">
        <v>1421</v>
      </c>
      <c r="C75" s="672" t="s">
        <v>1421</v>
      </c>
      <c r="D75" s="672" t="s">
        <v>1421</v>
      </c>
      <c r="E75" s="676"/>
      <c r="F75" s="668"/>
      <c r="G75" s="668"/>
      <c r="H75" s="668"/>
      <c r="I75" s="105"/>
      <c r="J75" s="105"/>
      <c r="K75" s="105"/>
      <c r="L75" s="105"/>
      <c r="M75" s="105"/>
      <c r="N75" s="105"/>
      <c r="O75" s="105"/>
      <c r="P75" s="105"/>
      <c r="Q75" s="105"/>
      <c r="R75" s="105"/>
      <c r="S75" s="105"/>
      <c r="T75" s="105"/>
      <c r="U75" s="105"/>
      <c r="V75" s="105"/>
      <c r="W75" s="105"/>
      <c r="X75" s="105"/>
      <c r="Y75" s="105"/>
      <c r="Z75" s="105"/>
      <c r="AA75" s="105"/>
      <c r="AB75" s="105"/>
      <c r="AC75" s="105"/>
      <c r="AD75" s="105"/>
      <c r="AE75" s="105"/>
      <c r="AF75" s="105"/>
      <c r="AG75" s="99"/>
      <c r="AH75" s="99"/>
      <c r="AI75" s="99"/>
      <c r="AJ75" s="99"/>
      <c r="AK75" s="99"/>
      <c r="AL75" s="99"/>
      <c r="AM75" s="99"/>
      <c r="AN75" s="99"/>
      <c r="AO75" s="99"/>
      <c r="AP75" s="99"/>
      <c r="AQ75" s="99"/>
      <c r="AR75" s="99"/>
      <c r="AS75" s="99"/>
      <c r="AT75" s="99"/>
      <c r="AU75" s="99"/>
      <c r="AV75" s="99"/>
      <c r="AW75" s="99"/>
      <c r="AX75" s="99"/>
      <c r="AY75" s="99"/>
      <c r="AZ75" s="99"/>
      <c r="BA75" s="99"/>
    </row>
    <row r="76" spans="1:53" x14ac:dyDescent="0.25">
      <c r="A76" s="682">
        <v>0.29166666666666669</v>
      </c>
      <c r="B76" s="669" t="s">
        <v>812</v>
      </c>
      <c r="C76" s="669" t="s">
        <v>812</v>
      </c>
      <c r="D76" s="669" t="s">
        <v>812</v>
      </c>
      <c r="E76" s="676"/>
      <c r="F76" s="668"/>
      <c r="G76" s="668"/>
      <c r="H76" s="668"/>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99"/>
      <c r="AH76" s="99"/>
      <c r="AI76" s="99"/>
      <c r="AJ76" s="99"/>
      <c r="AK76" s="99"/>
      <c r="AL76" s="99"/>
      <c r="AM76" s="99"/>
      <c r="AN76" s="99"/>
      <c r="AO76" s="99"/>
      <c r="AP76" s="99"/>
      <c r="AQ76" s="99"/>
      <c r="AR76" s="99"/>
      <c r="AS76" s="99"/>
      <c r="AT76" s="99"/>
      <c r="AU76" s="99"/>
      <c r="AV76" s="99"/>
      <c r="AW76" s="99"/>
      <c r="AX76" s="99"/>
      <c r="AY76" s="99"/>
      <c r="AZ76" s="99"/>
      <c r="BA76" s="99"/>
    </row>
    <row r="77" spans="1:53" x14ac:dyDescent="0.25">
      <c r="A77" s="682">
        <v>0.3125</v>
      </c>
      <c r="B77" s="667" t="s">
        <v>1237</v>
      </c>
      <c r="C77" s="667" t="s">
        <v>1237</v>
      </c>
      <c r="D77" s="667" t="s">
        <v>1237</v>
      </c>
      <c r="E77" s="676"/>
      <c r="F77" s="668"/>
      <c r="G77" s="668"/>
      <c r="H77" s="668"/>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99"/>
      <c r="AH77" s="99"/>
      <c r="AI77" s="99"/>
      <c r="AJ77" s="99"/>
      <c r="AK77" s="99"/>
      <c r="AL77" s="99"/>
      <c r="AM77" s="99"/>
      <c r="AN77" s="99"/>
      <c r="AO77" s="99"/>
      <c r="AP77" s="99"/>
      <c r="AQ77" s="99"/>
      <c r="AR77" s="99"/>
      <c r="AS77" s="99"/>
      <c r="AT77" s="99"/>
      <c r="AU77" s="99"/>
      <c r="AV77" s="99"/>
      <c r="AW77" s="99"/>
      <c r="AX77" s="99"/>
      <c r="AY77" s="99"/>
      <c r="AZ77" s="99"/>
      <c r="BA77" s="99"/>
    </row>
    <row r="78" spans="1:53" x14ac:dyDescent="0.25">
      <c r="A78" s="681">
        <v>0.33333333333333298</v>
      </c>
      <c r="B78" s="667" t="s">
        <v>1237</v>
      </c>
      <c r="C78" s="667" t="s">
        <v>1237</v>
      </c>
      <c r="D78" s="667" t="s">
        <v>1237</v>
      </c>
      <c r="E78" s="676"/>
      <c r="F78" s="668"/>
      <c r="G78" s="668"/>
      <c r="H78" s="668"/>
      <c r="I78" s="105"/>
      <c r="J78" s="105"/>
      <c r="K78" s="105"/>
      <c r="L78" s="105"/>
      <c r="M78" s="105"/>
      <c r="N78" s="105"/>
      <c r="O78" s="105"/>
      <c r="P78" s="105"/>
      <c r="Q78" s="105"/>
      <c r="R78" s="105"/>
      <c r="S78" s="105"/>
      <c r="T78" s="105"/>
      <c r="U78" s="105"/>
      <c r="V78" s="105"/>
      <c r="W78" s="105"/>
      <c r="X78" s="105"/>
      <c r="Y78" s="105"/>
      <c r="Z78" s="105"/>
      <c r="AA78" s="105"/>
      <c r="AB78" s="105"/>
      <c r="AC78" s="105"/>
      <c r="AD78" s="105"/>
      <c r="AE78" s="105"/>
      <c r="AF78" s="105"/>
      <c r="AG78" s="99"/>
      <c r="AH78" s="99"/>
      <c r="AI78" s="99"/>
      <c r="AJ78" s="99"/>
      <c r="AK78" s="99"/>
      <c r="AL78" s="99"/>
      <c r="AM78" s="99"/>
      <c r="AN78" s="99"/>
      <c r="AO78" s="99"/>
      <c r="AP78" s="99"/>
      <c r="AQ78" s="99"/>
      <c r="AR78" s="99"/>
      <c r="AS78" s="99"/>
      <c r="AT78" s="99"/>
      <c r="AU78" s="99"/>
      <c r="AV78" s="99"/>
      <c r="AW78" s="99"/>
      <c r="AX78" s="99"/>
      <c r="AY78" s="99"/>
      <c r="AZ78" s="99"/>
      <c r="BA78" s="99"/>
    </row>
    <row r="79" spans="1:53" x14ac:dyDescent="0.25">
      <c r="A79" s="682">
        <v>0.35416666666666702</v>
      </c>
      <c r="B79" s="667" t="s">
        <v>1237</v>
      </c>
      <c r="C79" s="667" t="s">
        <v>1237</v>
      </c>
      <c r="D79" s="667" t="s">
        <v>1237</v>
      </c>
      <c r="E79" s="676"/>
      <c r="F79" s="668"/>
      <c r="G79" s="668"/>
      <c r="H79" s="668"/>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99"/>
      <c r="AH79" s="99"/>
      <c r="AI79" s="99"/>
      <c r="AJ79" s="99"/>
      <c r="AK79" s="99"/>
      <c r="AL79" s="99"/>
      <c r="AM79" s="99"/>
      <c r="AN79" s="99"/>
      <c r="AO79" s="99"/>
      <c r="AP79" s="99"/>
      <c r="AQ79" s="99"/>
      <c r="AR79" s="99"/>
      <c r="AS79" s="99"/>
      <c r="AT79" s="99"/>
      <c r="AU79" s="99"/>
      <c r="AV79" s="99"/>
      <c r="AW79" s="99"/>
      <c r="AX79" s="99"/>
      <c r="AY79" s="99"/>
      <c r="AZ79" s="99"/>
      <c r="BA79" s="99"/>
    </row>
    <row r="80" spans="1:53" x14ac:dyDescent="0.25">
      <c r="A80" s="681">
        <v>0.375</v>
      </c>
      <c r="B80" s="667" t="s">
        <v>1237</v>
      </c>
      <c r="C80" s="667" t="s">
        <v>1237</v>
      </c>
      <c r="D80" s="667" t="s">
        <v>1237</v>
      </c>
      <c r="E80" s="676"/>
      <c r="F80" s="668"/>
      <c r="G80" s="668"/>
      <c r="H80" s="668"/>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99"/>
      <c r="AH80" s="99"/>
      <c r="AI80" s="99"/>
      <c r="AJ80" s="99"/>
      <c r="AK80" s="99"/>
      <c r="AL80" s="99"/>
      <c r="AM80" s="99"/>
      <c r="AN80" s="99"/>
      <c r="AO80" s="99"/>
      <c r="AP80" s="99"/>
      <c r="AQ80" s="99"/>
      <c r="AR80" s="99"/>
      <c r="AS80" s="99"/>
      <c r="AT80" s="99"/>
      <c r="AU80" s="99"/>
      <c r="AV80" s="99"/>
      <c r="AW80" s="99"/>
      <c r="AX80" s="99"/>
      <c r="AY80" s="99"/>
      <c r="AZ80" s="99"/>
      <c r="BA80" s="99"/>
    </row>
    <row r="81" spans="1:53" x14ac:dyDescent="0.25">
      <c r="A81" s="682">
        <v>0.39583333333333298</v>
      </c>
      <c r="B81" s="667" t="s">
        <v>1237</v>
      </c>
      <c r="C81" s="667" t="s">
        <v>1237</v>
      </c>
      <c r="D81" s="667" t="s">
        <v>1237</v>
      </c>
      <c r="E81" s="676"/>
      <c r="F81" s="668"/>
      <c r="G81" s="668"/>
      <c r="H81" s="668"/>
      <c r="I81" s="105"/>
      <c r="J81" s="105"/>
      <c r="K81" s="105"/>
      <c r="L81" s="105"/>
      <c r="M81" s="105"/>
      <c r="N81" s="105"/>
      <c r="O81" s="105"/>
      <c r="P81" s="105"/>
      <c r="Q81" s="105"/>
      <c r="R81" s="105"/>
      <c r="S81" s="105"/>
      <c r="T81" s="105"/>
      <c r="U81" s="105"/>
      <c r="V81" s="105"/>
      <c r="W81" s="105"/>
      <c r="X81" s="105"/>
      <c r="Y81" s="105"/>
      <c r="Z81" s="105"/>
      <c r="AA81" s="105"/>
      <c r="AB81" s="105"/>
      <c r="AC81" s="105"/>
      <c r="AD81" s="105"/>
      <c r="AE81" s="105"/>
      <c r="AF81" s="105"/>
      <c r="AG81" s="99"/>
      <c r="AH81" s="99"/>
      <c r="AI81" s="99"/>
      <c r="AJ81" s="99"/>
      <c r="AK81" s="99"/>
      <c r="AL81" s="99"/>
      <c r="AM81" s="99"/>
      <c r="AN81" s="99"/>
      <c r="AO81" s="99"/>
      <c r="AP81" s="99"/>
      <c r="AQ81" s="99"/>
      <c r="AR81" s="99"/>
      <c r="AS81" s="99"/>
      <c r="AT81" s="99"/>
      <c r="AU81" s="99"/>
      <c r="AV81" s="99"/>
      <c r="AW81" s="99"/>
      <c r="AX81" s="99"/>
      <c r="AY81" s="99"/>
      <c r="AZ81" s="99"/>
      <c r="BA81" s="99"/>
    </row>
    <row r="82" spans="1:53" x14ac:dyDescent="0.25">
      <c r="A82" s="681">
        <v>0.41666666666666702</v>
      </c>
      <c r="B82" s="671" t="s">
        <v>810</v>
      </c>
      <c r="C82" s="667" t="s">
        <v>1237</v>
      </c>
      <c r="D82" s="667" t="s">
        <v>1237</v>
      </c>
      <c r="E82" s="668"/>
      <c r="F82" s="668"/>
      <c r="G82" s="668"/>
      <c r="H82" s="668"/>
      <c r="I82" s="105"/>
      <c r="J82" s="105"/>
      <c r="K82" s="105"/>
      <c r="L82" s="105"/>
      <c r="M82" s="105"/>
      <c r="N82" s="105"/>
      <c r="O82" s="105"/>
      <c r="P82" s="105"/>
      <c r="Q82" s="105"/>
      <c r="R82" s="105"/>
      <c r="S82" s="105"/>
      <c r="T82" s="105"/>
      <c r="U82" s="105"/>
      <c r="V82" s="105"/>
      <c r="W82" s="105"/>
      <c r="X82" s="105"/>
      <c r="Y82" s="105"/>
      <c r="Z82" s="105"/>
      <c r="AA82" s="105"/>
      <c r="AB82" s="105"/>
      <c r="AC82" s="105"/>
      <c r="AD82" s="105"/>
      <c r="AE82" s="105"/>
      <c r="AF82" s="105"/>
      <c r="AG82" s="99"/>
      <c r="AH82" s="99"/>
      <c r="AI82" s="99"/>
      <c r="AJ82" s="99"/>
      <c r="AK82" s="99"/>
      <c r="AL82" s="99"/>
      <c r="AM82" s="99"/>
      <c r="AN82" s="99"/>
      <c r="AO82" s="99"/>
      <c r="AP82" s="99"/>
      <c r="AQ82" s="99"/>
      <c r="AR82" s="99"/>
      <c r="AS82" s="99"/>
      <c r="AT82" s="99"/>
      <c r="AU82" s="99"/>
      <c r="AV82" s="99"/>
      <c r="AW82" s="99"/>
      <c r="AX82" s="99"/>
      <c r="AY82" s="99"/>
      <c r="AZ82" s="99"/>
      <c r="BA82" s="99"/>
    </row>
    <row r="83" spans="1:53" x14ac:dyDescent="0.25">
      <c r="A83" s="682">
        <v>0.4375</v>
      </c>
      <c r="B83" s="671" t="s">
        <v>810</v>
      </c>
      <c r="C83" s="667" t="s">
        <v>1237</v>
      </c>
      <c r="D83" s="667" t="s">
        <v>1237</v>
      </c>
      <c r="E83" s="676"/>
      <c r="F83" s="668"/>
      <c r="G83" s="668"/>
      <c r="H83" s="668"/>
      <c r="I83" s="105"/>
      <c r="J83" s="105"/>
      <c r="K83" s="105"/>
      <c r="L83" s="105"/>
      <c r="M83" s="105"/>
      <c r="N83" s="105"/>
      <c r="O83" s="105"/>
      <c r="P83" s="105"/>
      <c r="Q83" s="105"/>
      <c r="R83" s="105"/>
      <c r="S83" s="105"/>
      <c r="T83" s="105"/>
      <c r="U83" s="105"/>
      <c r="V83" s="105"/>
      <c r="W83" s="105"/>
      <c r="X83" s="105"/>
      <c r="Y83" s="105"/>
      <c r="Z83" s="105"/>
      <c r="AA83" s="105"/>
      <c r="AB83" s="105"/>
      <c r="AC83" s="105"/>
      <c r="AD83" s="105"/>
      <c r="AE83" s="105"/>
      <c r="AF83" s="105"/>
      <c r="AG83" s="99"/>
      <c r="AH83" s="99"/>
      <c r="AI83" s="99"/>
      <c r="AJ83" s="99"/>
      <c r="AK83" s="99"/>
      <c r="AL83" s="99"/>
      <c r="AM83" s="99"/>
      <c r="AN83" s="99"/>
      <c r="AO83" s="99"/>
      <c r="AP83" s="99"/>
      <c r="AQ83" s="99"/>
      <c r="AR83" s="99"/>
      <c r="AS83" s="99"/>
      <c r="AT83" s="99"/>
      <c r="AU83" s="99"/>
      <c r="AV83" s="99"/>
      <c r="AW83" s="99"/>
      <c r="AX83" s="99"/>
      <c r="AY83" s="99"/>
      <c r="AZ83" s="99"/>
      <c r="BA83" s="99"/>
    </row>
    <row r="84" spans="1:53" x14ac:dyDescent="0.25">
      <c r="A84" s="681">
        <v>0.45833333333333298</v>
      </c>
      <c r="B84" s="673" t="s">
        <v>811</v>
      </c>
      <c r="C84" s="667" t="s">
        <v>1237</v>
      </c>
      <c r="D84" s="667" t="s">
        <v>1237</v>
      </c>
      <c r="E84" s="676"/>
      <c r="F84" s="668"/>
      <c r="G84" s="668"/>
      <c r="H84" s="668"/>
      <c r="I84" s="105"/>
      <c r="J84" s="105"/>
      <c r="K84" s="105"/>
      <c r="L84" s="105"/>
      <c r="M84" s="105"/>
      <c r="N84" s="105"/>
      <c r="O84" s="105"/>
      <c r="P84" s="105"/>
      <c r="Q84" s="105"/>
      <c r="R84" s="105"/>
      <c r="S84" s="105"/>
      <c r="T84" s="105"/>
      <c r="U84" s="105"/>
      <c r="V84" s="105"/>
      <c r="W84" s="105"/>
      <c r="X84" s="105"/>
      <c r="Y84" s="105"/>
      <c r="Z84" s="105"/>
      <c r="AA84" s="105"/>
      <c r="AB84" s="105"/>
      <c r="AC84" s="105"/>
      <c r="AD84" s="105"/>
      <c r="AE84" s="105"/>
      <c r="AF84" s="105"/>
      <c r="AG84" s="99"/>
      <c r="AH84" s="99"/>
      <c r="AI84" s="99"/>
      <c r="AJ84" s="99"/>
      <c r="AK84" s="99"/>
      <c r="AL84" s="99"/>
      <c r="AM84" s="99"/>
      <c r="AN84" s="99"/>
      <c r="AO84" s="99"/>
      <c r="AP84" s="99"/>
      <c r="AQ84" s="99"/>
      <c r="AR84" s="99"/>
      <c r="AS84" s="99"/>
      <c r="AT84" s="99"/>
      <c r="AU84" s="99"/>
      <c r="AV84" s="99"/>
      <c r="AW84" s="99"/>
      <c r="AX84" s="99"/>
      <c r="AY84" s="99"/>
      <c r="AZ84" s="99"/>
      <c r="BA84" s="99"/>
    </row>
    <row r="85" spans="1:53" x14ac:dyDescent="0.25">
      <c r="A85" s="682">
        <v>0.47916666666666702</v>
      </c>
      <c r="B85" s="673" t="s">
        <v>811</v>
      </c>
      <c r="C85" s="667" t="s">
        <v>1237</v>
      </c>
      <c r="D85" s="667" t="s">
        <v>1237</v>
      </c>
      <c r="E85" s="676"/>
      <c r="F85" s="668"/>
      <c r="G85" s="668"/>
      <c r="H85" s="668"/>
      <c r="I85" s="105"/>
      <c r="J85" s="105"/>
      <c r="K85" s="105"/>
      <c r="L85" s="105"/>
      <c r="M85" s="105"/>
      <c r="N85" s="105"/>
      <c r="O85" s="105"/>
      <c r="P85" s="105"/>
      <c r="Q85" s="105"/>
      <c r="R85" s="105"/>
      <c r="S85" s="105"/>
      <c r="T85" s="105"/>
      <c r="U85" s="105"/>
      <c r="V85" s="105"/>
      <c r="W85" s="105"/>
      <c r="X85" s="105"/>
      <c r="Y85" s="105"/>
      <c r="Z85" s="105"/>
      <c r="AA85" s="105"/>
      <c r="AB85" s="105"/>
      <c r="AC85" s="105"/>
      <c r="AD85" s="105"/>
      <c r="AE85" s="105"/>
      <c r="AF85" s="105"/>
      <c r="AG85" s="99"/>
      <c r="AH85" s="99"/>
      <c r="AI85" s="99"/>
      <c r="AJ85" s="99"/>
      <c r="AK85" s="99"/>
      <c r="AL85" s="99"/>
      <c r="AM85" s="99"/>
      <c r="AN85" s="99"/>
      <c r="AO85" s="99"/>
      <c r="AP85" s="99"/>
      <c r="AQ85" s="99"/>
      <c r="AR85" s="99"/>
      <c r="AS85" s="99"/>
      <c r="AT85" s="99"/>
      <c r="AU85" s="99"/>
      <c r="AV85" s="99"/>
      <c r="AW85" s="99"/>
      <c r="AX85" s="99"/>
      <c r="AY85" s="99"/>
      <c r="AZ85" s="99"/>
      <c r="BA85" s="99"/>
    </row>
    <row r="86" spans="1:53" x14ac:dyDescent="0.25">
      <c r="A86" s="677">
        <v>0.5</v>
      </c>
      <c r="B86" s="669" t="s">
        <v>813</v>
      </c>
      <c r="C86" s="669" t="s">
        <v>813</v>
      </c>
      <c r="D86" s="669" t="s">
        <v>813</v>
      </c>
      <c r="E86" s="676"/>
      <c r="F86" s="668"/>
      <c r="G86" s="668"/>
      <c r="H86" s="668"/>
      <c r="I86" s="105"/>
      <c r="J86" s="105"/>
      <c r="K86" s="105"/>
      <c r="L86" s="105"/>
      <c r="M86" s="105"/>
      <c r="N86" s="105"/>
      <c r="O86" s="105"/>
      <c r="P86" s="105"/>
      <c r="Q86" s="105"/>
      <c r="R86" s="105"/>
      <c r="S86" s="105"/>
      <c r="T86" s="105"/>
      <c r="U86" s="105"/>
      <c r="V86" s="105"/>
      <c r="W86" s="105"/>
      <c r="X86" s="105"/>
      <c r="Y86" s="105"/>
      <c r="Z86" s="105"/>
      <c r="AA86" s="105"/>
      <c r="AB86" s="105"/>
      <c r="AC86" s="105"/>
      <c r="AD86" s="105"/>
      <c r="AE86" s="105"/>
      <c r="AF86" s="105"/>
      <c r="AG86" s="99"/>
      <c r="AH86" s="99"/>
      <c r="AI86" s="99"/>
      <c r="AJ86" s="99"/>
      <c r="AK86" s="99"/>
      <c r="AL86" s="99"/>
      <c r="AM86" s="99"/>
      <c r="AN86" s="99"/>
      <c r="AO86" s="99"/>
      <c r="AP86" s="99"/>
      <c r="AQ86" s="99"/>
      <c r="AR86" s="99"/>
      <c r="AS86" s="99"/>
      <c r="AT86" s="99"/>
      <c r="AU86" s="99"/>
      <c r="AV86" s="99"/>
      <c r="AW86" s="99"/>
      <c r="AX86" s="99"/>
      <c r="AY86" s="99"/>
      <c r="AZ86" s="99"/>
      <c r="BA86" s="99"/>
    </row>
    <row r="87" spans="1:53" x14ac:dyDescent="0.25">
      <c r="A87" s="678">
        <v>0.52083333333333304</v>
      </c>
      <c r="B87" s="669" t="s">
        <v>813</v>
      </c>
      <c r="C87" s="669" t="s">
        <v>813</v>
      </c>
      <c r="D87" s="669" t="s">
        <v>813</v>
      </c>
      <c r="E87" s="676"/>
      <c r="F87" s="668"/>
      <c r="G87" s="668"/>
      <c r="H87" s="668"/>
      <c r="I87" s="105"/>
      <c r="J87" s="105"/>
      <c r="K87" s="105"/>
      <c r="L87" s="105"/>
      <c r="M87" s="105"/>
      <c r="N87" s="105"/>
      <c r="O87" s="105"/>
      <c r="P87" s="105"/>
      <c r="Q87" s="105"/>
      <c r="R87" s="105"/>
      <c r="S87" s="105"/>
      <c r="T87" s="105"/>
      <c r="U87" s="105"/>
      <c r="V87" s="105"/>
      <c r="W87" s="105"/>
      <c r="X87" s="105"/>
      <c r="Y87" s="105"/>
      <c r="Z87" s="105"/>
      <c r="AA87" s="105"/>
      <c r="AB87" s="105"/>
      <c r="AC87" s="105"/>
      <c r="AD87" s="105"/>
      <c r="AE87" s="105"/>
      <c r="AF87" s="105"/>
      <c r="AG87" s="99"/>
      <c r="AH87" s="99"/>
      <c r="AI87" s="99"/>
      <c r="AJ87" s="99"/>
      <c r="AK87" s="99"/>
      <c r="AL87" s="99"/>
      <c r="AM87" s="99"/>
      <c r="AN87" s="99"/>
      <c r="AO87" s="99"/>
      <c r="AP87" s="99"/>
      <c r="AQ87" s="99"/>
      <c r="AR87" s="99"/>
      <c r="AS87" s="99"/>
      <c r="AT87" s="99"/>
      <c r="AU87" s="99"/>
      <c r="AV87" s="99"/>
      <c r="AW87" s="99"/>
      <c r="AX87" s="99"/>
      <c r="AY87" s="99"/>
      <c r="AZ87" s="99"/>
      <c r="BA87" s="99"/>
    </row>
    <row r="88" spans="1:53" x14ac:dyDescent="0.25">
      <c r="A88" s="679">
        <v>0.54166666666666696</v>
      </c>
      <c r="B88" s="667" t="s">
        <v>1237</v>
      </c>
      <c r="C88" s="671" t="s">
        <v>810</v>
      </c>
      <c r="D88" s="667" t="s">
        <v>1237</v>
      </c>
      <c r="E88" s="676"/>
      <c r="F88" s="668"/>
      <c r="G88" s="668"/>
      <c r="H88" s="668"/>
      <c r="I88" s="105"/>
      <c r="J88" s="105"/>
      <c r="K88" s="105"/>
      <c r="L88" s="105"/>
      <c r="M88" s="105"/>
      <c r="N88" s="105"/>
      <c r="O88" s="105"/>
      <c r="P88" s="105"/>
      <c r="Q88" s="105"/>
      <c r="R88" s="105"/>
      <c r="S88" s="105"/>
      <c r="T88" s="105"/>
      <c r="U88" s="105"/>
      <c r="V88" s="105"/>
      <c r="W88" s="105"/>
      <c r="X88" s="105"/>
      <c r="Y88" s="105"/>
      <c r="Z88" s="105"/>
      <c r="AA88" s="105"/>
      <c r="AB88" s="105"/>
      <c r="AC88" s="105"/>
      <c r="AD88" s="105"/>
      <c r="AE88" s="105"/>
      <c r="AF88" s="105"/>
      <c r="AG88" s="99"/>
      <c r="AH88" s="99"/>
      <c r="AI88" s="99"/>
      <c r="AJ88" s="99"/>
      <c r="AK88" s="99"/>
      <c r="AL88" s="99"/>
      <c r="AM88" s="99"/>
      <c r="AN88" s="99"/>
      <c r="AO88" s="99"/>
      <c r="AP88" s="99"/>
      <c r="AQ88" s="99"/>
      <c r="AR88" s="99"/>
      <c r="AS88" s="99"/>
      <c r="AT88" s="99"/>
      <c r="AU88" s="99"/>
      <c r="AV88" s="99"/>
      <c r="AW88" s="99"/>
      <c r="AX88" s="99"/>
      <c r="AY88" s="99"/>
      <c r="AZ88" s="99"/>
      <c r="BA88" s="99"/>
    </row>
    <row r="89" spans="1:53" x14ac:dyDescent="0.25">
      <c r="A89" s="678">
        <v>0.5625</v>
      </c>
      <c r="B89" s="667" t="s">
        <v>1237</v>
      </c>
      <c r="C89" s="671" t="s">
        <v>810</v>
      </c>
      <c r="D89" s="667" t="s">
        <v>1237</v>
      </c>
      <c r="E89" s="676"/>
      <c r="F89" s="668"/>
      <c r="G89" s="668"/>
      <c r="H89" s="668"/>
      <c r="I89" s="105"/>
      <c r="J89" s="105"/>
      <c r="K89" s="105"/>
      <c r="L89" s="105"/>
      <c r="M89" s="105"/>
      <c r="N89" s="105"/>
      <c r="O89" s="105"/>
      <c r="P89" s="105"/>
      <c r="Q89" s="105"/>
      <c r="R89" s="105"/>
      <c r="S89" s="105"/>
      <c r="T89" s="105"/>
      <c r="U89" s="105"/>
      <c r="V89" s="105"/>
      <c r="W89" s="105"/>
      <c r="X89" s="105"/>
      <c r="Y89" s="105"/>
      <c r="Z89" s="105"/>
      <c r="AA89" s="105"/>
      <c r="AB89" s="105"/>
      <c r="AC89" s="105"/>
      <c r="AD89" s="105"/>
      <c r="AE89" s="105"/>
      <c r="AF89" s="105"/>
      <c r="AG89" s="99"/>
      <c r="AH89" s="99"/>
      <c r="AI89" s="99"/>
      <c r="AJ89" s="99"/>
      <c r="AK89" s="99"/>
      <c r="AL89" s="99"/>
      <c r="AM89" s="99"/>
      <c r="AN89" s="99"/>
      <c r="AO89" s="99"/>
      <c r="AP89" s="99"/>
      <c r="AQ89" s="99"/>
      <c r="AR89" s="99"/>
      <c r="AS89" s="99"/>
      <c r="AT89" s="99"/>
      <c r="AU89" s="99"/>
      <c r="AV89" s="99"/>
      <c r="AW89" s="99"/>
      <c r="AX89" s="99"/>
      <c r="AY89" s="99"/>
      <c r="AZ89" s="99"/>
      <c r="BA89" s="99"/>
    </row>
    <row r="90" spans="1:53" x14ac:dyDescent="0.25">
      <c r="A90" s="679">
        <v>0.58333333333333304</v>
      </c>
      <c r="B90" s="667" t="s">
        <v>1237</v>
      </c>
      <c r="C90" s="673" t="s">
        <v>811</v>
      </c>
      <c r="D90" s="667" t="s">
        <v>1237</v>
      </c>
      <c r="E90" s="676"/>
      <c r="F90" s="668"/>
      <c r="G90" s="668"/>
      <c r="H90" s="668"/>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99"/>
      <c r="AH90" s="99"/>
      <c r="AI90" s="99"/>
      <c r="AJ90" s="99"/>
      <c r="AK90" s="99"/>
      <c r="AL90" s="99"/>
      <c r="AM90" s="99"/>
      <c r="AN90" s="99"/>
      <c r="AO90" s="99"/>
      <c r="AP90" s="99"/>
      <c r="AQ90" s="99"/>
      <c r="AR90" s="99"/>
      <c r="AS90" s="99"/>
      <c r="AT90" s="99"/>
      <c r="AU90" s="99"/>
      <c r="AV90" s="99"/>
      <c r="AW90" s="99"/>
      <c r="AX90" s="99"/>
      <c r="AY90" s="99"/>
      <c r="AZ90" s="99"/>
      <c r="BA90" s="99"/>
    </row>
    <row r="91" spans="1:53" x14ac:dyDescent="0.25">
      <c r="A91" s="678">
        <v>0.60416666666666696</v>
      </c>
      <c r="B91" s="667" t="s">
        <v>1237</v>
      </c>
      <c r="C91" s="673" t="s">
        <v>811</v>
      </c>
      <c r="D91" s="667" t="s">
        <v>1237</v>
      </c>
      <c r="E91" s="676"/>
      <c r="F91" s="668"/>
      <c r="G91" s="668"/>
      <c r="H91" s="668"/>
      <c r="I91" s="105"/>
      <c r="J91" s="105"/>
      <c r="K91" s="105"/>
      <c r="L91" s="105"/>
      <c r="M91" s="105"/>
      <c r="N91" s="105"/>
      <c r="O91" s="105"/>
      <c r="P91" s="105"/>
      <c r="Q91" s="105"/>
      <c r="R91" s="105"/>
      <c r="S91" s="105"/>
      <c r="T91" s="105"/>
      <c r="U91" s="105"/>
      <c r="V91" s="105"/>
      <c r="W91" s="105"/>
      <c r="X91" s="105"/>
      <c r="Y91" s="105"/>
      <c r="Z91" s="105"/>
      <c r="AA91" s="105"/>
      <c r="AB91" s="105"/>
      <c r="AC91" s="105"/>
      <c r="AD91" s="105"/>
      <c r="AE91" s="105"/>
      <c r="AF91" s="105"/>
      <c r="AG91" s="99"/>
      <c r="AH91" s="99"/>
      <c r="AI91" s="99"/>
      <c r="AJ91" s="99"/>
      <c r="AK91" s="99"/>
      <c r="AL91" s="99"/>
      <c r="AM91" s="99"/>
      <c r="AN91" s="99"/>
      <c r="AO91" s="99"/>
      <c r="AP91" s="99"/>
      <c r="AQ91" s="99"/>
      <c r="AR91" s="99"/>
      <c r="AS91" s="99"/>
      <c r="AT91" s="99"/>
      <c r="AU91" s="99"/>
      <c r="AV91" s="99"/>
      <c r="AW91" s="99"/>
      <c r="AX91" s="99"/>
      <c r="AY91" s="99"/>
      <c r="AZ91" s="99"/>
      <c r="BA91" s="99"/>
    </row>
    <row r="92" spans="1:53" x14ac:dyDescent="0.25">
      <c r="A92" s="679">
        <v>0.625</v>
      </c>
      <c r="B92" s="667" t="s">
        <v>1237</v>
      </c>
      <c r="C92" s="667" t="s">
        <v>1237</v>
      </c>
      <c r="D92" s="667" t="s">
        <v>1237</v>
      </c>
      <c r="E92" s="676"/>
      <c r="F92" s="668"/>
      <c r="G92" s="668"/>
      <c r="H92" s="668"/>
      <c r="I92" s="105"/>
      <c r="J92" s="105"/>
      <c r="K92" s="105"/>
      <c r="L92" s="105"/>
      <c r="M92" s="105"/>
      <c r="N92" s="105"/>
      <c r="O92" s="105"/>
      <c r="P92" s="105"/>
      <c r="Q92" s="105"/>
      <c r="R92" s="105"/>
      <c r="S92" s="105"/>
      <c r="T92" s="105"/>
      <c r="U92" s="105"/>
      <c r="V92" s="105"/>
      <c r="W92" s="105"/>
      <c r="X92" s="105"/>
      <c r="Y92" s="105"/>
      <c r="Z92" s="105"/>
      <c r="AA92" s="105"/>
      <c r="AB92" s="105"/>
      <c r="AC92" s="105"/>
      <c r="AD92" s="105"/>
      <c r="AE92" s="105"/>
      <c r="AF92" s="105"/>
      <c r="AG92" s="99"/>
      <c r="AH92" s="99"/>
      <c r="AI92" s="99"/>
      <c r="AJ92" s="99"/>
      <c r="AK92" s="99"/>
      <c r="AL92" s="99"/>
      <c r="AM92" s="99"/>
      <c r="AN92" s="99"/>
      <c r="AO92" s="99"/>
      <c r="AP92" s="99"/>
      <c r="AQ92" s="99"/>
      <c r="AR92" s="99"/>
      <c r="AS92" s="99"/>
      <c r="AT92" s="99"/>
      <c r="AU92" s="99"/>
      <c r="AV92" s="99"/>
      <c r="AW92" s="99"/>
      <c r="AX92" s="99"/>
      <c r="AY92" s="99"/>
      <c r="AZ92" s="99"/>
      <c r="BA92" s="99"/>
    </row>
    <row r="93" spans="1:53" x14ac:dyDescent="0.25">
      <c r="A93" s="678">
        <v>0.64583333333333304</v>
      </c>
      <c r="B93" s="667" t="s">
        <v>1237</v>
      </c>
      <c r="C93" s="667" t="s">
        <v>1237</v>
      </c>
      <c r="D93" s="667" t="s">
        <v>1237</v>
      </c>
      <c r="E93" s="676"/>
      <c r="F93" s="668"/>
      <c r="G93" s="668"/>
      <c r="H93" s="668"/>
      <c r="I93" s="105"/>
      <c r="J93" s="105"/>
      <c r="K93" s="105"/>
      <c r="L93" s="105"/>
      <c r="M93" s="105"/>
      <c r="N93" s="105"/>
      <c r="O93" s="105"/>
      <c r="P93" s="105"/>
      <c r="Q93" s="105"/>
      <c r="R93" s="105"/>
      <c r="S93" s="105"/>
      <c r="T93" s="105"/>
      <c r="U93" s="105"/>
      <c r="V93" s="105"/>
      <c r="W93" s="105"/>
      <c r="X93" s="105"/>
      <c r="Y93" s="105"/>
      <c r="Z93" s="105"/>
      <c r="AA93" s="105"/>
      <c r="AB93" s="105"/>
      <c r="AC93" s="105"/>
      <c r="AD93" s="105"/>
      <c r="AE93" s="105"/>
      <c r="AF93" s="105"/>
      <c r="AG93" s="99"/>
      <c r="AH93" s="99"/>
      <c r="AI93" s="99"/>
      <c r="AJ93" s="99"/>
      <c r="AK93" s="99"/>
      <c r="AL93" s="99"/>
      <c r="AM93" s="99"/>
      <c r="AN93" s="99"/>
      <c r="AO93" s="99"/>
      <c r="AP93" s="99"/>
      <c r="AQ93" s="99"/>
      <c r="AR93" s="99"/>
      <c r="AS93" s="99"/>
      <c r="AT93" s="99"/>
      <c r="AU93" s="99"/>
      <c r="AV93" s="99"/>
      <c r="AW93" s="99"/>
      <c r="AX93" s="99"/>
      <c r="AY93" s="99"/>
      <c r="AZ93" s="99"/>
      <c r="BA93" s="99"/>
    </row>
    <row r="94" spans="1:53" x14ac:dyDescent="0.25">
      <c r="A94" s="679">
        <v>0.66666666666666696</v>
      </c>
      <c r="B94" s="667" t="s">
        <v>1237</v>
      </c>
      <c r="C94" s="667" t="s">
        <v>1237</v>
      </c>
      <c r="D94" s="671" t="s">
        <v>810</v>
      </c>
      <c r="E94" s="676"/>
      <c r="F94" s="668"/>
      <c r="G94" s="668"/>
      <c r="H94" s="668"/>
      <c r="I94" s="105"/>
      <c r="J94" s="105"/>
      <c r="K94" s="105"/>
      <c r="L94" s="105"/>
      <c r="M94" s="105"/>
      <c r="N94" s="105"/>
      <c r="O94" s="105"/>
      <c r="P94" s="105"/>
      <c r="Q94" s="105"/>
      <c r="R94" s="105"/>
      <c r="S94" s="105"/>
      <c r="T94" s="105"/>
      <c r="U94" s="105"/>
      <c r="V94" s="105"/>
      <c r="W94" s="105"/>
      <c r="X94" s="105"/>
      <c r="Y94" s="105"/>
      <c r="Z94" s="105"/>
      <c r="AA94" s="105"/>
      <c r="AB94" s="105"/>
      <c r="AC94" s="105"/>
      <c r="AD94" s="105"/>
      <c r="AE94" s="105"/>
      <c r="AF94" s="105"/>
      <c r="AG94" s="99"/>
      <c r="AH94" s="99"/>
      <c r="AI94" s="99"/>
      <c r="AJ94" s="99"/>
      <c r="AK94" s="99"/>
      <c r="AL94" s="99"/>
      <c r="AM94" s="99"/>
      <c r="AN94" s="99"/>
      <c r="AO94" s="99"/>
      <c r="AP94" s="99"/>
      <c r="AQ94" s="99"/>
      <c r="AR94" s="99"/>
      <c r="AS94" s="99"/>
      <c r="AT94" s="99"/>
      <c r="AU94" s="99"/>
      <c r="AV94" s="99"/>
      <c r="AW94" s="99"/>
      <c r="AX94" s="99"/>
      <c r="AY94" s="99"/>
      <c r="AZ94" s="99"/>
      <c r="BA94" s="99"/>
    </row>
    <row r="95" spans="1:53" x14ac:dyDescent="0.25">
      <c r="A95" s="678">
        <v>0.6875</v>
      </c>
      <c r="B95" s="667" t="s">
        <v>1237</v>
      </c>
      <c r="C95" s="667" t="s">
        <v>1237</v>
      </c>
      <c r="D95" s="671" t="s">
        <v>810</v>
      </c>
      <c r="E95" s="676"/>
      <c r="F95" s="668"/>
      <c r="G95" s="668"/>
      <c r="H95" s="668"/>
      <c r="I95" s="105"/>
      <c r="J95" s="105"/>
      <c r="K95" s="105"/>
      <c r="L95" s="105"/>
      <c r="M95" s="105"/>
      <c r="N95" s="105"/>
      <c r="O95" s="105"/>
      <c r="P95" s="105"/>
      <c r="Q95" s="105"/>
      <c r="R95" s="105"/>
      <c r="S95" s="105"/>
      <c r="T95" s="105"/>
      <c r="U95" s="105"/>
      <c r="V95" s="105"/>
      <c r="W95" s="105"/>
      <c r="X95" s="105"/>
      <c r="Y95" s="105"/>
      <c r="Z95" s="105"/>
      <c r="AA95" s="105"/>
      <c r="AB95" s="105"/>
      <c r="AC95" s="105"/>
      <c r="AD95" s="105"/>
      <c r="AE95" s="105"/>
      <c r="AF95" s="105"/>
      <c r="AG95" s="99"/>
      <c r="AH95" s="99"/>
      <c r="AI95" s="99"/>
      <c r="AJ95" s="99"/>
      <c r="AK95" s="99"/>
      <c r="AL95" s="99"/>
      <c r="AM95" s="99"/>
      <c r="AN95" s="99"/>
      <c r="AO95" s="99"/>
      <c r="AP95" s="99"/>
      <c r="AQ95" s="99"/>
      <c r="AR95" s="99"/>
      <c r="AS95" s="99"/>
      <c r="AT95" s="99"/>
      <c r="AU95" s="99"/>
      <c r="AV95" s="99"/>
      <c r="AW95" s="99"/>
      <c r="AX95" s="99"/>
      <c r="AY95" s="99"/>
      <c r="AZ95" s="99"/>
      <c r="BA95" s="99"/>
    </row>
    <row r="96" spans="1:53" x14ac:dyDescent="0.25">
      <c r="A96" s="679">
        <v>0.70833333333333304</v>
      </c>
      <c r="B96" s="666" t="s">
        <v>809</v>
      </c>
      <c r="C96" s="666" t="s">
        <v>809</v>
      </c>
      <c r="D96" s="673" t="s">
        <v>811</v>
      </c>
      <c r="E96" s="676"/>
      <c r="F96" s="668"/>
      <c r="G96" s="668"/>
      <c r="H96" s="668"/>
      <c r="I96" s="105"/>
      <c r="J96" s="105"/>
      <c r="K96" s="105"/>
      <c r="L96" s="105"/>
      <c r="M96" s="105"/>
      <c r="N96" s="105"/>
      <c r="O96" s="105"/>
      <c r="P96" s="105"/>
      <c r="Q96" s="105"/>
      <c r="R96" s="105"/>
      <c r="S96" s="105"/>
      <c r="T96" s="105"/>
      <c r="U96" s="105"/>
      <c r="V96" s="105"/>
      <c r="W96" s="105"/>
      <c r="X96" s="105"/>
      <c r="Y96" s="105"/>
      <c r="Z96" s="105"/>
      <c r="AA96" s="105"/>
      <c r="AB96" s="105"/>
      <c r="AC96" s="105"/>
      <c r="AD96" s="105"/>
      <c r="AE96" s="105"/>
      <c r="AF96" s="105"/>
      <c r="AG96" s="99"/>
      <c r="AH96" s="99"/>
      <c r="AI96" s="99"/>
      <c r="AJ96" s="99"/>
      <c r="AK96" s="99"/>
      <c r="AL96" s="99"/>
      <c r="AM96" s="99"/>
      <c r="AN96" s="99"/>
      <c r="AO96" s="99"/>
      <c r="AP96" s="99"/>
      <c r="AQ96" s="99"/>
      <c r="AR96" s="99"/>
      <c r="AS96" s="99"/>
      <c r="AT96" s="99"/>
      <c r="AU96" s="99"/>
      <c r="AV96" s="99"/>
      <c r="AW96" s="99"/>
      <c r="AX96" s="99"/>
      <c r="AY96" s="99"/>
      <c r="AZ96" s="99"/>
      <c r="BA96" s="99"/>
    </row>
    <row r="97" spans="1:53" x14ac:dyDescent="0.25">
      <c r="A97" s="678">
        <v>0.72916666666666696</v>
      </c>
      <c r="B97" s="666" t="s">
        <v>809</v>
      </c>
      <c r="C97" s="666" t="s">
        <v>809</v>
      </c>
      <c r="D97" s="673" t="s">
        <v>811</v>
      </c>
      <c r="E97" s="676"/>
      <c r="F97" s="668"/>
      <c r="G97" s="668"/>
      <c r="H97" s="668"/>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99"/>
      <c r="AH97" s="99"/>
      <c r="AI97" s="99"/>
      <c r="AJ97" s="99"/>
      <c r="AK97" s="99"/>
      <c r="AL97" s="99"/>
      <c r="AM97" s="99"/>
      <c r="AN97" s="99"/>
      <c r="AO97" s="99"/>
      <c r="AP97" s="99"/>
      <c r="AQ97" s="99"/>
      <c r="AR97" s="99"/>
      <c r="AS97" s="99"/>
      <c r="AT97" s="99"/>
      <c r="AU97" s="99"/>
      <c r="AV97" s="99"/>
      <c r="AW97" s="99"/>
      <c r="AX97" s="99"/>
      <c r="AY97" s="99"/>
      <c r="AZ97" s="99"/>
      <c r="BA97" s="99"/>
    </row>
    <row r="98" spans="1:53" x14ac:dyDescent="0.25">
      <c r="A98" s="679">
        <v>0.75</v>
      </c>
      <c r="B98" s="666" t="s">
        <v>809</v>
      </c>
      <c r="C98" s="666" t="s">
        <v>809</v>
      </c>
      <c r="D98" s="666" t="s">
        <v>809</v>
      </c>
      <c r="E98" s="676"/>
      <c r="F98" s="668"/>
      <c r="G98" s="668"/>
      <c r="H98" s="668"/>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99"/>
      <c r="AH98" s="99"/>
      <c r="AI98" s="99"/>
      <c r="AJ98" s="99"/>
      <c r="AK98" s="99"/>
      <c r="AL98" s="99"/>
      <c r="AM98" s="99"/>
      <c r="AN98" s="99"/>
      <c r="AO98" s="99"/>
      <c r="AP98" s="99"/>
      <c r="AQ98" s="99"/>
      <c r="AR98" s="99"/>
      <c r="AS98" s="99"/>
      <c r="AT98" s="99"/>
      <c r="AU98" s="99"/>
      <c r="AV98" s="99"/>
      <c r="AW98" s="99"/>
      <c r="AX98" s="99"/>
      <c r="AY98" s="99"/>
      <c r="AZ98" s="99"/>
      <c r="BA98" s="99"/>
    </row>
    <row r="99" spans="1:53" x14ac:dyDescent="0.25">
      <c r="A99" s="678">
        <v>0.77083333333333304</v>
      </c>
      <c r="B99" s="666" t="s">
        <v>809</v>
      </c>
      <c r="C99" s="666" t="s">
        <v>809</v>
      </c>
      <c r="D99" s="666" t="s">
        <v>809</v>
      </c>
      <c r="E99" s="676"/>
      <c r="F99" s="668"/>
      <c r="G99" s="668"/>
      <c r="H99" s="668"/>
      <c r="I99" s="105"/>
      <c r="J99" s="105"/>
      <c r="K99" s="105"/>
      <c r="L99" s="105"/>
      <c r="M99" s="105"/>
      <c r="N99" s="105"/>
      <c r="O99" s="105"/>
      <c r="P99" s="105"/>
      <c r="Q99" s="105"/>
      <c r="R99" s="105"/>
      <c r="S99" s="105"/>
      <c r="T99" s="105"/>
      <c r="U99" s="105"/>
      <c r="V99" s="105"/>
      <c r="W99" s="105"/>
      <c r="X99" s="105"/>
      <c r="Y99" s="105"/>
      <c r="Z99" s="105"/>
      <c r="AA99" s="105"/>
      <c r="AB99" s="105"/>
      <c r="AC99" s="105"/>
      <c r="AD99" s="105"/>
      <c r="AE99" s="105"/>
      <c r="AF99" s="105"/>
      <c r="AG99" s="99"/>
      <c r="AH99" s="99"/>
      <c r="AI99" s="99"/>
      <c r="AJ99" s="99"/>
      <c r="AK99" s="99"/>
      <c r="AL99" s="99"/>
      <c r="AM99" s="99"/>
      <c r="AN99" s="99"/>
      <c r="AO99" s="99"/>
      <c r="AP99" s="99"/>
      <c r="AQ99" s="99"/>
      <c r="AR99" s="99"/>
      <c r="AS99" s="99"/>
      <c r="AT99" s="99"/>
      <c r="AU99" s="99"/>
      <c r="AV99" s="99"/>
      <c r="AW99" s="99"/>
      <c r="AX99" s="99"/>
      <c r="AY99" s="99"/>
      <c r="AZ99" s="99"/>
      <c r="BA99" s="99"/>
    </row>
    <row r="100" spans="1:53" x14ac:dyDescent="0.25">
      <c r="A100" s="679">
        <v>0.79166666666666696</v>
      </c>
      <c r="B100" s="669" t="s">
        <v>814</v>
      </c>
      <c r="C100" s="669" t="s">
        <v>814</v>
      </c>
      <c r="D100" s="669" t="s">
        <v>814</v>
      </c>
      <c r="E100" s="676"/>
      <c r="F100" s="668"/>
      <c r="G100" s="668"/>
      <c r="H100" s="668"/>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99"/>
      <c r="AH100" s="99"/>
      <c r="AI100" s="99"/>
      <c r="AJ100" s="99"/>
      <c r="AK100" s="99"/>
      <c r="AL100" s="99"/>
      <c r="AM100" s="99"/>
      <c r="AN100" s="99"/>
      <c r="AO100" s="99"/>
      <c r="AP100" s="99"/>
      <c r="AQ100" s="99"/>
      <c r="AR100" s="99"/>
      <c r="AS100" s="99"/>
      <c r="AT100" s="99"/>
      <c r="AU100" s="99"/>
      <c r="AV100" s="99"/>
      <c r="AW100" s="99"/>
      <c r="AX100" s="99"/>
      <c r="AY100" s="99"/>
      <c r="AZ100" s="99"/>
      <c r="BA100" s="99"/>
    </row>
    <row r="101" spans="1:53" x14ac:dyDescent="0.25">
      <c r="A101" s="678">
        <v>0.8125</v>
      </c>
      <c r="B101" s="669" t="s">
        <v>814</v>
      </c>
      <c r="C101" s="669" t="s">
        <v>814</v>
      </c>
      <c r="D101" s="669" t="s">
        <v>814</v>
      </c>
      <c r="E101" s="676"/>
      <c r="F101" s="668"/>
      <c r="G101" s="668"/>
      <c r="H101" s="668"/>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99"/>
      <c r="AH101" s="99"/>
      <c r="AI101" s="99"/>
      <c r="AJ101" s="99"/>
      <c r="AK101" s="99"/>
      <c r="AL101" s="99"/>
      <c r="AM101" s="99"/>
      <c r="AN101" s="99"/>
      <c r="AO101" s="99"/>
      <c r="AP101" s="99"/>
      <c r="AQ101" s="99"/>
      <c r="AR101" s="99"/>
      <c r="AS101" s="99"/>
      <c r="AT101" s="99"/>
      <c r="AU101" s="99"/>
      <c r="AV101" s="99"/>
      <c r="AW101" s="99"/>
      <c r="AX101" s="99"/>
      <c r="AY101" s="99"/>
      <c r="AZ101" s="99"/>
      <c r="BA101" s="99"/>
    </row>
    <row r="102" spans="1:53" x14ac:dyDescent="0.25">
      <c r="A102" s="679">
        <v>0.83333333333333304</v>
      </c>
      <c r="B102" s="666" t="s">
        <v>809</v>
      </c>
      <c r="C102" s="666" t="s">
        <v>809</v>
      </c>
      <c r="D102" s="666" t="s">
        <v>809</v>
      </c>
      <c r="E102" s="676"/>
      <c r="F102" s="668"/>
      <c r="G102" s="668"/>
      <c r="H102" s="668"/>
      <c r="I102" s="105"/>
      <c r="J102" s="105"/>
      <c r="K102" s="105"/>
      <c r="L102" s="105"/>
      <c r="M102" s="105"/>
      <c r="N102" s="105"/>
      <c r="O102" s="105"/>
      <c r="P102" s="105"/>
      <c r="Q102" s="105"/>
      <c r="R102" s="105"/>
      <c r="S102" s="105"/>
      <c r="T102" s="105"/>
      <c r="U102" s="105"/>
      <c r="V102" s="105"/>
      <c r="W102" s="105"/>
      <c r="X102" s="105"/>
      <c r="Y102" s="105"/>
      <c r="Z102" s="105"/>
      <c r="AA102" s="105"/>
      <c r="AB102" s="105"/>
      <c r="AC102" s="105"/>
      <c r="AD102" s="105"/>
      <c r="AE102" s="105"/>
      <c r="AF102" s="105"/>
      <c r="AG102" s="99"/>
      <c r="AH102" s="99"/>
      <c r="AI102" s="99"/>
      <c r="AJ102" s="99"/>
      <c r="AK102" s="99"/>
      <c r="AL102" s="99"/>
      <c r="AM102" s="99"/>
      <c r="AN102" s="99"/>
      <c r="AO102" s="99"/>
      <c r="AP102" s="99"/>
      <c r="AQ102" s="99"/>
      <c r="AR102" s="99"/>
      <c r="AS102" s="99"/>
      <c r="AT102" s="99"/>
      <c r="AU102" s="99"/>
      <c r="AV102" s="99"/>
      <c r="AW102" s="99"/>
      <c r="AX102" s="99"/>
      <c r="AY102" s="99"/>
      <c r="AZ102" s="99"/>
      <c r="BA102" s="99"/>
    </row>
    <row r="103" spans="1:53" x14ac:dyDescent="0.25">
      <c r="A103" s="678">
        <v>0.85416666666666696</v>
      </c>
      <c r="B103" s="666" t="s">
        <v>809</v>
      </c>
      <c r="C103" s="666" t="s">
        <v>809</v>
      </c>
      <c r="D103" s="666" t="s">
        <v>809</v>
      </c>
      <c r="E103" s="676"/>
      <c r="F103" s="668"/>
      <c r="G103" s="668"/>
      <c r="H103" s="668"/>
      <c r="I103" s="105"/>
      <c r="J103" s="105"/>
      <c r="K103" s="105"/>
      <c r="L103" s="105"/>
      <c r="M103" s="105"/>
      <c r="N103" s="105"/>
      <c r="O103" s="105"/>
      <c r="P103" s="105"/>
      <c r="Q103" s="105"/>
      <c r="R103" s="105"/>
      <c r="S103" s="105"/>
      <c r="T103" s="105"/>
      <c r="U103" s="105"/>
      <c r="V103" s="105"/>
      <c r="W103" s="105"/>
      <c r="X103" s="105"/>
      <c r="Y103" s="105"/>
      <c r="Z103" s="105"/>
      <c r="AA103" s="105"/>
      <c r="AB103" s="105"/>
      <c r="AC103" s="105"/>
      <c r="AD103" s="105"/>
      <c r="AE103" s="105"/>
      <c r="AF103" s="105"/>
      <c r="AG103" s="99"/>
      <c r="AH103" s="99"/>
      <c r="AI103" s="99"/>
      <c r="AJ103" s="99"/>
      <c r="AK103" s="99"/>
      <c r="AL103" s="99"/>
      <c r="AM103" s="99"/>
      <c r="AN103" s="99"/>
      <c r="AO103" s="99"/>
      <c r="AP103" s="99"/>
      <c r="AQ103" s="99"/>
      <c r="AR103" s="99"/>
      <c r="AS103" s="99"/>
      <c r="AT103" s="99"/>
      <c r="AU103" s="99"/>
      <c r="AV103" s="99"/>
      <c r="AW103" s="99"/>
      <c r="AX103" s="99"/>
      <c r="AY103" s="99"/>
      <c r="AZ103" s="99"/>
      <c r="BA103" s="99"/>
    </row>
    <row r="104" spans="1:53" x14ac:dyDescent="0.25">
      <c r="A104" s="679">
        <v>0.875</v>
      </c>
      <c r="B104" s="670" t="s">
        <v>807</v>
      </c>
      <c r="C104" s="670" t="s">
        <v>807</v>
      </c>
      <c r="D104" s="670" t="s">
        <v>807</v>
      </c>
      <c r="E104" s="676"/>
      <c r="F104" s="668"/>
      <c r="G104" s="668"/>
      <c r="H104" s="668"/>
      <c r="I104" s="105"/>
      <c r="J104" s="105"/>
      <c r="K104" s="105"/>
      <c r="L104" s="105"/>
      <c r="M104" s="105"/>
      <c r="N104" s="105"/>
      <c r="O104" s="105"/>
      <c r="P104" s="105"/>
      <c r="Q104" s="105"/>
      <c r="R104" s="105"/>
      <c r="S104" s="105"/>
      <c r="T104" s="105"/>
      <c r="U104" s="105"/>
      <c r="V104" s="105"/>
      <c r="W104" s="105"/>
      <c r="X104" s="105"/>
      <c r="Y104" s="105"/>
      <c r="Z104" s="105"/>
      <c r="AA104" s="105"/>
      <c r="AB104" s="105"/>
      <c r="AC104" s="105"/>
      <c r="AD104" s="105"/>
      <c r="AE104" s="105"/>
      <c r="AF104" s="105"/>
      <c r="AG104" s="99"/>
      <c r="AH104" s="99"/>
      <c r="AI104" s="99"/>
      <c r="AJ104" s="99"/>
      <c r="AK104" s="99"/>
      <c r="AL104" s="99"/>
      <c r="AM104" s="99"/>
      <c r="AN104" s="99"/>
      <c r="AO104" s="99"/>
      <c r="AP104" s="99"/>
      <c r="AQ104" s="99"/>
      <c r="AR104" s="99"/>
      <c r="AS104" s="99"/>
      <c r="AT104" s="99"/>
      <c r="AU104" s="99"/>
      <c r="AV104" s="99"/>
      <c r="AW104" s="99"/>
      <c r="AX104" s="99"/>
      <c r="AY104" s="99"/>
      <c r="AZ104" s="99"/>
      <c r="BA104" s="99"/>
    </row>
    <row r="105" spans="1:53" x14ac:dyDescent="0.25">
      <c r="A105" s="678">
        <v>0.89583333333333304</v>
      </c>
      <c r="B105" s="670" t="s">
        <v>807</v>
      </c>
      <c r="C105" s="670" t="s">
        <v>807</v>
      </c>
      <c r="D105" s="670" t="s">
        <v>807</v>
      </c>
      <c r="E105" s="676"/>
      <c r="F105" s="668"/>
      <c r="G105" s="668"/>
      <c r="H105" s="668"/>
      <c r="I105" s="105"/>
      <c r="J105" s="105"/>
      <c r="K105" s="105"/>
      <c r="L105" s="105"/>
      <c r="M105" s="105"/>
      <c r="N105" s="105"/>
      <c r="O105" s="105"/>
      <c r="P105" s="105"/>
      <c r="Q105" s="105"/>
      <c r="R105" s="105"/>
      <c r="S105" s="105"/>
      <c r="T105" s="105"/>
      <c r="U105" s="105"/>
      <c r="V105" s="105"/>
      <c r="W105" s="105"/>
      <c r="X105" s="105"/>
      <c r="Y105" s="105"/>
      <c r="Z105" s="105"/>
      <c r="AA105" s="105"/>
      <c r="AB105" s="105"/>
      <c r="AC105" s="105"/>
      <c r="AD105" s="105"/>
      <c r="AE105" s="105"/>
      <c r="AF105" s="105"/>
      <c r="AG105" s="99"/>
      <c r="AH105" s="99"/>
      <c r="AI105" s="99"/>
      <c r="AJ105" s="99"/>
      <c r="AK105" s="99"/>
      <c r="AL105" s="99"/>
      <c r="AM105" s="99"/>
      <c r="AN105" s="99"/>
      <c r="AO105" s="99"/>
      <c r="AP105" s="99"/>
      <c r="AQ105" s="99"/>
      <c r="AR105" s="99"/>
      <c r="AS105" s="99"/>
      <c r="AT105" s="99"/>
      <c r="AU105" s="99"/>
      <c r="AV105" s="99"/>
      <c r="AW105" s="99"/>
      <c r="AX105" s="99"/>
      <c r="AY105" s="99"/>
      <c r="AZ105" s="99"/>
      <c r="BA105" s="99"/>
    </row>
    <row r="106" spans="1:53" x14ac:dyDescent="0.25">
      <c r="A106" s="679">
        <v>0.91666666666666696</v>
      </c>
      <c r="B106" s="665" t="s">
        <v>805</v>
      </c>
      <c r="C106" s="665" t="s">
        <v>805</v>
      </c>
      <c r="D106" s="665" t="s">
        <v>805</v>
      </c>
      <c r="E106" s="676"/>
      <c r="F106" s="668"/>
      <c r="G106" s="668"/>
      <c r="H106" s="668"/>
      <c r="I106" s="105"/>
      <c r="J106" s="105"/>
      <c r="K106" s="105"/>
      <c r="L106" s="105"/>
      <c r="M106" s="105"/>
      <c r="N106" s="105"/>
      <c r="O106" s="105"/>
      <c r="P106" s="105"/>
      <c r="Q106" s="105"/>
      <c r="R106" s="105"/>
      <c r="S106" s="105"/>
      <c r="T106" s="105"/>
      <c r="U106" s="105"/>
      <c r="V106" s="105"/>
      <c r="W106" s="105"/>
      <c r="X106" s="105"/>
      <c r="Y106" s="105"/>
      <c r="Z106" s="105"/>
      <c r="AA106" s="105"/>
      <c r="AB106" s="105"/>
      <c r="AC106" s="105"/>
      <c r="AD106" s="105"/>
      <c r="AE106" s="105"/>
      <c r="AF106" s="105"/>
      <c r="AG106" s="99"/>
      <c r="AH106" s="99"/>
      <c r="AI106" s="99"/>
      <c r="AJ106" s="99"/>
      <c r="AK106" s="99"/>
      <c r="AL106" s="99"/>
      <c r="AM106" s="99"/>
      <c r="AN106" s="99"/>
      <c r="AO106" s="99"/>
      <c r="AP106" s="99"/>
      <c r="AQ106" s="99"/>
      <c r="AR106" s="99"/>
      <c r="AS106" s="99"/>
      <c r="AT106" s="99"/>
      <c r="AU106" s="99"/>
      <c r="AV106" s="99"/>
      <c r="AW106" s="99"/>
      <c r="AX106" s="99"/>
      <c r="AY106" s="99"/>
      <c r="AZ106" s="99"/>
      <c r="BA106" s="99"/>
    </row>
    <row r="107" spans="1:53" x14ac:dyDescent="0.25">
      <c r="A107" s="678">
        <v>0.9375</v>
      </c>
      <c r="B107" s="665" t="s">
        <v>805</v>
      </c>
      <c r="C107" s="665" t="s">
        <v>805</v>
      </c>
      <c r="D107" s="665" t="s">
        <v>805</v>
      </c>
      <c r="E107" s="676"/>
      <c r="F107" s="668"/>
      <c r="G107" s="668"/>
      <c r="H107" s="668"/>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99"/>
      <c r="AH107" s="99"/>
      <c r="AI107" s="99"/>
      <c r="AJ107" s="99"/>
      <c r="AK107" s="99"/>
      <c r="AL107" s="99"/>
      <c r="AM107" s="99"/>
      <c r="AN107" s="99"/>
      <c r="AO107" s="99"/>
      <c r="AP107" s="99"/>
      <c r="AQ107" s="99"/>
      <c r="AR107" s="99"/>
      <c r="AS107" s="99"/>
      <c r="AT107" s="99"/>
      <c r="AU107" s="99"/>
      <c r="AV107" s="99"/>
      <c r="AW107" s="99"/>
      <c r="AX107" s="99"/>
      <c r="AY107" s="99"/>
      <c r="AZ107" s="99"/>
      <c r="BA107" s="99"/>
    </row>
    <row r="108" spans="1:53" x14ac:dyDescent="0.25">
      <c r="A108" s="679">
        <v>0.95833333333333304</v>
      </c>
      <c r="B108" s="665" t="s">
        <v>805</v>
      </c>
      <c r="C108" s="665" t="s">
        <v>805</v>
      </c>
      <c r="D108" s="665" t="s">
        <v>805</v>
      </c>
      <c r="E108" s="676"/>
      <c r="F108" s="668"/>
      <c r="G108" s="668"/>
      <c r="H108" s="668"/>
      <c r="I108" s="105"/>
      <c r="J108" s="105"/>
      <c r="K108" s="105"/>
      <c r="L108" s="105"/>
      <c r="M108" s="105"/>
      <c r="N108" s="105"/>
      <c r="O108" s="105"/>
      <c r="P108" s="105"/>
      <c r="Q108" s="105"/>
      <c r="R108" s="105"/>
      <c r="S108" s="105"/>
      <c r="T108" s="105"/>
      <c r="U108" s="105"/>
      <c r="V108" s="105"/>
      <c r="W108" s="105"/>
      <c r="X108" s="105"/>
      <c r="Y108" s="105"/>
      <c r="Z108" s="105"/>
      <c r="AA108" s="105"/>
      <c r="AB108" s="105"/>
      <c r="AC108" s="105"/>
      <c r="AD108" s="105"/>
      <c r="AE108" s="105"/>
      <c r="AF108" s="105"/>
      <c r="AG108" s="99"/>
      <c r="AH108" s="99"/>
      <c r="AI108" s="99"/>
      <c r="AJ108" s="99"/>
      <c r="AK108" s="99"/>
      <c r="AL108" s="99"/>
      <c r="AM108" s="99"/>
      <c r="AN108" s="99"/>
      <c r="AO108" s="99"/>
      <c r="AP108" s="99"/>
      <c r="AQ108" s="99"/>
      <c r="AR108" s="99"/>
      <c r="AS108" s="99"/>
      <c r="AT108" s="99"/>
      <c r="AU108" s="99"/>
      <c r="AV108" s="99"/>
      <c r="AW108" s="99"/>
      <c r="AX108" s="99"/>
      <c r="AY108" s="99"/>
      <c r="AZ108" s="99"/>
      <c r="BA108" s="99"/>
    </row>
    <row r="109" spans="1:53" x14ac:dyDescent="0.25">
      <c r="A109" s="680">
        <v>0.97916666666666696</v>
      </c>
      <c r="B109" s="665" t="s">
        <v>805</v>
      </c>
      <c r="C109" s="665" t="s">
        <v>805</v>
      </c>
      <c r="D109" s="665" t="s">
        <v>805</v>
      </c>
      <c r="E109" s="676"/>
      <c r="F109" s="668"/>
      <c r="G109" s="668"/>
      <c r="H109" s="668"/>
      <c r="I109" s="105"/>
      <c r="J109" s="105"/>
      <c r="K109" s="105"/>
      <c r="L109" s="105"/>
      <c r="M109" s="105"/>
      <c r="N109" s="105"/>
      <c r="O109" s="105"/>
      <c r="P109" s="105"/>
      <c r="Q109" s="105"/>
      <c r="R109" s="105"/>
      <c r="S109" s="105"/>
      <c r="T109" s="105"/>
      <c r="U109" s="105"/>
      <c r="V109" s="105"/>
      <c r="W109" s="105"/>
      <c r="X109" s="105"/>
      <c r="Y109" s="105"/>
      <c r="Z109" s="105"/>
      <c r="AA109" s="105"/>
      <c r="AB109" s="105"/>
      <c r="AC109" s="105"/>
      <c r="AD109" s="105"/>
      <c r="AE109" s="105"/>
      <c r="AF109" s="105"/>
      <c r="AG109" s="99"/>
      <c r="AH109" s="99"/>
      <c r="AI109" s="99"/>
      <c r="AJ109" s="99"/>
      <c r="AK109" s="99"/>
      <c r="AL109" s="99"/>
      <c r="AM109" s="99"/>
      <c r="AN109" s="99"/>
      <c r="AO109" s="99"/>
      <c r="AP109" s="99"/>
      <c r="AQ109" s="99"/>
      <c r="AR109" s="99"/>
      <c r="AS109" s="99"/>
      <c r="AT109" s="99"/>
      <c r="AU109" s="99"/>
      <c r="AV109" s="99"/>
      <c r="AW109" s="99"/>
      <c r="AX109" s="99"/>
      <c r="AY109" s="99"/>
      <c r="AZ109" s="99"/>
      <c r="BA109" s="99"/>
    </row>
    <row r="110" spans="1:53" x14ac:dyDescent="0.25">
      <c r="A110" s="36"/>
      <c r="B110" s="674"/>
      <c r="C110" s="105"/>
      <c r="D110" s="105"/>
      <c r="E110" s="105"/>
      <c r="F110" s="105"/>
      <c r="G110" s="105"/>
      <c r="H110" s="105"/>
      <c r="I110" s="105"/>
      <c r="J110" s="105"/>
      <c r="K110" s="105"/>
      <c r="L110" s="105"/>
      <c r="M110" s="105"/>
      <c r="N110" s="105"/>
      <c r="O110" s="105"/>
      <c r="P110" s="105"/>
      <c r="Q110" s="105"/>
      <c r="R110" s="105"/>
      <c r="S110" s="105"/>
      <c r="T110" s="105"/>
      <c r="U110" s="105"/>
      <c r="V110" s="105"/>
      <c r="W110" s="105"/>
      <c r="X110" s="105"/>
      <c r="Y110" s="105"/>
      <c r="Z110" s="105"/>
      <c r="AA110" s="105"/>
      <c r="AB110" s="105"/>
      <c r="AC110" s="105"/>
      <c r="AD110" s="105"/>
      <c r="AE110" s="105"/>
      <c r="AF110" s="105"/>
      <c r="AG110" s="99"/>
      <c r="AH110" s="99"/>
      <c r="AI110" s="99"/>
      <c r="AJ110" s="99"/>
      <c r="AK110" s="99"/>
      <c r="AL110" s="99"/>
      <c r="AM110" s="99"/>
      <c r="AN110" s="99"/>
      <c r="AO110" s="99"/>
      <c r="AP110" s="99"/>
      <c r="AQ110" s="99"/>
      <c r="AR110" s="99"/>
      <c r="AS110" s="99"/>
      <c r="AT110" s="99"/>
      <c r="AU110" s="99"/>
      <c r="AV110" s="99"/>
      <c r="AW110" s="99"/>
      <c r="AX110" s="99"/>
      <c r="AY110" s="99"/>
      <c r="AZ110" s="99"/>
      <c r="BA110" s="99"/>
    </row>
    <row r="111" spans="1:53" x14ac:dyDescent="0.25">
      <c r="A111" s="121" t="s">
        <v>1236</v>
      </c>
      <c r="B111" s="268"/>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row>
    <row r="112" spans="1:53" x14ac:dyDescent="0.25">
      <c r="A112" s="86" t="s">
        <v>1241</v>
      </c>
      <c r="B112" s="269"/>
      <c r="C112" s="82"/>
      <c r="D112" s="82"/>
      <c r="E112" s="82"/>
      <c r="F112" s="82"/>
      <c r="G112" s="82"/>
      <c r="H112" s="36"/>
      <c r="I112" s="36"/>
      <c r="J112" s="36"/>
      <c r="K112" s="36"/>
      <c r="L112" s="36"/>
      <c r="M112" s="36"/>
      <c r="N112" s="36"/>
      <c r="O112" s="36"/>
      <c r="P112" s="36"/>
      <c r="Q112" s="36"/>
      <c r="R112" s="36"/>
      <c r="S112" s="36"/>
      <c r="T112" s="36"/>
      <c r="U112" s="36"/>
      <c r="V112" s="36"/>
      <c r="W112" s="36"/>
      <c r="X112" s="36"/>
      <c r="Y112" s="36"/>
      <c r="Z112" s="36"/>
      <c r="AA112" s="36"/>
      <c r="AB112" s="36"/>
      <c r="AC112" s="36"/>
      <c r="AD112" s="36"/>
      <c r="AE112" s="36"/>
      <c r="AF112" s="36"/>
    </row>
    <row r="113" spans="1:32" x14ac:dyDescent="0.25">
      <c r="A113" s="86" t="s">
        <v>1242</v>
      </c>
      <c r="B113" s="269"/>
      <c r="C113" s="82"/>
      <c r="D113" s="82"/>
      <c r="E113" s="82"/>
      <c r="F113" s="82"/>
      <c r="G113" s="82"/>
      <c r="H113" s="36"/>
      <c r="I113" s="36"/>
      <c r="J113" s="36"/>
      <c r="K113" s="36"/>
      <c r="L113" s="36"/>
      <c r="M113" s="36"/>
      <c r="N113" s="36"/>
      <c r="O113" s="36"/>
      <c r="P113" s="36"/>
      <c r="Q113" s="36"/>
      <c r="R113" s="36"/>
      <c r="S113" s="36"/>
      <c r="T113" s="36"/>
      <c r="U113" s="36"/>
      <c r="V113" s="36"/>
      <c r="W113" s="36"/>
      <c r="X113" s="36"/>
      <c r="Y113" s="36"/>
      <c r="Z113" s="36"/>
      <c r="AA113" s="36"/>
      <c r="AB113" s="36"/>
      <c r="AC113" s="36"/>
      <c r="AD113" s="36"/>
      <c r="AE113" s="36"/>
      <c r="AF113" s="36"/>
    </row>
    <row r="114" spans="1:32" x14ac:dyDescent="0.25">
      <c r="A114" s="86" t="s">
        <v>1243</v>
      </c>
      <c r="B114" s="269"/>
      <c r="C114" s="82"/>
      <c r="D114" s="82"/>
      <c r="E114" s="82"/>
      <c r="F114" s="82"/>
      <c r="G114" s="82"/>
      <c r="H114" s="36"/>
      <c r="I114" s="36"/>
      <c r="J114" s="36"/>
      <c r="K114" s="36"/>
      <c r="L114" s="36"/>
      <c r="M114" s="36"/>
      <c r="N114" s="36"/>
      <c r="O114" s="36"/>
      <c r="P114" s="36"/>
      <c r="Q114" s="36"/>
      <c r="R114" s="36"/>
      <c r="S114" s="36"/>
      <c r="T114" s="36"/>
      <c r="U114" s="36"/>
      <c r="V114" s="36"/>
      <c r="W114" s="36"/>
      <c r="X114" s="36"/>
      <c r="Y114" s="36"/>
      <c r="Z114" s="36"/>
      <c r="AA114" s="36"/>
      <c r="AB114" s="36"/>
      <c r="AC114" s="36"/>
      <c r="AD114" s="36"/>
      <c r="AE114" s="36"/>
      <c r="AF114" s="36"/>
    </row>
    <row r="115" spans="1:32" x14ac:dyDescent="0.25">
      <c r="A115" s="86" t="s">
        <v>1244</v>
      </c>
      <c r="B115" s="269"/>
      <c r="C115" s="82"/>
      <c r="D115" s="82"/>
      <c r="E115" s="82"/>
      <c r="F115" s="82"/>
      <c r="G115" s="82"/>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row>
    <row r="116" spans="1:32" x14ac:dyDescent="0.25">
      <c r="A116" s="86" t="s">
        <v>1245</v>
      </c>
      <c r="B116" s="269"/>
      <c r="C116" s="82"/>
      <c r="D116" s="82"/>
      <c r="E116" s="82"/>
      <c r="F116" s="82"/>
      <c r="G116" s="82"/>
      <c r="H116" s="36"/>
      <c r="I116" s="36"/>
      <c r="J116" s="36"/>
      <c r="K116" s="36"/>
      <c r="L116" s="36"/>
      <c r="M116" s="36"/>
      <c r="N116" s="36"/>
      <c r="O116" s="36"/>
      <c r="P116" s="36"/>
      <c r="Q116" s="36"/>
      <c r="R116" s="36"/>
      <c r="S116" s="36"/>
      <c r="T116" s="36"/>
      <c r="U116" s="36"/>
      <c r="V116" s="36"/>
      <c r="W116" s="36"/>
      <c r="X116" s="36"/>
      <c r="Y116" s="36"/>
      <c r="Z116" s="36"/>
      <c r="AA116" s="36"/>
      <c r="AB116" s="36"/>
      <c r="AC116" s="36"/>
      <c r="AD116" s="36"/>
      <c r="AE116" s="36"/>
      <c r="AF116" s="36"/>
    </row>
    <row r="117" spans="1:32" x14ac:dyDescent="0.25">
      <c r="A117" s="36"/>
      <c r="B117" s="268"/>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row>
    <row r="118" spans="1:32" x14ac:dyDescent="0.25">
      <c r="A118" s="93"/>
      <c r="B118" s="268"/>
      <c r="C118" s="93"/>
      <c r="D118" s="93"/>
      <c r="E118" s="93"/>
      <c r="F118" s="93"/>
      <c r="G118" s="93"/>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row>
    <row r="119" spans="1:32" x14ac:dyDescent="0.25">
      <c r="A119" s="93"/>
      <c r="B119" s="268"/>
      <c r="C119" s="93"/>
      <c r="D119" s="93"/>
      <c r="E119" s="93"/>
      <c r="F119" s="93"/>
      <c r="G119" s="93"/>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row>
    <row r="120" spans="1:32" x14ac:dyDescent="0.25">
      <c r="A120" s="93"/>
      <c r="B120" s="268"/>
      <c r="C120" s="93"/>
      <c r="D120" s="93"/>
      <c r="E120" s="93"/>
      <c r="F120" s="93"/>
      <c r="G120" s="93"/>
      <c r="H120" s="36"/>
      <c r="I120" s="36"/>
      <c r="J120" s="36"/>
      <c r="K120" s="36"/>
      <c r="L120" s="36"/>
      <c r="M120" s="36"/>
      <c r="N120" s="36"/>
      <c r="O120" s="36"/>
      <c r="P120" s="36"/>
      <c r="Q120" s="36"/>
      <c r="R120" s="36"/>
      <c r="S120" s="36"/>
      <c r="T120" s="36"/>
      <c r="U120" s="36"/>
      <c r="V120" s="36"/>
      <c r="W120" s="36"/>
      <c r="X120" s="36"/>
      <c r="Y120" s="36"/>
      <c r="Z120" s="36"/>
      <c r="AA120" s="36"/>
      <c r="AB120" s="36"/>
      <c r="AC120" s="36"/>
      <c r="AD120" s="36"/>
      <c r="AE120" s="36"/>
      <c r="AF120" s="36"/>
    </row>
    <row r="121" spans="1:32" x14ac:dyDescent="0.25">
      <c r="A121" s="93"/>
      <c r="B121" s="268"/>
      <c r="C121" s="93"/>
      <c r="D121" s="93"/>
      <c r="E121" s="93"/>
      <c r="F121" s="93"/>
      <c r="G121" s="93"/>
      <c r="H121" s="36"/>
      <c r="I121" s="36"/>
      <c r="J121" s="36"/>
      <c r="K121" s="36"/>
      <c r="L121" s="36"/>
      <c r="M121" s="36"/>
      <c r="N121" s="36"/>
      <c r="O121" s="36"/>
      <c r="P121" s="36"/>
      <c r="Q121" s="36"/>
      <c r="R121" s="36"/>
      <c r="S121" s="36"/>
      <c r="T121" s="36"/>
      <c r="U121" s="36"/>
      <c r="V121" s="36"/>
      <c r="W121" s="36"/>
      <c r="X121" s="36"/>
      <c r="Y121" s="36"/>
      <c r="Z121" s="36"/>
      <c r="AA121" s="36"/>
      <c r="AB121" s="36"/>
      <c r="AC121" s="36"/>
      <c r="AD121" s="36"/>
      <c r="AE121" s="36"/>
      <c r="AF121" s="36"/>
    </row>
    <row r="122" spans="1:32" x14ac:dyDescent="0.25">
      <c r="A122" s="93"/>
      <c r="B122" s="268"/>
      <c r="C122" s="93"/>
      <c r="D122" s="93"/>
      <c r="E122" s="93"/>
      <c r="F122" s="93"/>
      <c r="G122" s="93"/>
      <c r="H122" s="36"/>
      <c r="I122" s="36"/>
      <c r="J122" s="36"/>
      <c r="K122" s="36"/>
      <c r="L122" s="36"/>
      <c r="M122" s="36"/>
      <c r="N122" s="36"/>
      <c r="O122" s="36"/>
      <c r="P122" s="36"/>
      <c r="Q122" s="36"/>
      <c r="R122" s="36"/>
      <c r="S122" s="36"/>
      <c r="T122" s="36"/>
      <c r="U122" s="36"/>
      <c r="V122" s="36"/>
      <c r="W122" s="36"/>
      <c r="X122" s="36"/>
      <c r="Y122" s="36"/>
      <c r="Z122" s="36"/>
      <c r="AA122" s="36"/>
      <c r="AB122" s="36"/>
      <c r="AC122" s="36"/>
      <c r="AD122" s="36"/>
      <c r="AE122" s="36"/>
      <c r="AF122" s="36"/>
    </row>
    <row r="123" spans="1:32" x14ac:dyDescent="0.25">
      <c r="A123" s="93"/>
      <c r="B123" s="268"/>
      <c r="C123" s="93"/>
      <c r="D123" s="93"/>
      <c r="E123" s="93"/>
      <c r="F123" s="93"/>
      <c r="G123" s="93"/>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row>
    <row r="124" spans="1:32" x14ac:dyDescent="0.25">
      <c r="A124" s="93"/>
      <c r="B124" s="268"/>
      <c r="C124" s="93"/>
      <c r="D124" s="93"/>
      <c r="E124" s="93"/>
      <c r="F124" s="93"/>
      <c r="G124" s="93"/>
      <c r="H124" s="36"/>
      <c r="I124" s="36"/>
      <c r="J124" s="36"/>
      <c r="K124" s="36"/>
      <c r="L124" s="36"/>
      <c r="M124" s="36"/>
      <c r="N124" s="36"/>
      <c r="O124" s="36"/>
      <c r="P124" s="36"/>
      <c r="Q124" s="36"/>
      <c r="R124" s="36"/>
      <c r="S124" s="36"/>
      <c r="T124" s="36"/>
      <c r="U124" s="36"/>
      <c r="V124" s="36"/>
      <c r="W124" s="36"/>
      <c r="X124" s="36"/>
      <c r="Y124" s="36"/>
      <c r="Z124" s="36"/>
      <c r="AA124" s="36"/>
      <c r="AB124" s="36"/>
      <c r="AC124" s="36"/>
      <c r="AD124" s="36"/>
      <c r="AE124" s="36"/>
      <c r="AF124" s="36"/>
    </row>
    <row r="125" spans="1:32" x14ac:dyDescent="0.25">
      <c r="A125" s="36"/>
      <c r="B125" s="268"/>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row>
    <row r="126" spans="1:32" x14ac:dyDescent="0.25">
      <c r="A126" s="36"/>
      <c r="B126" s="268"/>
      <c r="C126" s="36"/>
      <c r="D126" s="36"/>
      <c r="E126" s="36"/>
      <c r="F126" s="36"/>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row>
    <row r="127" spans="1:32" x14ac:dyDescent="0.25">
      <c r="A127" s="36"/>
      <c r="B127" s="268"/>
      <c r="C127" s="36"/>
      <c r="D127" s="36"/>
      <c r="E127" s="36"/>
      <c r="F127" s="36"/>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row>
    <row r="128" spans="1:32" x14ac:dyDescent="0.25">
      <c r="A128" s="126" t="s">
        <v>793</v>
      </c>
      <c r="B128" s="39" t="s">
        <v>796</v>
      </c>
      <c r="C128" s="39" t="s">
        <v>797</v>
      </c>
      <c r="D128" s="39" t="s">
        <v>798</v>
      </c>
      <c r="E128" s="39" t="s">
        <v>799</v>
      </c>
      <c r="F128" s="39" t="s">
        <v>800</v>
      </c>
      <c r="G128" s="39" t="s">
        <v>801</v>
      </c>
      <c r="H128" s="39" t="s">
        <v>802</v>
      </c>
      <c r="I128" s="39" t="s">
        <v>803</v>
      </c>
      <c r="J128" s="127" t="s">
        <v>804</v>
      </c>
      <c r="K128" s="36"/>
      <c r="L128" s="36"/>
      <c r="M128" s="36"/>
      <c r="N128" s="36"/>
      <c r="O128" s="36"/>
      <c r="P128" s="36"/>
      <c r="Q128" s="36"/>
      <c r="R128" s="36"/>
      <c r="S128" s="36"/>
      <c r="T128" s="36"/>
      <c r="U128" s="36"/>
      <c r="V128" s="36"/>
      <c r="W128" s="36"/>
      <c r="X128" s="36"/>
      <c r="Y128" s="36"/>
      <c r="Z128" s="36"/>
      <c r="AA128" s="36"/>
      <c r="AB128" s="36"/>
      <c r="AC128" s="36"/>
      <c r="AD128" s="36"/>
      <c r="AE128" s="36"/>
      <c r="AF128" s="36"/>
    </row>
    <row r="129" spans="1:32" x14ac:dyDescent="0.25">
      <c r="A129" s="132">
        <v>0</v>
      </c>
      <c r="B129" s="271">
        <v>0.17280000000000001</v>
      </c>
      <c r="C129" s="271">
        <v>0.21840000000000001</v>
      </c>
      <c r="D129" s="271">
        <v>0</v>
      </c>
      <c r="E129" s="271">
        <v>0</v>
      </c>
      <c r="F129" s="271">
        <v>0</v>
      </c>
      <c r="G129" s="271">
        <v>0</v>
      </c>
      <c r="H129" s="271">
        <v>0</v>
      </c>
      <c r="I129" s="271">
        <v>0.3024</v>
      </c>
      <c r="J129" s="272">
        <v>2536</v>
      </c>
      <c r="K129" s="36"/>
      <c r="L129" s="36"/>
      <c r="M129" s="36"/>
      <c r="N129" s="36"/>
      <c r="O129" s="36"/>
      <c r="P129" s="36"/>
      <c r="Q129" s="36"/>
      <c r="R129" s="36"/>
      <c r="S129" s="36"/>
      <c r="T129" s="36"/>
      <c r="U129" s="36"/>
      <c r="V129" s="36"/>
      <c r="W129" s="36"/>
      <c r="X129" s="36"/>
      <c r="Y129" s="36"/>
      <c r="Z129" s="36"/>
      <c r="AA129" s="36"/>
      <c r="AB129" s="36"/>
      <c r="AC129" s="36"/>
      <c r="AD129" s="36"/>
      <c r="AE129" s="36"/>
      <c r="AF129" s="36"/>
    </row>
    <row r="130" spans="1:32" x14ac:dyDescent="0.25">
      <c r="A130" s="133">
        <v>2.0833333333333332E-2</v>
      </c>
      <c r="B130" s="271">
        <v>0.17280000000000001</v>
      </c>
      <c r="C130" s="271">
        <v>0.21840000000000001</v>
      </c>
      <c r="D130" s="271">
        <v>0</v>
      </c>
      <c r="E130" s="271">
        <v>0</v>
      </c>
      <c r="F130" s="271">
        <v>0</v>
      </c>
      <c r="G130" s="271">
        <v>0</v>
      </c>
      <c r="H130" s="271">
        <v>0</v>
      </c>
      <c r="I130" s="271">
        <v>0.3024</v>
      </c>
      <c r="J130" s="272">
        <v>2536</v>
      </c>
      <c r="K130" s="36"/>
      <c r="L130" s="36"/>
      <c r="M130" s="36"/>
      <c r="N130" s="36"/>
      <c r="O130" s="36"/>
      <c r="P130" s="36"/>
      <c r="Q130" s="36"/>
      <c r="R130" s="36"/>
      <c r="S130" s="36"/>
      <c r="T130" s="36"/>
      <c r="U130" s="36"/>
      <c r="V130" s="36"/>
      <c r="W130" s="36"/>
      <c r="X130" s="36"/>
      <c r="Y130" s="36"/>
      <c r="Z130" s="36"/>
      <c r="AA130" s="36"/>
      <c r="AB130" s="36"/>
      <c r="AC130" s="36"/>
      <c r="AD130" s="36"/>
      <c r="AE130" s="36"/>
      <c r="AF130" s="36"/>
    </row>
    <row r="131" spans="1:32" x14ac:dyDescent="0.25">
      <c r="A131" s="132">
        <v>4.1666666666666699E-2</v>
      </c>
      <c r="B131" s="271">
        <v>0.17280000000000001</v>
      </c>
      <c r="C131" s="271">
        <v>0.21840000000000001</v>
      </c>
      <c r="D131" s="271">
        <v>0</v>
      </c>
      <c r="E131" s="271">
        <v>0</v>
      </c>
      <c r="F131" s="271">
        <v>0</v>
      </c>
      <c r="G131" s="271">
        <v>0</v>
      </c>
      <c r="H131" s="271">
        <v>0</v>
      </c>
      <c r="I131" s="271">
        <v>0.3024</v>
      </c>
      <c r="J131" s="272">
        <v>2536</v>
      </c>
      <c r="K131" s="36"/>
      <c r="L131" s="36"/>
      <c r="M131" s="36"/>
      <c r="N131" s="36"/>
      <c r="O131" s="36"/>
      <c r="P131" s="36"/>
      <c r="Q131" s="36"/>
      <c r="R131" s="36"/>
      <c r="S131" s="36"/>
      <c r="T131" s="36"/>
      <c r="U131" s="36"/>
      <c r="V131" s="36"/>
      <c r="W131" s="36"/>
      <c r="X131" s="36"/>
      <c r="Y131" s="36"/>
      <c r="Z131" s="36"/>
      <c r="AA131" s="36"/>
      <c r="AB131" s="36"/>
      <c r="AC131" s="36"/>
      <c r="AD131" s="36"/>
      <c r="AE131" s="36"/>
      <c r="AF131" s="36"/>
    </row>
    <row r="132" spans="1:32" x14ac:dyDescent="0.25">
      <c r="A132" s="133">
        <v>6.25E-2</v>
      </c>
      <c r="B132" s="271">
        <v>0.17280000000000001</v>
      </c>
      <c r="C132" s="271">
        <v>0.21840000000000001</v>
      </c>
      <c r="D132" s="271">
        <v>0</v>
      </c>
      <c r="E132" s="271">
        <v>0</v>
      </c>
      <c r="F132" s="271">
        <v>0</v>
      </c>
      <c r="G132" s="271">
        <v>0</v>
      </c>
      <c r="H132" s="271">
        <v>0</v>
      </c>
      <c r="I132" s="271">
        <v>0.3024</v>
      </c>
      <c r="J132" s="272">
        <v>2536</v>
      </c>
      <c r="K132" s="36"/>
      <c r="L132" s="36"/>
      <c r="M132" s="36"/>
      <c r="N132" s="36"/>
      <c r="O132" s="36"/>
      <c r="P132" s="36"/>
      <c r="Q132" s="36"/>
      <c r="R132" s="36"/>
      <c r="S132" s="36"/>
      <c r="T132" s="36"/>
      <c r="U132" s="36"/>
      <c r="V132" s="36"/>
      <c r="W132" s="36"/>
      <c r="X132" s="36"/>
      <c r="Y132" s="36"/>
      <c r="Z132" s="36"/>
      <c r="AA132" s="36"/>
      <c r="AB132" s="36"/>
      <c r="AC132" s="36"/>
      <c r="AD132" s="36"/>
      <c r="AE132" s="36"/>
      <c r="AF132" s="36"/>
    </row>
    <row r="133" spans="1:32" x14ac:dyDescent="0.25">
      <c r="A133" s="132">
        <v>8.3333333333333301E-2</v>
      </c>
      <c r="B133" s="271">
        <v>0.17280000000000001</v>
      </c>
      <c r="C133" s="271">
        <v>0.21840000000000001</v>
      </c>
      <c r="D133" s="271">
        <v>0</v>
      </c>
      <c r="E133" s="271">
        <v>0</v>
      </c>
      <c r="F133" s="271">
        <v>0</v>
      </c>
      <c r="G133" s="271">
        <v>0</v>
      </c>
      <c r="H133" s="271">
        <v>0</v>
      </c>
      <c r="I133" s="271">
        <v>0.3024</v>
      </c>
      <c r="J133" s="272">
        <v>2536</v>
      </c>
      <c r="K133" s="36"/>
      <c r="L133" s="36"/>
      <c r="M133" s="36"/>
      <c r="N133" s="36"/>
      <c r="O133" s="36"/>
      <c r="P133" s="36"/>
      <c r="Q133" s="36"/>
      <c r="R133" s="36"/>
      <c r="S133" s="36"/>
      <c r="T133" s="36"/>
      <c r="U133" s="36"/>
      <c r="V133" s="36"/>
      <c r="W133" s="36"/>
      <c r="X133" s="36"/>
      <c r="Y133" s="36"/>
      <c r="Z133" s="36"/>
      <c r="AA133" s="36"/>
      <c r="AB133" s="36"/>
      <c r="AC133" s="36"/>
      <c r="AD133" s="36"/>
      <c r="AE133" s="36"/>
      <c r="AF133" s="36"/>
    </row>
    <row r="134" spans="1:32" x14ac:dyDescent="0.25">
      <c r="A134" s="133">
        <v>0.104166666666667</v>
      </c>
      <c r="B134" s="271">
        <v>0.17280000000000001</v>
      </c>
      <c r="C134" s="271">
        <v>0.21840000000000001</v>
      </c>
      <c r="D134" s="271">
        <v>0</v>
      </c>
      <c r="E134" s="271">
        <v>0</v>
      </c>
      <c r="F134" s="271">
        <v>0</v>
      </c>
      <c r="G134" s="271">
        <v>0</v>
      </c>
      <c r="H134" s="271">
        <v>0</v>
      </c>
      <c r="I134" s="271">
        <v>0.3024</v>
      </c>
      <c r="J134" s="272">
        <v>2536</v>
      </c>
      <c r="K134" s="36"/>
      <c r="L134" s="36"/>
      <c r="M134" s="36"/>
      <c r="N134" s="36"/>
      <c r="O134" s="36"/>
      <c r="P134" s="36"/>
      <c r="Q134" s="36"/>
      <c r="R134" s="36"/>
      <c r="S134" s="36"/>
      <c r="T134" s="36"/>
      <c r="U134" s="36"/>
      <c r="V134" s="36"/>
      <c r="W134" s="36"/>
      <c r="X134" s="36"/>
      <c r="Y134" s="36"/>
      <c r="Z134" s="36"/>
      <c r="AA134" s="36"/>
      <c r="AB134" s="36"/>
      <c r="AC134" s="36"/>
      <c r="AD134" s="36"/>
      <c r="AE134" s="36"/>
      <c r="AF134" s="36"/>
    </row>
    <row r="135" spans="1:32" x14ac:dyDescent="0.25">
      <c r="A135" s="132">
        <v>0.125</v>
      </c>
      <c r="B135" s="271">
        <v>0.17280000000000001</v>
      </c>
      <c r="C135" s="271">
        <v>0.21840000000000001</v>
      </c>
      <c r="D135" s="271">
        <v>0</v>
      </c>
      <c r="E135" s="271">
        <v>0</v>
      </c>
      <c r="F135" s="271">
        <v>0</v>
      </c>
      <c r="G135" s="271">
        <v>0</v>
      </c>
      <c r="H135" s="271">
        <v>0</v>
      </c>
      <c r="I135" s="271">
        <v>0.3024</v>
      </c>
      <c r="J135" s="272">
        <v>2536</v>
      </c>
      <c r="K135" s="36"/>
      <c r="L135" s="36"/>
      <c r="M135" s="36"/>
      <c r="N135" s="36"/>
      <c r="O135" s="36"/>
      <c r="P135" s="36"/>
      <c r="Q135" s="36"/>
      <c r="R135" s="36"/>
      <c r="S135" s="36"/>
      <c r="T135" s="36"/>
      <c r="U135" s="36"/>
      <c r="V135" s="36"/>
      <c r="W135" s="36"/>
      <c r="X135" s="36"/>
      <c r="Y135" s="36"/>
      <c r="Z135" s="36"/>
      <c r="AA135" s="36"/>
      <c r="AB135" s="36"/>
      <c r="AC135" s="36"/>
      <c r="AD135" s="36"/>
      <c r="AE135" s="36"/>
      <c r="AF135" s="36"/>
    </row>
    <row r="136" spans="1:32" x14ac:dyDescent="0.25">
      <c r="A136" s="133">
        <v>0.14583333333333301</v>
      </c>
      <c r="B136" s="271">
        <v>0.17280000000000001</v>
      </c>
      <c r="C136" s="271">
        <v>0.21840000000000001</v>
      </c>
      <c r="D136" s="271">
        <v>0</v>
      </c>
      <c r="E136" s="271">
        <v>0</v>
      </c>
      <c r="F136" s="271">
        <v>0</v>
      </c>
      <c r="G136" s="271">
        <v>0</v>
      </c>
      <c r="H136" s="271">
        <v>0</v>
      </c>
      <c r="I136" s="271">
        <v>0.3024</v>
      </c>
      <c r="J136" s="272">
        <v>2536</v>
      </c>
      <c r="K136" s="36"/>
      <c r="L136" s="36"/>
      <c r="M136" s="36"/>
      <c r="N136" s="36"/>
      <c r="O136" s="36"/>
      <c r="P136" s="36"/>
      <c r="Q136" s="36"/>
      <c r="R136" s="36"/>
      <c r="S136" s="36"/>
      <c r="T136" s="36"/>
      <c r="U136" s="36"/>
      <c r="V136" s="36"/>
      <c r="W136" s="36"/>
      <c r="X136" s="36"/>
      <c r="Y136" s="36"/>
      <c r="Z136" s="36"/>
      <c r="AA136" s="36"/>
      <c r="AB136" s="36"/>
      <c r="AC136" s="36"/>
      <c r="AD136" s="36"/>
      <c r="AE136" s="36"/>
      <c r="AF136" s="36"/>
    </row>
    <row r="137" spans="1:32" x14ac:dyDescent="0.25">
      <c r="A137" s="132">
        <v>0.16666666666666699</v>
      </c>
      <c r="B137" s="271">
        <v>0.17280000000000001</v>
      </c>
      <c r="C137" s="271">
        <v>0.21840000000000001</v>
      </c>
      <c r="D137" s="271">
        <v>0</v>
      </c>
      <c r="E137" s="271">
        <v>0</v>
      </c>
      <c r="F137" s="271">
        <v>0</v>
      </c>
      <c r="G137" s="271">
        <v>0</v>
      </c>
      <c r="H137" s="271">
        <v>0</v>
      </c>
      <c r="I137" s="271">
        <v>0.3024</v>
      </c>
      <c r="J137" s="272">
        <v>2536</v>
      </c>
      <c r="K137" s="36"/>
      <c r="L137" s="36"/>
      <c r="M137" s="36"/>
      <c r="N137" s="36"/>
      <c r="O137" s="36"/>
      <c r="P137" s="36"/>
      <c r="Q137" s="36"/>
      <c r="R137" s="36"/>
      <c r="S137" s="36"/>
      <c r="T137" s="36"/>
      <c r="U137" s="36"/>
      <c r="V137" s="36"/>
      <c r="W137" s="36"/>
      <c r="X137" s="36"/>
      <c r="Y137" s="36"/>
      <c r="Z137" s="36"/>
      <c r="AA137" s="36"/>
      <c r="AB137" s="36"/>
      <c r="AC137" s="36"/>
      <c r="AD137" s="36"/>
      <c r="AE137" s="36"/>
      <c r="AF137" s="36"/>
    </row>
    <row r="138" spans="1:32" x14ac:dyDescent="0.25">
      <c r="A138" s="133">
        <v>0.1875</v>
      </c>
      <c r="B138" s="271">
        <v>0.17280000000000001</v>
      </c>
      <c r="C138" s="271">
        <v>0.21840000000000001</v>
      </c>
      <c r="D138" s="271">
        <v>0</v>
      </c>
      <c r="E138" s="271">
        <v>0</v>
      </c>
      <c r="F138" s="271">
        <v>0</v>
      </c>
      <c r="G138" s="271">
        <v>0</v>
      </c>
      <c r="H138" s="271">
        <v>0</v>
      </c>
      <c r="I138" s="271">
        <v>0.3024</v>
      </c>
      <c r="J138" s="272">
        <v>2536</v>
      </c>
      <c r="K138" s="36"/>
      <c r="L138" s="36"/>
      <c r="M138" s="36"/>
      <c r="N138" s="36"/>
      <c r="O138" s="36"/>
      <c r="P138" s="36"/>
      <c r="Q138" s="36"/>
      <c r="R138" s="36"/>
      <c r="S138" s="36"/>
      <c r="T138" s="36"/>
      <c r="U138" s="36"/>
      <c r="V138" s="36"/>
      <c r="W138" s="36"/>
      <c r="X138" s="36"/>
      <c r="Y138" s="36"/>
      <c r="Z138" s="36"/>
      <c r="AA138" s="36"/>
      <c r="AB138" s="36"/>
      <c r="AC138" s="36"/>
      <c r="AD138" s="36"/>
      <c r="AE138" s="36"/>
      <c r="AF138" s="36"/>
    </row>
    <row r="139" spans="1:32" x14ac:dyDescent="0.25">
      <c r="A139" s="132">
        <v>0.20833333333333301</v>
      </c>
      <c r="B139" s="271">
        <v>0.17280000000000001</v>
      </c>
      <c r="C139" s="271">
        <v>0.21840000000000001</v>
      </c>
      <c r="D139" s="271">
        <v>0</v>
      </c>
      <c r="E139" s="271">
        <v>0</v>
      </c>
      <c r="F139" s="271">
        <v>0</v>
      </c>
      <c r="G139" s="271">
        <v>0</v>
      </c>
      <c r="H139" s="271">
        <v>0</v>
      </c>
      <c r="I139" s="271">
        <v>0.3024</v>
      </c>
      <c r="J139" s="272">
        <v>2536</v>
      </c>
      <c r="K139" s="36"/>
      <c r="L139" s="36"/>
      <c r="M139" s="36"/>
      <c r="N139" s="36"/>
      <c r="O139" s="36"/>
      <c r="P139" s="36"/>
      <c r="Q139" s="36"/>
      <c r="R139" s="36"/>
      <c r="S139" s="36"/>
      <c r="T139" s="36"/>
      <c r="U139" s="36"/>
      <c r="V139" s="36"/>
      <c r="W139" s="36"/>
      <c r="X139" s="36"/>
      <c r="Y139" s="36"/>
      <c r="Z139" s="36"/>
      <c r="AA139" s="36"/>
      <c r="AB139" s="36"/>
      <c r="AC139" s="36"/>
      <c r="AD139" s="36"/>
      <c r="AE139" s="36"/>
      <c r="AF139" s="36"/>
    </row>
    <row r="140" spans="1:32" x14ac:dyDescent="0.25">
      <c r="A140" s="133">
        <v>0.22916666666666699</v>
      </c>
      <c r="B140" s="271">
        <v>0.17280000000000001</v>
      </c>
      <c r="C140" s="271">
        <v>0.21840000000000001</v>
      </c>
      <c r="D140" s="271">
        <v>0</v>
      </c>
      <c r="E140" s="271">
        <v>0</v>
      </c>
      <c r="F140" s="271">
        <v>0</v>
      </c>
      <c r="G140" s="271">
        <v>0</v>
      </c>
      <c r="H140" s="271">
        <v>0</v>
      </c>
      <c r="I140" s="271">
        <v>0.3024</v>
      </c>
      <c r="J140" s="272">
        <v>2536</v>
      </c>
      <c r="K140" s="36"/>
      <c r="L140" s="36"/>
      <c r="M140" s="36"/>
      <c r="N140" s="36"/>
      <c r="O140" s="36"/>
      <c r="P140" s="36"/>
      <c r="Q140" s="36"/>
      <c r="R140" s="36"/>
      <c r="S140" s="36"/>
      <c r="T140" s="36"/>
      <c r="U140" s="36"/>
      <c r="V140" s="36"/>
      <c r="W140" s="36"/>
      <c r="X140" s="36"/>
      <c r="Y140" s="36"/>
      <c r="Z140" s="36"/>
      <c r="AA140" s="36"/>
      <c r="AB140" s="36"/>
      <c r="AC140" s="36"/>
      <c r="AD140" s="36"/>
      <c r="AE140" s="36"/>
      <c r="AF140" s="36"/>
    </row>
    <row r="141" spans="1:32" x14ac:dyDescent="0.25">
      <c r="A141" s="132">
        <v>0.25</v>
      </c>
      <c r="B141" s="271">
        <v>0.27263999999999994</v>
      </c>
      <c r="C141" s="271">
        <v>0.34560000000000002</v>
      </c>
      <c r="D141" s="271">
        <v>8.5333333333333332</v>
      </c>
      <c r="E141" s="271">
        <v>1.1639759999999999</v>
      </c>
      <c r="F141" s="271">
        <v>0</v>
      </c>
      <c r="G141" s="271">
        <v>0</v>
      </c>
      <c r="H141" s="271">
        <v>0</v>
      </c>
      <c r="I141" s="271">
        <v>0.56495999999999991</v>
      </c>
      <c r="J141" s="272">
        <v>4000</v>
      </c>
      <c r="K141" s="36"/>
      <c r="L141" s="36"/>
      <c r="M141" s="36"/>
      <c r="N141" s="36"/>
      <c r="O141" s="36"/>
      <c r="P141" s="36"/>
      <c r="Q141" s="36"/>
      <c r="R141" s="36"/>
      <c r="S141" s="36"/>
      <c r="T141" s="36"/>
      <c r="U141" s="36"/>
      <c r="V141" s="36"/>
      <c r="W141" s="36"/>
      <c r="X141" s="36"/>
      <c r="Y141" s="36"/>
      <c r="Z141" s="36"/>
      <c r="AA141" s="36"/>
      <c r="AB141" s="36"/>
      <c r="AC141" s="36"/>
      <c r="AD141" s="36"/>
      <c r="AE141" s="36"/>
      <c r="AF141" s="36"/>
    </row>
    <row r="142" spans="1:32" x14ac:dyDescent="0.25">
      <c r="A142" s="133">
        <v>0.27083333333333298</v>
      </c>
      <c r="B142" s="271">
        <v>0.27263999999999994</v>
      </c>
      <c r="C142" s="271">
        <v>0.34560000000000002</v>
      </c>
      <c r="D142" s="271">
        <v>8.5333333333333332</v>
      </c>
      <c r="E142" s="271">
        <v>1.1639759999999999</v>
      </c>
      <c r="F142" s="271">
        <v>0</v>
      </c>
      <c r="G142" s="271">
        <v>6.4</v>
      </c>
      <c r="H142" s="271">
        <v>0</v>
      </c>
      <c r="I142" s="271">
        <v>0.56495999999999991</v>
      </c>
      <c r="J142" s="272">
        <v>4000</v>
      </c>
      <c r="K142" s="36"/>
      <c r="L142" s="36"/>
      <c r="M142" s="36"/>
      <c r="N142" s="36"/>
      <c r="O142" s="36"/>
      <c r="P142" s="36"/>
      <c r="Q142" s="36"/>
      <c r="R142" s="36"/>
      <c r="S142" s="36"/>
      <c r="T142" s="36"/>
      <c r="U142" s="36"/>
      <c r="V142" s="36"/>
      <c r="W142" s="36"/>
      <c r="X142" s="36"/>
      <c r="Y142" s="36"/>
      <c r="Z142" s="36"/>
      <c r="AA142" s="36"/>
      <c r="AB142" s="36"/>
      <c r="AC142" s="36"/>
      <c r="AD142" s="36"/>
      <c r="AE142" s="36"/>
      <c r="AF142" s="36"/>
    </row>
    <row r="143" spans="1:32" x14ac:dyDescent="0.25">
      <c r="A143" s="132">
        <v>0.29166666666666702</v>
      </c>
      <c r="B143" s="271">
        <v>0.27263999999999994</v>
      </c>
      <c r="C143" s="271">
        <v>0.34560000000000002</v>
      </c>
      <c r="D143" s="271">
        <v>0</v>
      </c>
      <c r="E143" s="271">
        <v>0</v>
      </c>
      <c r="F143" s="271">
        <v>11.132373333333332</v>
      </c>
      <c r="G143" s="271">
        <v>0</v>
      </c>
      <c r="H143" s="271">
        <v>8.8767866666666659</v>
      </c>
      <c r="I143" s="271">
        <v>0.56495999999999991</v>
      </c>
      <c r="J143" s="272">
        <v>4000</v>
      </c>
      <c r="K143" s="36"/>
      <c r="L143" s="36"/>
      <c r="M143" s="36"/>
      <c r="N143" s="36"/>
      <c r="O143" s="36"/>
      <c r="P143" s="36"/>
      <c r="Q143" s="36"/>
      <c r="R143" s="36"/>
      <c r="S143" s="36"/>
      <c r="T143" s="36"/>
      <c r="U143" s="36"/>
      <c r="V143" s="36"/>
      <c r="W143" s="36"/>
      <c r="X143" s="36"/>
      <c r="Y143" s="36"/>
      <c r="Z143" s="36"/>
      <c r="AA143" s="36"/>
      <c r="AB143" s="36"/>
      <c r="AC143" s="36"/>
      <c r="AD143" s="36"/>
      <c r="AE143" s="36"/>
      <c r="AF143" s="36"/>
    </row>
    <row r="144" spans="1:32" x14ac:dyDescent="0.25">
      <c r="A144" s="133">
        <v>0.3125</v>
      </c>
      <c r="B144" s="271">
        <v>0.27263999999999994</v>
      </c>
      <c r="C144" s="271">
        <v>0.34560000000000002</v>
      </c>
      <c r="D144" s="271">
        <v>0</v>
      </c>
      <c r="E144" s="271">
        <v>0</v>
      </c>
      <c r="F144" s="271">
        <v>0</v>
      </c>
      <c r="G144" s="271">
        <v>0</v>
      </c>
      <c r="H144" s="271">
        <v>0</v>
      </c>
      <c r="I144" s="271">
        <v>0.56495999999999991</v>
      </c>
      <c r="J144" s="272">
        <v>4000</v>
      </c>
      <c r="K144" s="36"/>
      <c r="L144" s="36"/>
      <c r="M144" s="36"/>
      <c r="N144" s="36"/>
      <c r="O144" s="36"/>
      <c r="P144" s="36"/>
      <c r="Q144" s="36"/>
      <c r="R144" s="36"/>
      <c r="S144" s="36"/>
      <c r="T144" s="36"/>
      <c r="U144" s="36"/>
      <c r="V144" s="36"/>
      <c r="W144" s="36"/>
      <c r="X144" s="36"/>
      <c r="Y144" s="36"/>
      <c r="Z144" s="36"/>
      <c r="AA144" s="36"/>
      <c r="AB144" s="36"/>
      <c r="AC144" s="36"/>
      <c r="AD144" s="36"/>
      <c r="AE144" s="36"/>
      <c r="AF144" s="36"/>
    </row>
    <row r="145" spans="1:32" x14ac:dyDescent="0.25">
      <c r="A145" s="132">
        <v>0.33333333333333298</v>
      </c>
      <c r="B145" s="271">
        <v>0.27263999999999994</v>
      </c>
      <c r="C145" s="271">
        <v>0.34560000000000002</v>
      </c>
      <c r="D145" s="271">
        <v>0</v>
      </c>
      <c r="E145" s="271">
        <v>0</v>
      </c>
      <c r="F145" s="271">
        <v>0</v>
      </c>
      <c r="G145" s="271">
        <v>0</v>
      </c>
      <c r="H145" s="271">
        <v>0</v>
      </c>
      <c r="I145" s="271">
        <v>0.56495999999999991</v>
      </c>
      <c r="J145" s="272">
        <v>4000</v>
      </c>
      <c r="K145" s="36"/>
      <c r="L145" s="36"/>
      <c r="M145" s="36"/>
      <c r="N145" s="36"/>
      <c r="O145" s="36"/>
      <c r="P145" s="36"/>
      <c r="Q145" s="36"/>
      <c r="R145" s="36"/>
      <c r="S145" s="36"/>
      <c r="T145" s="36"/>
      <c r="U145" s="36"/>
      <c r="V145" s="36"/>
      <c r="W145" s="36"/>
      <c r="X145" s="36"/>
      <c r="Y145" s="36"/>
      <c r="Z145" s="36"/>
      <c r="AA145" s="36"/>
      <c r="AB145" s="36"/>
      <c r="AC145" s="36"/>
      <c r="AD145" s="36"/>
      <c r="AE145" s="36"/>
      <c r="AF145" s="36"/>
    </row>
    <row r="146" spans="1:32" x14ac:dyDescent="0.25">
      <c r="A146" s="133">
        <v>0.35416666666666702</v>
      </c>
      <c r="B146" s="271">
        <v>0.27263999999999994</v>
      </c>
      <c r="C146" s="271">
        <v>0.34560000000000002</v>
      </c>
      <c r="D146" s="271">
        <v>0</v>
      </c>
      <c r="E146" s="271">
        <v>0</v>
      </c>
      <c r="F146" s="271">
        <v>0</v>
      </c>
      <c r="G146" s="271">
        <v>0</v>
      </c>
      <c r="H146" s="271">
        <v>0</v>
      </c>
      <c r="I146" s="271">
        <v>0.56495999999999991</v>
      </c>
      <c r="J146" s="272">
        <v>4000</v>
      </c>
      <c r="K146" s="36"/>
      <c r="L146" s="36"/>
      <c r="M146" s="36"/>
      <c r="N146" s="36"/>
      <c r="O146" s="36"/>
      <c r="P146" s="36"/>
      <c r="Q146" s="36"/>
      <c r="R146" s="36"/>
      <c r="S146" s="36"/>
      <c r="T146" s="36"/>
      <c r="U146" s="36"/>
      <c r="V146" s="36"/>
      <c r="W146" s="36"/>
      <c r="X146" s="36"/>
      <c r="Y146" s="36"/>
      <c r="Z146" s="36"/>
      <c r="AA146" s="36"/>
      <c r="AB146" s="36"/>
      <c r="AC146" s="36"/>
      <c r="AD146" s="36"/>
      <c r="AE146" s="36"/>
      <c r="AF146" s="36"/>
    </row>
    <row r="147" spans="1:32" x14ac:dyDescent="0.25">
      <c r="A147" s="132">
        <v>0.375</v>
      </c>
      <c r="B147" s="271">
        <v>0.27263999999999994</v>
      </c>
      <c r="C147" s="271">
        <v>0.34560000000000002</v>
      </c>
      <c r="D147" s="271">
        <v>0</v>
      </c>
      <c r="E147" s="271">
        <v>0</v>
      </c>
      <c r="F147" s="271">
        <v>0</v>
      </c>
      <c r="G147" s="271">
        <v>0</v>
      </c>
      <c r="H147" s="271">
        <v>0</v>
      </c>
      <c r="I147" s="271">
        <v>0.56495999999999991</v>
      </c>
      <c r="J147" s="272">
        <v>4000</v>
      </c>
      <c r="K147" s="36"/>
      <c r="L147" s="36"/>
      <c r="M147" s="36"/>
      <c r="N147" s="36"/>
      <c r="O147" s="36"/>
      <c r="P147" s="36"/>
      <c r="Q147" s="36"/>
      <c r="R147" s="36"/>
      <c r="S147" s="36"/>
      <c r="T147" s="36"/>
      <c r="U147" s="36"/>
      <c r="V147" s="36"/>
      <c r="W147" s="36"/>
      <c r="X147" s="36"/>
      <c r="Y147" s="36"/>
      <c r="Z147" s="36"/>
      <c r="AA147" s="36"/>
      <c r="AB147" s="36"/>
      <c r="AC147" s="36"/>
      <c r="AD147" s="36"/>
      <c r="AE147" s="36"/>
      <c r="AF147" s="36"/>
    </row>
    <row r="148" spans="1:32" x14ac:dyDescent="0.25">
      <c r="A148" s="133">
        <v>0.39583333333333298</v>
      </c>
      <c r="B148" s="271">
        <v>0.27263999999999994</v>
      </c>
      <c r="C148" s="271">
        <v>0.34560000000000002</v>
      </c>
      <c r="D148" s="271">
        <v>0</v>
      </c>
      <c r="E148" s="271">
        <v>0</v>
      </c>
      <c r="F148" s="271">
        <v>0</v>
      </c>
      <c r="G148" s="271">
        <v>0</v>
      </c>
      <c r="H148" s="271">
        <v>0</v>
      </c>
      <c r="I148" s="271">
        <v>0.56495999999999991</v>
      </c>
      <c r="J148" s="272">
        <v>4000</v>
      </c>
      <c r="K148" s="36"/>
      <c r="L148" s="36"/>
      <c r="M148" s="36"/>
      <c r="N148" s="36"/>
      <c r="O148" s="36"/>
      <c r="P148" s="36"/>
      <c r="Q148" s="36"/>
      <c r="R148" s="36"/>
      <c r="S148" s="36"/>
      <c r="T148" s="36"/>
      <c r="U148" s="36"/>
      <c r="V148" s="36"/>
      <c r="W148" s="36"/>
      <c r="X148" s="36"/>
      <c r="Y148" s="36"/>
      <c r="Z148" s="36"/>
      <c r="AA148" s="36"/>
      <c r="AB148" s="36"/>
      <c r="AC148" s="36"/>
      <c r="AD148" s="36"/>
      <c r="AE148" s="36"/>
      <c r="AF148" s="36"/>
    </row>
    <row r="149" spans="1:32" x14ac:dyDescent="0.25">
      <c r="A149" s="132">
        <v>0.41666666666666702</v>
      </c>
      <c r="B149" s="271">
        <v>1.08192</v>
      </c>
      <c r="C149" s="271">
        <v>1.3692</v>
      </c>
      <c r="D149" s="271">
        <v>0</v>
      </c>
      <c r="E149" s="271">
        <v>0</v>
      </c>
      <c r="F149" s="271">
        <v>0</v>
      </c>
      <c r="G149" s="271">
        <v>0</v>
      </c>
      <c r="H149" s="271">
        <v>0</v>
      </c>
      <c r="I149" s="271">
        <v>2.4383999999999997</v>
      </c>
      <c r="J149" s="272">
        <v>10234</v>
      </c>
      <c r="K149" s="36"/>
      <c r="L149" s="36"/>
      <c r="M149" s="36"/>
      <c r="N149" s="36"/>
      <c r="O149" s="36"/>
      <c r="P149" s="36"/>
      <c r="Q149" s="36"/>
      <c r="R149" s="36"/>
      <c r="S149" s="36"/>
      <c r="T149" s="36"/>
      <c r="U149" s="36"/>
      <c r="V149" s="36"/>
      <c r="W149" s="36"/>
      <c r="X149" s="36"/>
      <c r="Y149" s="36"/>
      <c r="Z149" s="36"/>
      <c r="AA149" s="36"/>
      <c r="AB149" s="36"/>
      <c r="AC149" s="36"/>
      <c r="AD149" s="36"/>
      <c r="AE149" s="36"/>
      <c r="AF149" s="36"/>
    </row>
    <row r="150" spans="1:32" x14ac:dyDescent="0.25">
      <c r="A150" s="133">
        <v>0.4375</v>
      </c>
      <c r="B150" s="271">
        <v>1.08192</v>
      </c>
      <c r="C150" s="271">
        <v>1.3692</v>
      </c>
      <c r="D150" s="271">
        <v>0</v>
      </c>
      <c r="E150" s="271">
        <v>0</v>
      </c>
      <c r="F150" s="271">
        <v>0</v>
      </c>
      <c r="G150" s="271">
        <v>0</v>
      </c>
      <c r="H150" s="271">
        <v>0</v>
      </c>
      <c r="I150" s="271">
        <v>4.1690399999999999</v>
      </c>
      <c r="J150" s="272">
        <v>13896</v>
      </c>
      <c r="K150" s="36"/>
      <c r="L150" s="36"/>
      <c r="M150" s="36"/>
      <c r="N150" s="36"/>
      <c r="O150" s="36"/>
      <c r="P150" s="36"/>
      <c r="Q150" s="36"/>
      <c r="R150" s="36"/>
      <c r="S150" s="36"/>
      <c r="T150" s="36"/>
      <c r="U150" s="36"/>
      <c r="V150" s="36"/>
      <c r="W150" s="36"/>
      <c r="X150" s="36"/>
      <c r="Y150" s="36"/>
      <c r="Z150" s="36"/>
      <c r="AA150" s="36"/>
      <c r="AB150" s="36"/>
      <c r="AC150" s="36"/>
      <c r="AD150" s="36"/>
      <c r="AE150" s="36"/>
      <c r="AF150" s="36"/>
    </row>
    <row r="151" spans="1:32" x14ac:dyDescent="0.25">
      <c r="A151" s="132">
        <v>0.45833333333333298</v>
      </c>
      <c r="B151" s="271">
        <v>0.27263999999999994</v>
      </c>
      <c r="C151" s="271">
        <v>0.34560000000000002</v>
      </c>
      <c r="D151" s="271">
        <v>0</v>
      </c>
      <c r="E151" s="271">
        <v>0</v>
      </c>
      <c r="F151" s="271">
        <v>3.194655</v>
      </c>
      <c r="G151" s="271">
        <v>0.4</v>
      </c>
      <c r="H151" s="271">
        <v>0</v>
      </c>
      <c r="I151" s="271">
        <v>1.4073600000000002</v>
      </c>
      <c r="J151" s="272">
        <v>6699</v>
      </c>
      <c r="K151" s="36"/>
      <c r="L151" s="36"/>
      <c r="M151" s="36"/>
      <c r="N151" s="36"/>
      <c r="O151" s="36"/>
      <c r="P151" s="36"/>
      <c r="Q151" s="36"/>
      <c r="R151" s="36"/>
      <c r="S151" s="36"/>
      <c r="T151" s="36"/>
      <c r="U151" s="36"/>
      <c r="V151" s="36"/>
      <c r="W151" s="36"/>
      <c r="X151" s="36"/>
      <c r="Y151" s="36"/>
      <c r="Z151" s="36"/>
      <c r="AA151" s="36"/>
      <c r="AB151" s="36"/>
      <c r="AC151" s="36"/>
      <c r="AD151" s="36"/>
      <c r="AE151" s="36"/>
      <c r="AF151" s="36"/>
    </row>
    <row r="152" spans="1:32" x14ac:dyDescent="0.25">
      <c r="A152" s="133">
        <v>0.47916666666666702</v>
      </c>
      <c r="B152" s="271">
        <v>0.27263999999999994</v>
      </c>
      <c r="C152" s="271">
        <v>0.34560000000000002</v>
      </c>
      <c r="D152" s="271">
        <v>0</v>
      </c>
      <c r="E152" s="271">
        <v>0</v>
      </c>
      <c r="F152" s="271">
        <v>3.194655</v>
      </c>
      <c r="G152" s="271">
        <v>0.4</v>
      </c>
      <c r="H152" s="271">
        <v>0</v>
      </c>
      <c r="I152" s="271">
        <v>1.4073600000000002</v>
      </c>
      <c r="J152" s="272">
        <v>6699</v>
      </c>
      <c r="K152" s="36"/>
      <c r="L152" s="36"/>
      <c r="M152" s="36"/>
      <c r="N152" s="36"/>
      <c r="O152" s="36"/>
      <c r="P152" s="36"/>
      <c r="Q152" s="36"/>
      <c r="R152" s="36"/>
      <c r="S152" s="36"/>
      <c r="T152" s="36"/>
      <c r="U152" s="36"/>
      <c r="V152" s="36"/>
      <c r="W152" s="36"/>
      <c r="X152" s="36"/>
      <c r="Y152" s="36"/>
      <c r="Z152" s="36"/>
      <c r="AA152" s="36"/>
      <c r="AB152" s="36"/>
      <c r="AC152" s="36"/>
      <c r="AD152" s="36"/>
      <c r="AE152" s="36"/>
      <c r="AF152" s="36"/>
    </row>
    <row r="153" spans="1:32" x14ac:dyDescent="0.25">
      <c r="A153" s="132">
        <v>0.5</v>
      </c>
      <c r="B153" s="271">
        <v>0.27263999999999994</v>
      </c>
      <c r="C153" s="271">
        <v>0.34560000000000002</v>
      </c>
      <c r="D153" s="271">
        <v>0</v>
      </c>
      <c r="E153" s="271">
        <v>0</v>
      </c>
      <c r="F153" s="271">
        <v>5.5661866666666659</v>
      </c>
      <c r="G153" s="271">
        <v>0.8</v>
      </c>
      <c r="H153" s="271">
        <v>4.438393333333333</v>
      </c>
      <c r="I153" s="271">
        <v>0.56495999999999991</v>
      </c>
      <c r="J153" s="272">
        <v>4000</v>
      </c>
      <c r="K153" s="36"/>
      <c r="L153" s="36"/>
      <c r="M153" s="36"/>
      <c r="N153" s="36"/>
      <c r="O153" s="36"/>
      <c r="P153" s="36"/>
      <c r="Q153" s="36"/>
      <c r="R153" s="36"/>
      <c r="S153" s="36"/>
      <c r="T153" s="36"/>
      <c r="U153" s="36"/>
      <c r="V153" s="36"/>
      <c r="W153" s="36"/>
      <c r="X153" s="36"/>
      <c r="Y153" s="36"/>
      <c r="Z153" s="36"/>
      <c r="AA153" s="36"/>
      <c r="AB153" s="36"/>
      <c r="AC153" s="36"/>
      <c r="AD153" s="36"/>
      <c r="AE153" s="36"/>
      <c r="AF153" s="36"/>
    </row>
    <row r="154" spans="1:32" x14ac:dyDescent="0.25">
      <c r="A154" s="133">
        <v>0.52083333333333304</v>
      </c>
      <c r="B154" s="271">
        <v>0.27263999999999994</v>
      </c>
      <c r="C154" s="271">
        <v>0.34560000000000002</v>
      </c>
      <c r="D154" s="271">
        <v>0</v>
      </c>
      <c r="E154" s="271">
        <v>0</v>
      </c>
      <c r="F154" s="271">
        <v>5.5661866666666659</v>
      </c>
      <c r="G154" s="271">
        <v>0.8</v>
      </c>
      <c r="H154" s="271">
        <v>4.438393333333333</v>
      </c>
      <c r="I154" s="271">
        <v>0.56495999999999991</v>
      </c>
      <c r="J154" s="272">
        <v>4000</v>
      </c>
      <c r="K154" s="36"/>
      <c r="L154" s="36"/>
      <c r="M154" s="36"/>
      <c r="N154" s="36"/>
      <c r="O154" s="36"/>
      <c r="P154" s="36"/>
      <c r="Q154" s="36"/>
      <c r="R154" s="36"/>
      <c r="S154" s="36"/>
      <c r="T154" s="36"/>
      <c r="U154" s="36"/>
      <c r="V154" s="36"/>
      <c r="W154" s="36"/>
      <c r="X154" s="36"/>
      <c r="Y154" s="36"/>
      <c r="Z154" s="36"/>
      <c r="AA154" s="36"/>
      <c r="AB154" s="36"/>
      <c r="AC154" s="36"/>
      <c r="AD154" s="36"/>
      <c r="AE154" s="36"/>
      <c r="AF154" s="36"/>
    </row>
    <row r="155" spans="1:32" x14ac:dyDescent="0.25">
      <c r="A155" s="132">
        <v>0.54166666666666696</v>
      </c>
      <c r="B155" s="271">
        <v>0.67727999999999999</v>
      </c>
      <c r="C155" s="271">
        <v>0.85739999999999994</v>
      </c>
      <c r="D155" s="271">
        <v>0</v>
      </c>
      <c r="E155" s="271">
        <v>0</v>
      </c>
      <c r="F155" s="271">
        <v>0</v>
      </c>
      <c r="G155" s="271">
        <v>0</v>
      </c>
      <c r="H155" s="271">
        <v>0</v>
      </c>
      <c r="I155" s="271">
        <v>1.5016800000000001</v>
      </c>
      <c r="J155" s="272">
        <v>7117</v>
      </c>
      <c r="K155" s="36"/>
      <c r="L155" s="36"/>
      <c r="M155" s="36"/>
      <c r="N155" s="36"/>
      <c r="O155" s="36"/>
      <c r="P155" s="36"/>
      <c r="Q155" s="36"/>
      <c r="R155" s="36"/>
      <c r="S155" s="36"/>
      <c r="T155" s="36"/>
      <c r="U155" s="36"/>
      <c r="V155" s="36"/>
      <c r="W155" s="36"/>
      <c r="X155" s="36"/>
      <c r="Y155" s="36"/>
      <c r="Z155" s="36"/>
      <c r="AA155" s="36"/>
      <c r="AB155" s="36"/>
      <c r="AC155" s="36"/>
      <c r="AD155" s="36"/>
      <c r="AE155" s="36"/>
      <c r="AF155" s="36"/>
    </row>
    <row r="156" spans="1:32" x14ac:dyDescent="0.25">
      <c r="A156" s="133">
        <v>0.5625</v>
      </c>
      <c r="B156" s="271">
        <v>0.67727999999999999</v>
      </c>
      <c r="C156" s="271">
        <v>0.85739999999999994</v>
      </c>
      <c r="D156" s="271">
        <v>0</v>
      </c>
      <c r="E156" s="271">
        <v>0</v>
      </c>
      <c r="F156" s="271">
        <v>0</v>
      </c>
      <c r="G156" s="271">
        <v>0</v>
      </c>
      <c r="H156" s="271">
        <v>0</v>
      </c>
      <c r="I156" s="271">
        <v>2.3669999999999995</v>
      </c>
      <c r="J156" s="272">
        <v>8948</v>
      </c>
      <c r="K156" s="36"/>
      <c r="L156" s="36"/>
      <c r="M156" s="36"/>
      <c r="N156" s="36"/>
      <c r="O156" s="36"/>
      <c r="P156" s="36"/>
      <c r="Q156" s="36"/>
      <c r="R156" s="36"/>
      <c r="S156" s="36"/>
      <c r="T156" s="36"/>
      <c r="U156" s="36"/>
      <c r="V156" s="36"/>
      <c r="W156" s="36"/>
      <c r="X156" s="36"/>
      <c r="Y156" s="36"/>
      <c r="Z156" s="36"/>
      <c r="AA156" s="36"/>
      <c r="AB156" s="36"/>
      <c r="AC156" s="36"/>
      <c r="AD156" s="36"/>
      <c r="AE156" s="36"/>
      <c r="AF156" s="36"/>
    </row>
    <row r="157" spans="1:32" x14ac:dyDescent="0.25">
      <c r="A157" s="132">
        <v>0.58333333333333304</v>
      </c>
      <c r="B157" s="271">
        <v>0.27263999999999994</v>
      </c>
      <c r="C157" s="271">
        <v>0.34560000000000002</v>
      </c>
      <c r="D157" s="271">
        <v>0</v>
      </c>
      <c r="E157" s="271">
        <v>0</v>
      </c>
      <c r="F157" s="271">
        <v>1.5973275</v>
      </c>
      <c r="G157" s="271">
        <v>0.2</v>
      </c>
      <c r="H157" s="271">
        <v>0</v>
      </c>
      <c r="I157" s="271">
        <v>0.98615999999999993</v>
      </c>
      <c r="J157" s="272">
        <v>5349.5</v>
      </c>
      <c r="K157" s="36"/>
      <c r="L157" s="36"/>
      <c r="M157" s="36"/>
      <c r="N157" s="36"/>
      <c r="O157" s="36"/>
      <c r="P157" s="36"/>
      <c r="Q157" s="36"/>
      <c r="R157" s="36"/>
      <c r="S157" s="36"/>
      <c r="T157" s="36"/>
      <c r="U157" s="36"/>
      <c r="V157" s="36"/>
      <c r="W157" s="36"/>
      <c r="X157" s="36"/>
      <c r="Y157" s="36"/>
      <c r="Z157" s="36"/>
      <c r="AA157" s="36"/>
      <c r="AB157" s="36"/>
      <c r="AC157" s="36"/>
      <c r="AD157" s="36"/>
      <c r="AE157" s="36"/>
      <c r="AF157" s="36"/>
    </row>
    <row r="158" spans="1:32" x14ac:dyDescent="0.25">
      <c r="A158" s="133">
        <v>0.60416666666666696</v>
      </c>
      <c r="B158" s="271">
        <v>0.27263999999999994</v>
      </c>
      <c r="C158" s="271">
        <v>0.34560000000000002</v>
      </c>
      <c r="D158" s="271">
        <v>0</v>
      </c>
      <c r="E158" s="271">
        <v>0</v>
      </c>
      <c r="F158" s="271">
        <v>1.5973275</v>
      </c>
      <c r="G158" s="271">
        <v>0.2</v>
      </c>
      <c r="H158" s="271">
        <v>0</v>
      </c>
      <c r="I158" s="271">
        <v>0.98615999999999993</v>
      </c>
      <c r="J158" s="272">
        <v>5349.5</v>
      </c>
      <c r="K158" s="36"/>
      <c r="L158" s="36"/>
      <c r="M158" s="36"/>
      <c r="N158" s="36"/>
      <c r="O158" s="36"/>
      <c r="P158" s="36"/>
      <c r="Q158" s="36"/>
      <c r="R158" s="36"/>
      <c r="S158" s="36"/>
      <c r="T158" s="36"/>
      <c r="U158" s="36"/>
      <c r="V158" s="36"/>
      <c r="W158" s="36"/>
      <c r="X158" s="36"/>
      <c r="Y158" s="36"/>
      <c r="Z158" s="36"/>
      <c r="AA158" s="36"/>
      <c r="AB158" s="36"/>
      <c r="AC158" s="36"/>
      <c r="AD158" s="36"/>
      <c r="AE158" s="36"/>
      <c r="AF158" s="36"/>
    </row>
    <row r="159" spans="1:32" x14ac:dyDescent="0.25">
      <c r="A159" s="132">
        <v>0.625</v>
      </c>
      <c r="B159" s="271">
        <v>0.27263999999999994</v>
      </c>
      <c r="C159" s="271">
        <v>0.34560000000000002</v>
      </c>
      <c r="D159" s="271">
        <v>0</v>
      </c>
      <c r="E159" s="271">
        <v>0</v>
      </c>
      <c r="F159" s="271">
        <v>0</v>
      </c>
      <c r="G159" s="271">
        <v>0</v>
      </c>
      <c r="H159" s="271">
        <v>0</v>
      </c>
      <c r="I159" s="271">
        <v>0.56495999999999991</v>
      </c>
      <c r="J159" s="272">
        <v>4000</v>
      </c>
      <c r="K159" s="36"/>
      <c r="L159" s="36"/>
      <c r="M159" s="36"/>
      <c r="N159" s="36"/>
      <c r="O159" s="36"/>
      <c r="P159" s="36"/>
      <c r="Q159" s="36"/>
      <c r="R159" s="36"/>
      <c r="S159" s="36"/>
      <c r="T159" s="36"/>
      <c r="U159" s="36"/>
      <c r="V159" s="36"/>
      <c r="W159" s="36"/>
      <c r="X159" s="36"/>
      <c r="Y159" s="36"/>
      <c r="Z159" s="36"/>
      <c r="AA159" s="36"/>
      <c r="AB159" s="36"/>
      <c r="AC159" s="36"/>
      <c r="AD159" s="36"/>
      <c r="AE159" s="36"/>
      <c r="AF159" s="36"/>
    </row>
    <row r="160" spans="1:32" x14ac:dyDescent="0.25">
      <c r="A160" s="133">
        <v>0.64583333333333304</v>
      </c>
      <c r="B160" s="271">
        <v>0.27263999999999994</v>
      </c>
      <c r="C160" s="271">
        <v>0.34560000000000002</v>
      </c>
      <c r="D160" s="271">
        <v>0</v>
      </c>
      <c r="E160" s="271">
        <v>0</v>
      </c>
      <c r="F160" s="271">
        <v>0</v>
      </c>
      <c r="G160" s="271">
        <v>0</v>
      </c>
      <c r="H160" s="271">
        <v>0</v>
      </c>
      <c r="I160" s="271">
        <v>0.56495999999999991</v>
      </c>
      <c r="J160" s="272">
        <v>4000</v>
      </c>
      <c r="K160" s="36"/>
      <c r="L160" s="36"/>
      <c r="M160" s="36"/>
      <c r="N160" s="36"/>
      <c r="O160" s="36"/>
      <c r="P160" s="36"/>
      <c r="Q160" s="36"/>
      <c r="R160" s="36"/>
      <c r="S160" s="36"/>
      <c r="T160" s="36"/>
      <c r="U160" s="36"/>
      <c r="V160" s="36"/>
      <c r="W160" s="36"/>
      <c r="X160" s="36"/>
      <c r="Y160" s="36"/>
      <c r="Z160" s="36"/>
      <c r="AA160" s="36"/>
      <c r="AB160" s="36"/>
      <c r="AC160" s="36"/>
      <c r="AD160" s="36"/>
      <c r="AE160" s="36"/>
      <c r="AF160" s="36"/>
    </row>
    <row r="161" spans="1:32" x14ac:dyDescent="0.25">
      <c r="A161" s="132">
        <v>0.66666666666666696</v>
      </c>
      <c r="B161" s="271">
        <v>0.67727999999999988</v>
      </c>
      <c r="C161" s="271">
        <v>0.85739999999999994</v>
      </c>
      <c r="D161" s="271">
        <v>0</v>
      </c>
      <c r="E161" s="271">
        <v>0</v>
      </c>
      <c r="F161" s="271">
        <v>0</v>
      </c>
      <c r="G161" s="271">
        <v>0</v>
      </c>
      <c r="H161" s="271">
        <v>0</v>
      </c>
      <c r="I161" s="271">
        <v>1.5016799999999999</v>
      </c>
      <c r="J161" s="272">
        <v>7117</v>
      </c>
      <c r="K161" s="36"/>
      <c r="L161" s="36"/>
      <c r="M161" s="36"/>
      <c r="N161" s="36"/>
      <c r="O161" s="36"/>
      <c r="P161" s="36"/>
      <c r="Q161" s="36"/>
      <c r="R161" s="36"/>
      <c r="S161" s="36"/>
      <c r="T161" s="36"/>
      <c r="U161" s="36"/>
      <c r="V161" s="36"/>
      <c r="W161" s="36"/>
      <c r="X161" s="36"/>
      <c r="Y161" s="36"/>
      <c r="Z161" s="36"/>
      <c r="AA161" s="36"/>
      <c r="AB161" s="36"/>
      <c r="AC161" s="36"/>
      <c r="AD161" s="36"/>
      <c r="AE161" s="36"/>
      <c r="AF161" s="36"/>
    </row>
    <row r="162" spans="1:32" x14ac:dyDescent="0.25">
      <c r="A162" s="133">
        <v>0.6875</v>
      </c>
      <c r="B162" s="271">
        <v>0.67727999999999988</v>
      </c>
      <c r="C162" s="271">
        <v>0.85739999999999994</v>
      </c>
      <c r="D162" s="271">
        <v>0</v>
      </c>
      <c r="E162" s="271">
        <v>0</v>
      </c>
      <c r="F162" s="271">
        <v>0</v>
      </c>
      <c r="G162" s="271">
        <v>0</v>
      </c>
      <c r="H162" s="271">
        <v>0</v>
      </c>
      <c r="I162" s="271">
        <v>2.367</v>
      </c>
      <c r="J162" s="272">
        <v>8948</v>
      </c>
      <c r="K162" s="36"/>
      <c r="L162" s="36"/>
      <c r="M162" s="36"/>
      <c r="N162" s="36"/>
      <c r="O162" s="36"/>
      <c r="P162" s="36"/>
      <c r="Q162" s="36"/>
      <c r="R162" s="36"/>
      <c r="S162" s="36"/>
      <c r="T162" s="36"/>
      <c r="U162" s="36"/>
      <c r="V162" s="36"/>
      <c r="W162" s="36"/>
      <c r="X162" s="36"/>
      <c r="Y162" s="36"/>
      <c r="Z162" s="36"/>
      <c r="AA162" s="36"/>
      <c r="AB162" s="36"/>
      <c r="AC162" s="36"/>
      <c r="AD162" s="36"/>
      <c r="AE162" s="36"/>
      <c r="AF162" s="36"/>
    </row>
    <row r="163" spans="1:32" x14ac:dyDescent="0.25">
      <c r="A163" s="132">
        <v>0.70833333333333304</v>
      </c>
      <c r="B163" s="271">
        <v>0.27263999999999994</v>
      </c>
      <c r="C163" s="271">
        <v>0.34560000000000002</v>
      </c>
      <c r="D163" s="271">
        <v>0</v>
      </c>
      <c r="E163" s="271">
        <v>0</v>
      </c>
      <c r="F163" s="271">
        <v>1.5973275</v>
      </c>
      <c r="G163" s="271">
        <v>0.2</v>
      </c>
      <c r="H163" s="271">
        <v>0</v>
      </c>
      <c r="I163" s="271">
        <v>0.98615999999999993</v>
      </c>
      <c r="J163" s="272">
        <v>5349.5</v>
      </c>
      <c r="K163" s="36"/>
      <c r="L163" s="36"/>
      <c r="M163" s="36"/>
      <c r="N163" s="36"/>
      <c r="O163" s="36"/>
      <c r="P163" s="36"/>
      <c r="Q163" s="36"/>
      <c r="R163" s="36"/>
      <c r="S163" s="36"/>
      <c r="T163" s="36"/>
      <c r="U163" s="36"/>
      <c r="V163" s="36"/>
      <c r="W163" s="36"/>
      <c r="X163" s="36"/>
      <c r="Y163" s="36"/>
      <c r="Z163" s="36"/>
      <c r="AA163" s="36"/>
      <c r="AB163" s="36"/>
      <c r="AC163" s="36"/>
      <c r="AD163" s="36"/>
      <c r="AE163" s="36"/>
      <c r="AF163" s="36"/>
    </row>
    <row r="164" spans="1:32" x14ac:dyDescent="0.25">
      <c r="A164" s="133">
        <v>0.72916666666666696</v>
      </c>
      <c r="B164" s="271">
        <v>0.27263999999999994</v>
      </c>
      <c r="C164" s="271">
        <v>0.34560000000000002</v>
      </c>
      <c r="D164" s="271">
        <v>0</v>
      </c>
      <c r="E164" s="271">
        <v>0</v>
      </c>
      <c r="F164" s="271">
        <v>1.5973275</v>
      </c>
      <c r="G164" s="271">
        <v>0.2</v>
      </c>
      <c r="H164" s="271">
        <v>0</v>
      </c>
      <c r="I164" s="271">
        <v>0.98615999999999993</v>
      </c>
      <c r="J164" s="272">
        <v>5349.5</v>
      </c>
      <c r="K164" s="36"/>
      <c r="L164" s="36"/>
      <c r="M164" s="36"/>
      <c r="N164" s="36"/>
      <c r="O164" s="36"/>
      <c r="P164" s="36"/>
      <c r="Q164" s="36"/>
      <c r="R164" s="36"/>
      <c r="S164" s="36"/>
      <c r="T164" s="36"/>
      <c r="U164" s="36"/>
      <c r="V164" s="36"/>
      <c r="W164" s="36"/>
      <c r="X164" s="36"/>
      <c r="Y164" s="36"/>
      <c r="Z164" s="36"/>
      <c r="AA164" s="36"/>
      <c r="AB164" s="36"/>
      <c r="AC164" s="36"/>
      <c r="AD164" s="36"/>
      <c r="AE164" s="36"/>
      <c r="AF164" s="36"/>
    </row>
    <row r="165" spans="1:32" x14ac:dyDescent="0.25">
      <c r="A165" s="132">
        <v>0.75</v>
      </c>
      <c r="B165" s="271">
        <v>0.27263999999999994</v>
      </c>
      <c r="C165" s="271">
        <v>0.34560000000000002</v>
      </c>
      <c r="D165" s="271">
        <v>0</v>
      </c>
      <c r="E165" s="271">
        <v>0</v>
      </c>
      <c r="F165" s="271">
        <v>0</v>
      </c>
      <c r="G165" s="271">
        <v>0</v>
      </c>
      <c r="H165" s="271">
        <v>0</v>
      </c>
      <c r="I165" s="271">
        <v>0.56495999999999991</v>
      </c>
      <c r="J165" s="272">
        <v>4000</v>
      </c>
      <c r="K165" s="36"/>
      <c r="L165" s="36"/>
      <c r="M165" s="36"/>
      <c r="N165" s="36"/>
      <c r="O165" s="36"/>
      <c r="P165" s="36"/>
      <c r="Q165" s="36"/>
      <c r="R165" s="36"/>
      <c r="S165" s="36"/>
      <c r="T165" s="36"/>
      <c r="U165" s="36"/>
      <c r="V165" s="36"/>
      <c r="W165" s="36"/>
      <c r="X165" s="36"/>
      <c r="Y165" s="36"/>
      <c r="Z165" s="36"/>
      <c r="AA165" s="36"/>
      <c r="AB165" s="36"/>
      <c r="AC165" s="36"/>
      <c r="AD165" s="36"/>
      <c r="AE165" s="36"/>
      <c r="AF165" s="36"/>
    </row>
    <row r="166" spans="1:32" x14ac:dyDescent="0.25">
      <c r="A166" s="133">
        <v>0.77083333333333304</v>
      </c>
      <c r="B166" s="271">
        <v>0.27263999999999994</v>
      </c>
      <c r="C166" s="271">
        <v>0.34560000000000002</v>
      </c>
      <c r="D166" s="271">
        <v>0</v>
      </c>
      <c r="E166" s="271">
        <v>0</v>
      </c>
      <c r="F166" s="271">
        <v>0</v>
      </c>
      <c r="G166" s="271">
        <v>0</v>
      </c>
      <c r="H166" s="271">
        <v>0</v>
      </c>
      <c r="I166" s="271">
        <v>0.56495999999999991</v>
      </c>
      <c r="J166" s="272">
        <v>4000</v>
      </c>
      <c r="K166" s="36"/>
      <c r="L166" s="36"/>
      <c r="M166" s="36"/>
      <c r="N166" s="36"/>
      <c r="O166" s="36"/>
      <c r="P166" s="36"/>
      <c r="Q166" s="36"/>
      <c r="R166" s="36"/>
      <c r="S166" s="36"/>
      <c r="T166" s="36"/>
      <c r="U166" s="36"/>
      <c r="V166" s="36"/>
      <c r="W166" s="36"/>
      <c r="X166" s="36"/>
      <c r="Y166" s="36"/>
      <c r="Z166" s="36"/>
      <c r="AA166" s="36"/>
      <c r="AB166" s="36"/>
      <c r="AC166" s="36"/>
      <c r="AD166" s="36"/>
      <c r="AE166" s="36"/>
      <c r="AF166" s="36"/>
    </row>
    <row r="167" spans="1:32" x14ac:dyDescent="0.25">
      <c r="A167" s="132">
        <v>0.79166666666666696</v>
      </c>
      <c r="B167" s="271">
        <v>0.27263999999999994</v>
      </c>
      <c r="C167" s="271">
        <v>0.34560000000000002</v>
      </c>
      <c r="D167" s="271">
        <v>0</v>
      </c>
      <c r="E167" s="271">
        <v>0</v>
      </c>
      <c r="F167" s="271">
        <v>5.5661866666666659</v>
      </c>
      <c r="G167" s="271">
        <v>0.8</v>
      </c>
      <c r="H167" s="271">
        <v>4.438393333333333</v>
      </c>
      <c r="I167" s="271">
        <v>0.56495999999999991</v>
      </c>
      <c r="J167" s="272">
        <v>4000</v>
      </c>
      <c r="K167" s="36"/>
      <c r="L167" s="36"/>
      <c r="M167" s="36"/>
      <c r="N167" s="36"/>
      <c r="O167" s="36"/>
      <c r="P167" s="36"/>
      <c r="Q167" s="36"/>
      <c r="R167" s="36"/>
      <c r="S167" s="36"/>
      <c r="T167" s="36"/>
      <c r="U167" s="36"/>
      <c r="V167" s="36"/>
      <c r="W167" s="36"/>
      <c r="X167" s="36"/>
      <c r="Y167" s="36"/>
      <c r="Z167" s="36"/>
      <c r="AA167" s="36"/>
      <c r="AB167" s="36"/>
      <c r="AC167" s="36"/>
      <c r="AD167" s="36"/>
      <c r="AE167" s="36"/>
      <c r="AF167" s="36"/>
    </row>
    <row r="168" spans="1:32" x14ac:dyDescent="0.25">
      <c r="A168" s="133">
        <v>0.8125</v>
      </c>
      <c r="B168" s="271">
        <v>0.27263999999999994</v>
      </c>
      <c r="C168" s="271">
        <v>0.34560000000000002</v>
      </c>
      <c r="D168" s="271">
        <v>0</v>
      </c>
      <c r="E168" s="271">
        <v>0</v>
      </c>
      <c r="F168" s="271">
        <v>5.5661866666666659</v>
      </c>
      <c r="G168" s="271">
        <v>0.8</v>
      </c>
      <c r="H168" s="271">
        <v>4.438393333333333</v>
      </c>
      <c r="I168" s="271">
        <v>0.56495999999999991</v>
      </c>
      <c r="J168" s="272">
        <v>4000</v>
      </c>
      <c r="K168" s="36"/>
      <c r="L168" s="36"/>
      <c r="M168" s="36"/>
      <c r="N168" s="36"/>
      <c r="O168" s="36"/>
      <c r="P168" s="36"/>
      <c r="Q168" s="36"/>
      <c r="R168" s="36"/>
      <c r="S168" s="36"/>
      <c r="T168" s="36"/>
      <c r="U168" s="36"/>
      <c r="V168" s="36"/>
      <c r="W168" s="36"/>
      <c r="X168" s="36"/>
      <c r="Y168" s="36"/>
      <c r="Z168" s="36"/>
      <c r="AA168" s="36"/>
      <c r="AB168" s="36"/>
      <c r="AC168" s="36"/>
      <c r="AD168" s="36"/>
      <c r="AE168" s="36"/>
      <c r="AF168" s="36"/>
    </row>
    <row r="169" spans="1:32" x14ac:dyDescent="0.25">
      <c r="A169" s="132">
        <v>0.83333333333333304</v>
      </c>
      <c r="B169" s="271">
        <v>0.27263999999999994</v>
      </c>
      <c r="C169" s="271">
        <v>0.34560000000000002</v>
      </c>
      <c r="D169" s="271">
        <v>0</v>
      </c>
      <c r="E169" s="271">
        <v>0</v>
      </c>
      <c r="F169" s="271">
        <v>0</v>
      </c>
      <c r="G169" s="271">
        <v>0</v>
      </c>
      <c r="H169" s="271">
        <v>0</v>
      </c>
      <c r="I169" s="271">
        <v>0.56495999999999991</v>
      </c>
      <c r="J169" s="272">
        <v>4000</v>
      </c>
      <c r="K169" s="36"/>
      <c r="L169" s="36"/>
      <c r="M169" s="36"/>
      <c r="N169" s="36"/>
      <c r="O169" s="36"/>
      <c r="P169" s="36"/>
      <c r="Q169" s="36"/>
      <c r="R169" s="36"/>
      <c r="S169" s="36"/>
      <c r="T169" s="36"/>
      <c r="U169" s="36"/>
      <c r="V169" s="36"/>
      <c r="W169" s="36"/>
      <c r="X169" s="36"/>
      <c r="Y169" s="36"/>
      <c r="Z169" s="36"/>
      <c r="AA169" s="36"/>
      <c r="AB169" s="36"/>
      <c r="AC169" s="36"/>
      <c r="AD169" s="36"/>
      <c r="AE169" s="36"/>
      <c r="AF169" s="36"/>
    </row>
    <row r="170" spans="1:32" x14ac:dyDescent="0.25">
      <c r="A170" s="133">
        <v>0.85416666666666696</v>
      </c>
      <c r="B170" s="271">
        <v>0.27263999999999994</v>
      </c>
      <c r="C170" s="271">
        <v>0.34560000000000002</v>
      </c>
      <c r="D170" s="271">
        <v>0</v>
      </c>
      <c r="E170" s="271">
        <v>0</v>
      </c>
      <c r="F170" s="271">
        <v>0</v>
      </c>
      <c r="G170" s="271">
        <v>0</v>
      </c>
      <c r="H170" s="271">
        <v>0</v>
      </c>
      <c r="I170" s="271">
        <v>0.56495999999999991</v>
      </c>
      <c r="J170" s="272">
        <v>4000</v>
      </c>
      <c r="K170" s="36"/>
      <c r="L170" s="36"/>
      <c r="M170" s="36"/>
      <c r="N170" s="36"/>
      <c r="O170" s="36"/>
      <c r="P170" s="36"/>
      <c r="Q170" s="36"/>
      <c r="R170" s="36"/>
      <c r="S170" s="36"/>
      <c r="T170" s="36"/>
      <c r="U170" s="36"/>
      <c r="V170" s="36"/>
      <c r="W170" s="36"/>
      <c r="X170" s="36"/>
      <c r="Y170" s="36"/>
      <c r="Z170" s="36"/>
      <c r="AA170" s="36"/>
      <c r="AB170" s="36"/>
      <c r="AC170" s="36"/>
      <c r="AD170" s="36"/>
      <c r="AE170" s="36"/>
      <c r="AF170" s="36"/>
    </row>
    <row r="171" spans="1:32" x14ac:dyDescent="0.25">
      <c r="A171" s="132">
        <v>0.875</v>
      </c>
      <c r="B171" s="271">
        <v>0.27263999999999994</v>
      </c>
      <c r="C171" s="271">
        <v>0.34560000000000002</v>
      </c>
      <c r="D171" s="271">
        <v>4.2666666666666666</v>
      </c>
      <c r="E171" s="271">
        <v>0</v>
      </c>
      <c r="F171" s="271">
        <v>0</v>
      </c>
      <c r="G171" s="271">
        <v>0</v>
      </c>
      <c r="H171" s="271">
        <v>0</v>
      </c>
      <c r="I171" s="271">
        <v>0.56495999999999991</v>
      </c>
      <c r="J171" s="272">
        <v>4000</v>
      </c>
      <c r="K171" s="36"/>
      <c r="L171" s="36"/>
      <c r="M171" s="36"/>
      <c r="N171" s="36"/>
      <c r="O171" s="36"/>
      <c r="P171" s="36"/>
      <c r="Q171" s="36"/>
      <c r="R171" s="36"/>
      <c r="S171" s="36"/>
      <c r="T171" s="36"/>
      <c r="U171" s="36"/>
      <c r="V171" s="36"/>
      <c r="W171" s="36"/>
      <c r="X171" s="36"/>
      <c r="Y171" s="36"/>
      <c r="Z171" s="36"/>
      <c r="AA171" s="36"/>
      <c r="AB171" s="36"/>
      <c r="AC171" s="36"/>
      <c r="AD171" s="36"/>
      <c r="AE171" s="36"/>
      <c r="AF171" s="36"/>
    </row>
    <row r="172" spans="1:32" x14ac:dyDescent="0.25">
      <c r="A172" s="133">
        <v>0.89583333333333304</v>
      </c>
      <c r="B172" s="271">
        <v>0.27263999999999994</v>
      </c>
      <c r="C172" s="271">
        <v>0.34560000000000002</v>
      </c>
      <c r="D172" s="271">
        <v>4.2666666666666666</v>
      </c>
      <c r="E172" s="271">
        <v>0</v>
      </c>
      <c r="F172" s="271">
        <v>0</v>
      </c>
      <c r="G172" s="271">
        <v>0</v>
      </c>
      <c r="H172" s="271">
        <v>0</v>
      </c>
      <c r="I172" s="271">
        <v>0.56495999999999991</v>
      </c>
      <c r="J172" s="272">
        <v>4000</v>
      </c>
      <c r="K172" s="36"/>
      <c r="L172" s="36"/>
      <c r="M172" s="36"/>
      <c r="N172" s="36"/>
      <c r="O172" s="36"/>
      <c r="P172" s="36"/>
      <c r="Q172" s="36"/>
      <c r="R172" s="36"/>
      <c r="S172" s="36"/>
      <c r="T172" s="36"/>
      <c r="U172" s="36"/>
      <c r="V172" s="36"/>
      <c r="W172" s="36"/>
      <c r="X172" s="36"/>
      <c r="Y172" s="36"/>
      <c r="Z172" s="36"/>
      <c r="AA172" s="36"/>
      <c r="AB172" s="36"/>
      <c r="AC172" s="36"/>
      <c r="AD172" s="36"/>
      <c r="AE172" s="36"/>
      <c r="AF172" s="36"/>
    </row>
    <row r="173" spans="1:32" x14ac:dyDescent="0.25">
      <c r="A173" s="132">
        <v>0.91666666666666696</v>
      </c>
      <c r="B173" s="271">
        <v>0.17280000000000001</v>
      </c>
      <c r="C173" s="271">
        <v>0.21840000000000001</v>
      </c>
      <c r="D173" s="271">
        <v>0</v>
      </c>
      <c r="E173" s="271">
        <v>0</v>
      </c>
      <c r="F173" s="271">
        <v>0</v>
      </c>
      <c r="G173" s="271">
        <v>0</v>
      </c>
      <c r="H173" s="271">
        <v>0</v>
      </c>
      <c r="I173" s="271">
        <v>0.3024</v>
      </c>
      <c r="J173" s="272">
        <v>2536</v>
      </c>
      <c r="K173" s="36"/>
      <c r="L173" s="36"/>
      <c r="M173" s="36"/>
      <c r="N173" s="36"/>
      <c r="O173" s="36"/>
      <c r="P173" s="36"/>
      <c r="Q173" s="36"/>
      <c r="R173" s="36"/>
      <c r="S173" s="36"/>
      <c r="T173" s="36"/>
      <c r="U173" s="36"/>
      <c r="V173" s="36"/>
      <c r="W173" s="36"/>
      <c r="X173" s="36"/>
      <c r="Y173" s="36"/>
      <c r="Z173" s="36"/>
      <c r="AA173" s="36"/>
      <c r="AB173" s="36"/>
      <c r="AC173" s="36"/>
      <c r="AD173" s="36"/>
      <c r="AE173" s="36"/>
      <c r="AF173" s="36"/>
    </row>
    <row r="174" spans="1:32" x14ac:dyDescent="0.25">
      <c r="A174" s="133">
        <v>0.9375</v>
      </c>
      <c r="B174" s="271">
        <v>0.17280000000000001</v>
      </c>
      <c r="C174" s="271">
        <v>0.21840000000000001</v>
      </c>
      <c r="D174" s="271">
        <v>0</v>
      </c>
      <c r="E174" s="271">
        <v>0</v>
      </c>
      <c r="F174" s="271">
        <v>0</v>
      </c>
      <c r="G174" s="271">
        <v>0</v>
      </c>
      <c r="H174" s="271">
        <v>0</v>
      </c>
      <c r="I174" s="271">
        <v>0.3024</v>
      </c>
      <c r="J174" s="272">
        <v>2536</v>
      </c>
      <c r="K174" s="36"/>
      <c r="L174" s="36"/>
      <c r="M174" s="36"/>
      <c r="N174" s="36"/>
      <c r="O174" s="36"/>
      <c r="P174" s="36"/>
      <c r="Q174" s="36"/>
      <c r="R174" s="36"/>
      <c r="S174" s="36"/>
      <c r="T174" s="36"/>
      <c r="U174" s="36"/>
      <c r="V174" s="36"/>
      <c r="W174" s="36"/>
      <c r="X174" s="36"/>
      <c r="Y174" s="36"/>
      <c r="Z174" s="36"/>
      <c r="AA174" s="36"/>
      <c r="AB174" s="36"/>
      <c r="AC174" s="36"/>
      <c r="AD174" s="36"/>
      <c r="AE174" s="36"/>
      <c r="AF174" s="36"/>
    </row>
    <row r="175" spans="1:32" x14ac:dyDescent="0.25">
      <c r="A175" s="132">
        <v>0.95833333333333304</v>
      </c>
      <c r="B175" s="271">
        <v>0.17280000000000001</v>
      </c>
      <c r="C175" s="271">
        <v>0.21840000000000001</v>
      </c>
      <c r="D175" s="271">
        <v>0</v>
      </c>
      <c r="E175" s="271">
        <v>0</v>
      </c>
      <c r="F175" s="271">
        <v>0</v>
      </c>
      <c r="G175" s="271">
        <v>0</v>
      </c>
      <c r="H175" s="271">
        <v>0</v>
      </c>
      <c r="I175" s="271">
        <v>0.3024</v>
      </c>
      <c r="J175" s="272">
        <v>2536</v>
      </c>
      <c r="K175" s="36"/>
      <c r="L175" s="36"/>
      <c r="M175" s="36"/>
      <c r="N175" s="36"/>
      <c r="O175" s="36"/>
      <c r="P175" s="36"/>
      <c r="Q175" s="36"/>
      <c r="R175" s="36"/>
      <c r="S175" s="36"/>
      <c r="T175" s="36"/>
      <c r="U175" s="36"/>
      <c r="V175" s="36"/>
      <c r="W175" s="36"/>
      <c r="X175" s="36"/>
      <c r="Y175" s="36"/>
      <c r="Z175" s="36"/>
      <c r="AA175" s="36"/>
      <c r="AB175" s="36"/>
      <c r="AC175" s="36"/>
      <c r="AD175" s="36"/>
      <c r="AE175" s="36"/>
      <c r="AF175" s="36"/>
    </row>
    <row r="176" spans="1:32" ht="15.75" thickBot="1" x14ac:dyDescent="0.3">
      <c r="A176" s="134">
        <v>0.97916666666666696</v>
      </c>
      <c r="B176" s="273">
        <v>0.17280000000000001</v>
      </c>
      <c r="C176" s="273">
        <v>0.21840000000000001</v>
      </c>
      <c r="D176" s="273">
        <v>0</v>
      </c>
      <c r="E176" s="273">
        <v>0</v>
      </c>
      <c r="F176" s="273">
        <v>0</v>
      </c>
      <c r="G176" s="273">
        <v>0</v>
      </c>
      <c r="H176" s="273">
        <v>0</v>
      </c>
      <c r="I176" s="273">
        <v>0.3024</v>
      </c>
      <c r="J176" s="274">
        <v>2536</v>
      </c>
      <c r="K176" s="36"/>
      <c r="L176" s="36"/>
      <c r="M176" s="36"/>
      <c r="N176" s="36"/>
      <c r="O176" s="36"/>
      <c r="P176" s="36"/>
      <c r="Q176" s="36"/>
      <c r="R176" s="36"/>
      <c r="S176" s="36"/>
      <c r="T176" s="36"/>
      <c r="U176" s="36"/>
      <c r="V176" s="36"/>
      <c r="W176" s="36"/>
      <c r="X176" s="36"/>
      <c r="Y176" s="36"/>
      <c r="Z176" s="36"/>
      <c r="AA176" s="36"/>
      <c r="AB176" s="36"/>
      <c r="AC176" s="36"/>
      <c r="AD176" s="36"/>
      <c r="AE176" s="36"/>
      <c r="AF176" s="36"/>
    </row>
    <row r="177" spans="1:32" x14ac:dyDescent="0.25">
      <c r="A177" s="130" t="s">
        <v>1216</v>
      </c>
      <c r="B177" s="275">
        <f>SUM(O2_Schedule2)*0.5</f>
        <v>7.3631999999999946</v>
      </c>
      <c r="C177" s="275">
        <f>SUM(Co2_Schedule2)*0.5</f>
        <v>9.3239999999999963</v>
      </c>
      <c r="D177" s="275">
        <f>SUM(Urine_Schedule2)*0.5</f>
        <v>12.799999999999999</v>
      </c>
      <c r="E177" s="275">
        <f>SUM(Feces_Schedule2)*0.5</f>
        <v>1.1639759999999999</v>
      </c>
      <c r="F177" s="275">
        <f>SUM(Potable_Schedule2)*0.5</f>
        <v>23.087869999999999</v>
      </c>
      <c r="G177" s="275">
        <f>SUM(Hygiene_Schedule2)*0.5</f>
        <v>5.6000000000000005</v>
      </c>
      <c r="H177" s="275">
        <f>SUM(Food_Schedule2)*0.5</f>
        <v>13.31518</v>
      </c>
      <c r="I177" s="275">
        <f>SUM(Sweat_Schedule2)*0.5</f>
        <v>18.620879999999993</v>
      </c>
      <c r="J177" s="275">
        <f>SUM(Heat_Schedule2)*0.5</f>
        <v>105816</v>
      </c>
      <c r="N177" s="36"/>
      <c r="O177" s="36"/>
      <c r="P177" s="36"/>
      <c r="Q177" s="36"/>
      <c r="R177" s="36"/>
      <c r="S177" s="36"/>
      <c r="T177" s="36"/>
      <c r="U177" s="36"/>
      <c r="V177" s="36"/>
      <c r="W177" s="36"/>
      <c r="X177" s="36"/>
      <c r="Y177" s="36"/>
      <c r="Z177" s="36"/>
      <c r="AA177" s="36"/>
      <c r="AB177" s="36"/>
      <c r="AC177" s="36"/>
      <c r="AD177" s="36"/>
      <c r="AE177" s="36"/>
      <c r="AF177" s="36"/>
    </row>
    <row r="178" spans="1:32" x14ac:dyDescent="0.25">
      <c r="B178" s="268"/>
    </row>
    <row r="179" spans="1:32" hidden="1" x14ac:dyDescent="0.25">
      <c r="B179" s="268"/>
    </row>
    <row r="180" spans="1:32" hidden="1" x14ac:dyDescent="0.25">
      <c r="B180" s="268"/>
    </row>
    <row r="181" spans="1:32" hidden="1" x14ac:dyDescent="0.25">
      <c r="B181" s="268"/>
    </row>
    <row r="182" spans="1:32" hidden="1" x14ac:dyDescent="0.25">
      <c r="B182" s="268"/>
    </row>
    <row r="183" spans="1:32" hidden="1" x14ac:dyDescent="0.25">
      <c r="B183" s="268"/>
    </row>
    <row r="184" spans="1:32" hidden="1" x14ac:dyDescent="0.25">
      <c r="B184" s="268"/>
    </row>
    <row r="185" spans="1:32" hidden="1" x14ac:dyDescent="0.25">
      <c r="B185" s="268"/>
    </row>
    <row r="186" spans="1:32" hidden="1" x14ac:dyDescent="0.25">
      <c r="B186" s="268"/>
    </row>
    <row r="187" spans="1:32" hidden="1" x14ac:dyDescent="0.25">
      <c r="B187" s="268"/>
    </row>
    <row r="188" spans="1:32" hidden="1" x14ac:dyDescent="0.25">
      <c r="B188" s="268"/>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38" priority="434" operator="equal">
      <formula>$N$14</formula>
    </cfRule>
    <cfRule type="cellIs" dxfId="37" priority="435" operator="equal">
      <formula>$N$13</formula>
    </cfRule>
    <cfRule type="cellIs" dxfId="36" priority="436" operator="equal">
      <formula>$N$12</formula>
    </cfRule>
    <cfRule type="cellIs" dxfId="35" priority="437" operator="equal">
      <formula>$N$11</formula>
    </cfRule>
    <cfRule type="cellIs" dxfId="34" priority="438" operator="equal">
      <formula>$N$10</formula>
    </cfRule>
    <cfRule type="cellIs" dxfId="33" priority="439" operator="equal">
      <formula>$N$8</formula>
    </cfRule>
    <cfRule type="cellIs" dxfId="32" priority="440" operator="equal">
      <formula>$N$7</formula>
    </cfRule>
    <cfRule type="cellIs" dxfId="31" priority="441" operator="equal">
      <formula>$N$6</formula>
    </cfRule>
    <cfRule type="cellIs" dxfId="30" priority="442" operator="equal">
      <formula>$N$5</formula>
    </cfRule>
    <cfRule type="cellIs" dxfId="29" priority="443" operator="equal">
      <formula>$N$4</formula>
    </cfRule>
    <cfRule type="cellIs" dxfId="28" priority="444" operator="equal">
      <formula>$N$3</formula>
    </cfRule>
  </conditionalFormatting>
  <conditionalFormatting sqref="B3:L50">
    <cfRule type="expression" dxfId="27" priority="445">
      <formula>OR($B3=$N$12,$B3=$N$13,$B3=$N$14)</formula>
    </cfRule>
    <cfRule type="expression" dxfId="26" priority="446">
      <formula>$B3=$N$11</formula>
    </cfRule>
    <cfRule type="expression" dxfId="25" priority="447">
      <formula>$B3=$N$10</formula>
    </cfRule>
    <cfRule type="expression" dxfId="24" priority="448">
      <formula>$B3=$N$8</formula>
    </cfRule>
    <cfRule type="expression" dxfId="23" priority="449">
      <formula>$B3=$N$7</formula>
    </cfRule>
    <cfRule type="expression" dxfId="22" priority="450">
      <formula>$B3=$N$6</formula>
    </cfRule>
    <cfRule type="expression" dxfId="21" priority="451">
      <formula>OR($B3=$N$4,$B3=$N$5)</formula>
    </cfRule>
    <cfRule type="expression" dxfId="20" priority="452">
      <formula>$B3=$N$3</formula>
    </cfRule>
  </conditionalFormatting>
  <conditionalFormatting sqref="B129:J176">
    <cfRule type="expression" dxfId="19" priority="453">
      <formula>OR(#REF!=$N$12,#REF!=$N$13,#REF!=$N$14)</formula>
    </cfRule>
    <cfRule type="expression" dxfId="18" priority="454">
      <formula>#REF!=$N$11</formula>
    </cfRule>
    <cfRule type="expression" dxfId="17" priority="455">
      <formula>#REF!=$N$10</formula>
    </cfRule>
    <cfRule type="expression" dxfId="16" priority="456">
      <formula>#REF!=$N$8</formula>
    </cfRule>
    <cfRule type="expression" dxfId="15" priority="457">
      <formula>#REF!=$N$7</formula>
    </cfRule>
    <cfRule type="expression" dxfId="14" priority="458">
      <formula>#REF!=$N$6</formula>
    </cfRule>
    <cfRule type="expression" dxfId="13" priority="459">
      <formula>OR(#REF!=$N$4,#REF!=$N$5)</formula>
    </cfRule>
    <cfRule type="expression" dxfId="12"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8" bestFit="1" customWidth="1"/>
    <col min="2" max="2" width="120.85546875" style="38" customWidth="1"/>
    <col min="3" max="3" width="26.85546875" style="38" customWidth="1"/>
    <col min="4" max="4" width="21.140625" style="38" bestFit="1" customWidth="1"/>
    <col min="5" max="5" width="22.85546875" style="38" customWidth="1"/>
    <col min="6" max="7" width="23.28515625" style="38"/>
    <col min="8" max="8" width="13" style="38" bestFit="1" customWidth="1"/>
    <col min="9" max="16384" width="23.28515625" style="38"/>
  </cols>
  <sheetData>
    <row r="1" spans="1:8" x14ac:dyDescent="0.25">
      <c r="A1" s="38" t="s">
        <v>1377</v>
      </c>
      <c r="B1" s="38" t="s">
        <v>1376</v>
      </c>
      <c r="C1" s="38" t="s">
        <v>1375</v>
      </c>
      <c r="D1" s="38" t="s">
        <v>1374</v>
      </c>
      <c r="H1" s="38" t="s">
        <v>1373</v>
      </c>
    </row>
    <row r="2" spans="1:8" x14ac:dyDescent="0.25">
      <c r="A2" s="38">
        <v>1</v>
      </c>
      <c r="B2" s="38" t="s">
        <v>1372</v>
      </c>
      <c r="C2" s="38" t="s">
        <v>1368</v>
      </c>
      <c r="D2" s="38">
        <v>1996</v>
      </c>
      <c r="H2" s="38" t="s">
        <v>67</v>
      </c>
    </row>
    <row r="3" spans="1:8" x14ac:dyDescent="0.25">
      <c r="A3" s="38">
        <v>2</v>
      </c>
      <c r="B3" s="38" t="s">
        <v>1371</v>
      </c>
      <c r="C3" s="38" t="s">
        <v>1370</v>
      </c>
      <c r="H3" s="38" t="s">
        <v>35</v>
      </c>
    </row>
    <row r="4" spans="1:8" x14ac:dyDescent="0.25">
      <c r="A4" s="38">
        <v>3</v>
      </c>
      <c r="B4" s="38" t="s">
        <v>1369</v>
      </c>
      <c r="C4" s="38" t="s">
        <v>1368</v>
      </c>
      <c r="D4" s="38">
        <v>1999</v>
      </c>
      <c r="H4" s="38" t="s">
        <v>26</v>
      </c>
    </row>
    <row r="5" spans="1:8" x14ac:dyDescent="0.25">
      <c r="A5" s="38">
        <v>4</v>
      </c>
      <c r="B5" s="38" t="s">
        <v>1367</v>
      </c>
    </row>
    <row r="6" spans="1:8" x14ac:dyDescent="0.25">
      <c r="A6" s="38">
        <v>5</v>
      </c>
      <c r="B6" s="38" t="s">
        <v>1366</v>
      </c>
    </row>
    <row r="7" spans="1:8" x14ac:dyDescent="0.25">
      <c r="A7" s="38">
        <v>6</v>
      </c>
      <c r="B7" s="38" t="s">
        <v>1365</v>
      </c>
    </row>
    <row r="8" spans="1:8" x14ac:dyDescent="0.25">
      <c r="A8" s="38">
        <v>7</v>
      </c>
      <c r="B8" s="38" t="s">
        <v>1364</v>
      </c>
    </row>
    <row r="9" spans="1:8" x14ac:dyDescent="0.25">
      <c r="A9" s="38">
        <v>8</v>
      </c>
      <c r="B9" s="38" t="s">
        <v>1363</v>
      </c>
      <c r="C9" s="38" t="s">
        <v>1279</v>
      </c>
      <c r="D9" s="38">
        <v>2014</v>
      </c>
      <c r="E9" s="38" t="s">
        <v>1362</v>
      </c>
    </row>
    <row r="10" spans="1:8" x14ac:dyDescent="0.25">
      <c r="A10" s="38">
        <v>9</v>
      </c>
      <c r="B10" s="38" t="s">
        <v>1361</v>
      </c>
      <c r="C10" s="38" t="s">
        <v>1360</v>
      </c>
      <c r="D10" s="38">
        <v>1999</v>
      </c>
    </row>
    <row r="11" spans="1:8" x14ac:dyDescent="0.25">
      <c r="A11" s="224">
        <v>10</v>
      </c>
      <c r="B11" s="224" t="s">
        <v>1359</v>
      </c>
      <c r="C11" s="38" t="s">
        <v>1279</v>
      </c>
      <c r="D11" s="38">
        <v>2015</v>
      </c>
    </row>
    <row r="12" spans="1:8" x14ac:dyDescent="0.25">
      <c r="A12" s="38">
        <v>11</v>
      </c>
      <c r="B12" s="38" t="s">
        <v>1358</v>
      </c>
      <c r="C12" s="38" t="s">
        <v>1279</v>
      </c>
      <c r="D12" s="38">
        <v>2004</v>
      </c>
    </row>
    <row r="13" spans="1:8" x14ac:dyDescent="0.25">
      <c r="A13" s="38">
        <v>12</v>
      </c>
      <c r="B13" s="38" t="s">
        <v>1357</v>
      </c>
      <c r="C13" s="38" t="s">
        <v>1356</v>
      </c>
      <c r="D13" s="38">
        <v>2009</v>
      </c>
    </row>
    <row r="14" spans="1:8" x14ac:dyDescent="0.25">
      <c r="A14" s="38">
        <v>13</v>
      </c>
      <c r="B14" s="38" t="s">
        <v>1355</v>
      </c>
      <c r="C14" s="38" t="s">
        <v>1354</v>
      </c>
      <c r="D14" s="38">
        <v>2015</v>
      </c>
    </row>
    <row r="15" spans="1:8" x14ac:dyDescent="0.25">
      <c r="A15" s="38">
        <v>14</v>
      </c>
      <c r="B15" s="38" t="s">
        <v>1353</v>
      </c>
      <c r="C15" s="38" t="s">
        <v>1352</v>
      </c>
      <c r="D15" s="38">
        <v>2006</v>
      </c>
    </row>
    <row r="16" spans="1:8" x14ac:dyDescent="0.25">
      <c r="A16" s="38">
        <v>15</v>
      </c>
      <c r="B16" s="38" t="s">
        <v>1351</v>
      </c>
      <c r="C16" s="38" t="s">
        <v>1279</v>
      </c>
      <c r="D16" s="38">
        <v>2015</v>
      </c>
    </row>
    <row r="17" spans="1:11" x14ac:dyDescent="0.25">
      <c r="A17" s="38">
        <v>16</v>
      </c>
      <c r="B17" s="38" t="s">
        <v>1350</v>
      </c>
      <c r="C17" s="38" t="s">
        <v>1279</v>
      </c>
      <c r="D17" s="228" t="s">
        <v>1349</v>
      </c>
    </row>
    <row r="18" spans="1:11" x14ac:dyDescent="0.25">
      <c r="A18" s="38">
        <v>17</v>
      </c>
      <c r="B18" s="38" t="s">
        <v>1348</v>
      </c>
      <c r="C18" s="38" t="s">
        <v>1279</v>
      </c>
      <c r="D18" s="38">
        <v>1995</v>
      </c>
    </row>
    <row r="19" spans="1:11" x14ac:dyDescent="0.25">
      <c r="A19" s="38">
        <v>18</v>
      </c>
      <c r="B19" s="38" t="s">
        <v>1347</v>
      </c>
      <c r="C19" s="38" t="s">
        <v>1279</v>
      </c>
      <c r="D19" s="38">
        <v>2015</v>
      </c>
    </row>
    <row r="20" spans="1:11" x14ac:dyDescent="0.25">
      <c r="A20" s="38">
        <v>19</v>
      </c>
      <c r="B20" s="38" t="s">
        <v>1346</v>
      </c>
      <c r="C20" s="38" t="s">
        <v>1345</v>
      </c>
      <c r="D20" s="38" t="s">
        <v>1344</v>
      </c>
    </row>
    <row r="21" spans="1:11" x14ac:dyDescent="0.25">
      <c r="A21" s="38">
        <v>20</v>
      </c>
      <c r="B21" s="38" t="s">
        <v>1343</v>
      </c>
      <c r="C21" s="38" t="s">
        <v>1342</v>
      </c>
      <c r="D21" s="38">
        <v>1980</v>
      </c>
    </row>
    <row r="22" spans="1:11" x14ac:dyDescent="0.25">
      <c r="A22" s="38">
        <v>21</v>
      </c>
      <c r="B22" s="38" t="s">
        <v>1341</v>
      </c>
      <c r="C22" s="38" t="s">
        <v>1279</v>
      </c>
      <c r="D22" s="38" t="s">
        <v>1340</v>
      </c>
      <c r="K22" s="227"/>
    </row>
    <row r="23" spans="1:11" x14ac:dyDescent="0.25">
      <c r="A23" s="38">
        <v>22</v>
      </c>
      <c r="B23" s="38" t="s">
        <v>1339</v>
      </c>
      <c r="C23" s="38" t="s">
        <v>1279</v>
      </c>
      <c r="D23" s="38">
        <v>2005</v>
      </c>
      <c r="K23" s="226"/>
    </row>
    <row r="24" spans="1:11" x14ac:dyDescent="0.25">
      <c r="A24" s="224">
        <v>23</v>
      </c>
      <c r="B24" s="224" t="s">
        <v>1338</v>
      </c>
      <c r="C24" s="38" t="s">
        <v>1279</v>
      </c>
      <c r="D24" s="38">
        <v>1998</v>
      </c>
    </row>
    <row r="25" spans="1:11" x14ac:dyDescent="0.25">
      <c r="A25" s="38">
        <v>24</v>
      </c>
      <c r="B25" s="38" t="s">
        <v>1337</v>
      </c>
      <c r="C25" s="38" t="s">
        <v>1279</v>
      </c>
      <c r="D25" s="38">
        <v>2016</v>
      </c>
    </row>
    <row r="26" spans="1:11" x14ac:dyDescent="0.25">
      <c r="A26" s="38">
        <v>25</v>
      </c>
      <c r="B26" s="38" t="s">
        <v>1336</v>
      </c>
      <c r="C26" s="38" t="s">
        <v>1294</v>
      </c>
      <c r="D26" s="38">
        <v>1988</v>
      </c>
    </row>
    <row r="27" spans="1:11" x14ac:dyDescent="0.25">
      <c r="A27" s="38">
        <v>26</v>
      </c>
      <c r="B27" s="38" t="s">
        <v>1335</v>
      </c>
      <c r="C27" s="38" t="s">
        <v>1279</v>
      </c>
      <c r="D27" s="38">
        <v>1994</v>
      </c>
    </row>
    <row r="28" spans="1:11" x14ac:dyDescent="0.25">
      <c r="A28" s="38">
        <v>27</v>
      </c>
      <c r="B28" s="38" t="s">
        <v>1334</v>
      </c>
      <c r="C28" s="38" t="s">
        <v>1333</v>
      </c>
      <c r="D28" s="38">
        <v>2013</v>
      </c>
    </row>
    <row r="29" spans="1:11" x14ac:dyDescent="0.25">
      <c r="A29" s="38">
        <v>28</v>
      </c>
      <c r="B29" s="38" t="s">
        <v>1332</v>
      </c>
      <c r="C29" s="38" t="s">
        <v>1331</v>
      </c>
      <c r="D29" s="38" t="s">
        <v>1330</v>
      </c>
    </row>
    <row r="30" spans="1:11" x14ac:dyDescent="0.25">
      <c r="A30" s="38">
        <v>29</v>
      </c>
      <c r="B30" s="38" t="s">
        <v>1329</v>
      </c>
      <c r="C30" s="225" t="s">
        <v>1328</v>
      </c>
      <c r="D30" s="38">
        <v>2010</v>
      </c>
    </row>
    <row r="31" spans="1:11" x14ac:dyDescent="0.25">
      <c r="A31" s="38">
        <v>30</v>
      </c>
      <c r="B31" s="38" t="s">
        <v>1327</v>
      </c>
      <c r="C31" s="38" t="s">
        <v>1279</v>
      </c>
      <c r="D31" s="38">
        <v>2008</v>
      </c>
    </row>
    <row r="32" spans="1:11" x14ac:dyDescent="0.25">
      <c r="A32" s="38">
        <v>31</v>
      </c>
      <c r="B32" s="38" t="s">
        <v>1326</v>
      </c>
      <c r="C32" s="38" t="s">
        <v>1279</v>
      </c>
      <c r="D32" s="38">
        <v>2003</v>
      </c>
    </row>
    <row r="33" spans="1:4" x14ac:dyDescent="0.25">
      <c r="A33" s="38">
        <v>32</v>
      </c>
      <c r="B33" s="38" t="s">
        <v>1325</v>
      </c>
      <c r="C33" s="38" t="s">
        <v>1279</v>
      </c>
      <c r="D33" s="38">
        <v>2007</v>
      </c>
    </row>
    <row r="34" spans="1:4" x14ac:dyDescent="0.25">
      <c r="A34" s="38">
        <v>33</v>
      </c>
      <c r="B34" s="38" t="s">
        <v>1324</v>
      </c>
      <c r="C34" s="38" t="s">
        <v>1323</v>
      </c>
      <c r="D34" s="38">
        <v>1998</v>
      </c>
    </row>
    <row r="35" spans="1:4" x14ac:dyDescent="0.25">
      <c r="A35" s="38">
        <v>34</v>
      </c>
      <c r="B35" s="38" t="s">
        <v>1322</v>
      </c>
      <c r="C35" s="38" t="s">
        <v>1320</v>
      </c>
      <c r="D35" s="38">
        <v>2001</v>
      </c>
    </row>
    <row r="36" spans="1:4" x14ac:dyDescent="0.25">
      <c r="A36" s="38">
        <v>35</v>
      </c>
      <c r="B36" s="4" t="s">
        <v>1321</v>
      </c>
      <c r="C36" s="38" t="s">
        <v>1320</v>
      </c>
      <c r="D36" s="38">
        <v>2001</v>
      </c>
    </row>
    <row r="37" spans="1:4" x14ac:dyDescent="0.25">
      <c r="A37" s="38">
        <v>36</v>
      </c>
      <c r="B37" s="38" t="s">
        <v>1319</v>
      </c>
      <c r="C37" s="38" t="s">
        <v>1279</v>
      </c>
      <c r="D37" s="38">
        <v>2016</v>
      </c>
    </row>
    <row r="38" spans="1:4" x14ac:dyDescent="0.25">
      <c r="A38" s="38">
        <v>37</v>
      </c>
      <c r="B38" s="38" t="s">
        <v>1318</v>
      </c>
      <c r="C38" s="38" t="s">
        <v>1279</v>
      </c>
      <c r="D38" s="38">
        <v>2009</v>
      </c>
    </row>
    <row r="39" spans="1:4" x14ac:dyDescent="0.25">
      <c r="A39" s="38">
        <v>38</v>
      </c>
      <c r="B39" s="38" t="s">
        <v>1317</v>
      </c>
      <c r="C39" s="38" t="s">
        <v>1279</v>
      </c>
      <c r="D39" s="38">
        <v>2015</v>
      </c>
    </row>
    <row r="40" spans="1:4" x14ac:dyDescent="0.25">
      <c r="A40" s="38">
        <v>39</v>
      </c>
      <c r="B40" s="38" t="s">
        <v>1316</v>
      </c>
      <c r="C40" s="38" t="s">
        <v>1315</v>
      </c>
      <c r="D40" s="38">
        <v>1999</v>
      </c>
    </row>
    <row r="41" spans="1:4" x14ac:dyDescent="0.25">
      <c r="A41" s="38">
        <v>40</v>
      </c>
      <c r="B41" s="38" t="s">
        <v>1314</v>
      </c>
      <c r="C41" s="38" t="s">
        <v>1279</v>
      </c>
      <c r="D41" s="38">
        <v>1993</v>
      </c>
    </row>
    <row r="42" spans="1:4" x14ac:dyDescent="0.25">
      <c r="A42" s="38">
        <v>41</v>
      </c>
      <c r="B42" s="38" t="s">
        <v>1313</v>
      </c>
      <c r="C42" s="38" t="s">
        <v>1312</v>
      </c>
      <c r="D42" s="38">
        <v>2009</v>
      </c>
    </row>
    <row r="43" spans="1:4" x14ac:dyDescent="0.25">
      <c r="A43" s="38">
        <v>42</v>
      </c>
      <c r="B43" s="38" t="s">
        <v>1311</v>
      </c>
      <c r="C43" s="38" t="s">
        <v>1279</v>
      </c>
      <c r="D43" s="38">
        <v>2016</v>
      </c>
    </row>
    <row r="44" spans="1:4" ht="14.25" customHeight="1" x14ac:dyDescent="0.25">
      <c r="A44" s="38">
        <v>43</v>
      </c>
      <c r="B44" s="38" t="s">
        <v>1310</v>
      </c>
      <c r="C44" s="4" t="s">
        <v>1309</v>
      </c>
      <c r="D44" s="38">
        <v>2016</v>
      </c>
    </row>
    <row r="45" spans="1:4" x14ac:dyDescent="0.25">
      <c r="A45" s="38">
        <v>44</v>
      </c>
      <c r="B45" s="38" t="s">
        <v>1308</v>
      </c>
      <c r="C45" s="38" t="s">
        <v>1279</v>
      </c>
      <c r="D45" s="38">
        <v>2016</v>
      </c>
    </row>
    <row r="46" spans="1:4" x14ac:dyDescent="0.25">
      <c r="A46" s="38">
        <v>45</v>
      </c>
      <c r="B46" s="38" t="s">
        <v>1307</v>
      </c>
      <c r="C46" s="38" t="s">
        <v>1306</v>
      </c>
      <c r="D46" s="38">
        <v>2014</v>
      </c>
    </row>
    <row r="47" spans="1:4" x14ac:dyDescent="0.25">
      <c r="A47" s="38">
        <v>46</v>
      </c>
      <c r="B47" s="38" t="s">
        <v>1305</v>
      </c>
      <c r="C47" s="38" t="s">
        <v>1294</v>
      </c>
      <c r="D47" s="38">
        <v>1997</v>
      </c>
    </row>
    <row r="48" spans="1:4" x14ac:dyDescent="0.25">
      <c r="A48" s="38">
        <v>47</v>
      </c>
      <c r="B48" s="38" t="s">
        <v>1304</v>
      </c>
      <c r="C48" s="38" t="s">
        <v>1279</v>
      </c>
      <c r="D48" s="38">
        <v>1988</v>
      </c>
    </row>
    <row r="49" spans="1:4" x14ac:dyDescent="0.25">
      <c r="A49" s="224">
        <v>48</v>
      </c>
      <c r="B49" s="224" t="s">
        <v>1303</v>
      </c>
      <c r="C49" s="38" t="s">
        <v>1279</v>
      </c>
      <c r="D49" s="38">
        <v>2016</v>
      </c>
    </row>
    <row r="50" spans="1:4" x14ac:dyDescent="0.25">
      <c r="A50" s="38">
        <v>49</v>
      </c>
      <c r="B50" s="38" t="s">
        <v>1302</v>
      </c>
      <c r="C50" s="38" t="s">
        <v>1301</v>
      </c>
      <c r="D50" s="38">
        <v>2014</v>
      </c>
    </row>
    <row r="51" spans="1:4" x14ac:dyDescent="0.25">
      <c r="A51" s="38">
        <v>50</v>
      </c>
      <c r="B51" s="38" t="s">
        <v>1300</v>
      </c>
      <c r="C51" s="38" t="s">
        <v>1299</v>
      </c>
      <c r="D51" s="38">
        <v>2014</v>
      </c>
    </row>
    <row r="52" spans="1:4" x14ac:dyDescent="0.25">
      <c r="A52" s="224">
        <v>51</v>
      </c>
      <c r="B52" s="224" t="s">
        <v>1298</v>
      </c>
      <c r="C52" s="38" t="s">
        <v>1297</v>
      </c>
      <c r="D52" s="38">
        <v>1970</v>
      </c>
    </row>
    <row r="53" spans="1:4" x14ac:dyDescent="0.25">
      <c r="A53" s="38">
        <v>52</v>
      </c>
      <c r="B53" s="38" t="s">
        <v>1296</v>
      </c>
      <c r="C53" s="38" t="s">
        <v>1279</v>
      </c>
      <c r="D53" s="38">
        <v>1973</v>
      </c>
    </row>
    <row r="54" spans="1:4" x14ac:dyDescent="0.25">
      <c r="A54" s="38">
        <v>53</v>
      </c>
      <c r="B54" s="38" t="s">
        <v>1295</v>
      </c>
      <c r="C54" s="223" t="s">
        <v>1294</v>
      </c>
      <c r="D54" s="38">
        <v>1974</v>
      </c>
    </row>
    <row r="55" spans="1:4" x14ac:dyDescent="0.25">
      <c r="A55" s="38">
        <v>54</v>
      </c>
      <c r="B55" s="38" t="s">
        <v>1293</v>
      </c>
      <c r="C55" s="38" t="s">
        <v>1279</v>
      </c>
      <c r="D55" s="38">
        <v>1973</v>
      </c>
    </row>
    <row r="56" spans="1:4" x14ac:dyDescent="0.25">
      <c r="A56" s="38">
        <v>55</v>
      </c>
      <c r="B56" s="38" t="s">
        <v>1292</v>
      </c>
      <c r="C56" s="38" t="s">
        <v>1291</v>
      </c>
      <c r="D56" s="38">
        <v>2010</v>
      </c>
    </row>
    <row r="57" spans="1:4" x14ac:dyDescent="0.25">
      <c r="A57" s="38">
        <v>56</v>
      </c>
      <c r="B57" s="38" t="s">
        <v>1290</v>
      </c>
      <c r="C57" s="38" t="s">
        <v>1289</v>
      </c>
      <c r="D57" s="38">
        <v>2017</v>
      </c>
    </row>
    <row r="58" spans="1:4" x14ac:dyDescent="0.25">
      <c r="A58" s="38">
        <v>57</v>
      </c>
      <c r="B58" s="38" t="s">
        <v>1288</v>
      </c>
      <c r="C58" s="38" t="s">
        <v>1286</v>
      </c>
      <c r="D58" s="38">
        <v>2016</v>
      </c>
    </row>
    <row r="59" spans="1:4" x14ac:dyDescent="0.25">
      <c r="A59" s="38">
        <v>58</v>
      </c>
      <c r="B59" s="38" t="s">
        <v>1287</v>
      </c>
      <c r="C59" s="38" t="s">
        <v>1286</v>
      </c>
      <c r="D59" s="38">
        <v>2015</v>
      </c>
    </row>
    <row r="60" spans="1:4" x14ac:dyDescent="0.25">
      <c r="A60" s="38">
        <v>59</v>
      </c>
      <c r="B60" s="38" t="s">
        <v>1285</v>
      </c>
      <c r="C60" s="38" t="s">
        <v>1279</v>
      </c>
      <c r="D60" s="38">
        <v>2005</v>
      </c>
    </row>
    <row r="61" spans="1:4" x14ac:dyDescent="0.25">
      <c r="A61" s="38">
        <v>60</v>
      </c>
      <c r="B61" s="38" t="s">
        <v>1284</v>
      </c>
      <c r="C61" s="38" t="s">
        <v>1279</v>
      </c>
      <c r="D61" s="38">
        <v>2010</v>
      </c>
    </row>
    <row r="62" spans="1:4" x14ac:dyDescent="0.25">
      <c r="A62" s="38">
        <v>61</v>
      </c>
      <c r="B62" s="38" t="s">
        <v>1283</v>
      </c>
      <c r="C62" s="38" t="s">
        <v>1282</v>
      </c>
      <c r="D62" s="38">
        <v>2012</v>
      </c>
    </row>
    <row r="63" spans="1:4" x14ac:dyDescent="0.25">
      <c r="A63" s="38">
        <v>62</v>
      </c>
      <c r="B63" s="38" t="s">
        <v>1281</v>
      </c>
      <c r="C63" s="38" t="s">
        <v>1279</v>
      </c>
      <c r="D63" s="38">
        <v>2011</v>
      </c>
    </row>
    <row r="64" spans="1:4" x14ac:dyDescent="0.25">
      <c r="A64" s="38">
        <v>63</v>
      </c>
      <c r="B64" s="38" t="s">
        <v>1280</v>
      </c>
      <c r="C64" s="38" t="s">
        <v>1279</v>
      </c>
      <c r="D64" s="38">
        <v>2016</v>
      </c>
    </row>
    <row r="65" spans="1:4" x14ac:dyDescent="0.25">
      <c r="A65" s="38">
        <v>64</v>
      </c>
      <c r="B65" s="38" t="s">
        <v>1278</v>
      </c>
      <c r="C65" s="38" t="s">
        <v>1277</v>
      </c>
      <c r="D65" s="38">
        <v>1969</v>
      </c>
    </row>
    <row r="66" spans="1:4" x14ac:dyDescent="0.25">
      <c r="A66" s="38">
        <v>65</v>
      </c>
      <c r="B66" s="38" t="s">
        <v>1276</v>
      </c>
      <c r="D66" s="38">
        <v>2012</v>
      </c>
    </row>
    <row r="67" spans="1:4" x14ac:dyDescent="0.25">
      <c r="A67" s="38">
        <v>66</v>
      </c>
      <c r="B67" s="38" t="s">
        <v>1378</v>
      </c>
      <c r="C67" s="38" t="s">
        <v>1379</v>
      </c>
      <c r="D67" s="38">
        <v>2015</v>
      </c>
    </row>
    <row r="68" spans="1:4" x14ac:dyDescent="0.25">
      <c r="A68" s="38">
        <v>67</v>
      </c>
      <c r="B68" s="38" t="s">
        <v>1381</v>
      </c>
      <c r="C68" s="38" t="s">
        <v>1383</v>
      </c>
      <c r="D68" s="38">
        <v>2009</v>
      </c>
    </row>
    <row r="69" spans="1:4" x14ac:dyDescent="0.25">
      <c r="A69" s="38">
        <v>68</v>
      </c>
      <c r="B69" s="38" t="s">
        <v>1382</v>
      </c>
      <c r="C69" s="38" t="s">
        <v>1383</v>
      </c>
      <c r="D69" s="38">
        <v>2005</v>
      </c>
    </row>
    <row r="70" spans="1:4" x14ac:dyDescent="0.25">
      <c r="A70" s="38">
        <v>69</v>
      </c>
      <c r="B70" s="38" t="s">
        <v>1386</v>
      </c>
      <c r="C70" s="38" t="s">
        <v>1383</v>
      </c>
      <c r="D70" s="38">
        <v>2019</v>
      </c>
    </row>
    <row r="71" spans="1:4" x14ac:dyDescent="0.25">
      <c r="A71" s="38">
        <v>70</v>
      </c>
      <c r="B71" s="38" t="s">
        <v>1387</v>
      </c>
      <c r="C71" s="38" t="s">
        <v>1388</v>
      </c>
      <c r="D71" s="38">
        <v>2017</v>
      </c>
    </row>
    <row r="72" spans="1:4" x14ac:dyDescent="0.25">
      <c r="A72" s="38">
        <v>71</v>
      </c>
      <c r="B72" s="38" t="s">
        <v>1500</v>
      </c>
      <c r="C72" s="38" t="s">
        <v>1501</v>
      </c>
      <c r="D72" s="38">
        <v>2016</v>
      </c>
    </row>
    <row r="73" spans="1:4" x14ac:dyDescent="0.25">
      <c r="A73" s="38">
        <v>72</v>
      </c>
      <c r="B73" s="38" t="s">
        <v>1502</v>
      </c>
      <c r="C73" s="38" t="s">
        <v>1503</v>
      </c>
      <c r="D73" s="38">
        <v>2018</v>
      </c>
    </row>
    <row r="74" spans="1:4" x14ac:dyDescent="0.25">
      <c r="A74" s="38">
        <v>73</v>
      </c>
      <c r="B74" s="38" t="s">
        <v>1524</v>
      </c>
      <c r="C74" s="38" t="s">
        <v>1525</v>
      </c>
      <c r="D74" s="38">
        <v>2020</v>
      </c>
    </row>
    <row r="75" spans="1:4" x14ac:dyDescent="0.25">
      <c r="A75" s="38">
        <v>74</v>
      </c>
      <c r="B75" s="38" t="s">
        <v>1531</v>
      </c>
      <c r="C75" s="38" t="s">
        <v>1532</v>
      </c>
    </row>
    <row r="76" spans="1:4" x14ac:dyDescent="0.25">
      <c r="A76" s="38">
        <v>75</v>
      </c>
      <c r="B76" s="38" t="s">
        <v>1537</v>
      </c>
      <c r="C76" s="38" t="s">
        <v>1538</v>
      </c>
      <c r="D76" s="38">
        <v>2017</v>
      </c>
    </row>
    <row r="77" spans="1:4" x14ac:dyDescent="0.25">
      <c r="A77" s="38">
        <v>76</v>
      </c>
      <c r="B77" s="38" t="s">
        <v>1687</v>
      </c>
      <c r="C77" s="38" t="s">
        <v>1688</v>
      </c>
      <c r="D77" s="38">
        <v>2019</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2026-05-14T21:34:50Z</dcterms:modified>
</cp:coreProperties>
</file>